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LiS\"/>
    </mc:Choice>
  </mc:AlternateContent>
  <bookViews>
    <workbookView xWindow="0" yWindow="0" windowWidth="14715" windowHeight="457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7" i="1" l="1"/>
  <c r="D107" i="1" s="1"/>
  <c r="D106" i="1"/>
  <c r="B106" i="1"/>
  <c r="B105" i="1"/>
  <c r="D104" i="1"/>
  <c r="D102" i="1"/>
  <c r="B104" i="1"/>
  <c r="B103" i="1"/>
  <c r="B102" i="1"/>
  <c r="B101" i="1"/>
  <c r="D100" i="1"/>
  <c r="B100" i="1"/>
  <c r="B99" i="1"/>
  <c r="D98" i="1"/>
  <c r="D96" i="1"/>
  <c r="D94" i="1"/>
  <c r="B98" i="1"/>
  <c r="B97" i="1"/>
  <c r="B96" i="1"/>
  <c r="B95" i="1"/>
  <c r="B94" i="1"/>
  <c r="B93" i="1"/>
  <c r="B91" i="1"/>
  <c r="B92" i="1"/>
  <c r="D92" i="1"/>
  <c r="D90" i="1"/>
  <c r="B90" i="1"/>
  <c r="B89" i="1"/>
  <c r="D88" i="1"/>
  <c r="B88" i="1"/>
  <c r="B179" i="1"/>
  <c r="D179" i="1" s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D168" i="1"/>
  <c r="B168" i="1"/>
  <c r="D167" i="1"/>
  <c r="B167" i="1"/>
  <c r="B166" i="1"/>
  <c r="B283" i="1" l="1"/>
  <c r="D276" i="1"/>
  <c r="B276" i="1"/>
  <c r="B275" i="1"/>
  <c r="D274" i="1"/>
  <c r="B274" i="1"/>
  <c r="B273" i="1"/>
  <c r="D272" i="1"/>
  <c r="B272" i="1"/>
  <c r="B271" i="1"/>
  <c r="B270" i="1"/>
  <c r="D257" i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D220" i="1"/>
  <c r="B220" i="1"/>
  <c r="B219" i="1"/>
  <c r="B218" i="1"/>
  <c r="D146" i="1"/>
  <c r="B146" i="1"/>
  <c r="B145" i="1"/>
  <c r="D144" i="1"/>
  <c r="B144" i="1"/>
  <c r="B143" i="1"/>
  <c r="D142" i="1"/>
  <c r="B142" i="1"/>
  <c r="B141" i="1"/>
  <c r="B140" i="1"/>
  <c r="D127" i="1" l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HG18" i="2"/>
  <c r="EX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G20" i="2"/>
  <c r="HH20" i="2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HH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HG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HH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G38" i="2"/>
  <c r="HI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G44" i="2"/>
  <c r="HH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HI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HG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H122" i="2"/>
  <c r="HI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H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HH140" i="2"/>
  <c r="HG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HI146" i="2"/>
  <c r="HG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H150" i="2"/>
  <c r="HI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HJ154" i="2"/>
  <c r="HH155" i="2"/>
  <c r="HG155" i="2"/>
  <c r="EW155" i="2"/>
  <c r="EX155" i="2"/>
  <c r="DI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FS156" i="2"/>
  <c r="HI156" i="2"/>
  <c r="HH156" i="2"/>
  <c r="HG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B157" i="2"/>
  <c r="CN156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H159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HG160" i="2"/>
  <c r="HH160" i="2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G161" i="2"/>
  <c r="HH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C162" i="2"/>
  <c r="HH162" i="2"/>
  <c r="HG162" i="2"/>
  <c r="EW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HH163" i="2"/>
  <c r="HI163" i="2"/>
  <c r="HG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EA164" i="2"/>
  <c r="FS164" i="2"/>
  <c r="FR164" i="2"/>
  <c r="HH164" i="2"/>
  <c r="HG164" i="2"/>
  <c r="EX164" i="2"/>
  <c r="EV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HH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FR167" i="2"/>
  <c r="HI167" i="2"/>
  <c r="HH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HH168" i="2"/>
  <c r="EV168" i="2"/>
  <c r="EY168" i="2" s="1"/>
  <c r="EW168" i="2"/>
  <c r="DI167" i="2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B172" i="2"/>
  <c r="HI172" i="2"/>
  <c r="HG172" i="2"/>
  <c r="EV172" i="2"/>
  <c r="EW172" i="2"/>
  <c r="EA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FS175" i="2"/>
  <c r="HI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H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S178" i="2"/>
  <c r="HH178" i="2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D178" i="2"/>
  <c r="HI179" i="2"/>
  <c r="HH179" i="2"/>
  <c r="HG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HG181" i="2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HH185" i="2"/>
  <c r="HG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D185" i="2"/>
  <c r="FS186" i="2"/>
  <c r="HG186" i="2"/>
  <c r="HH186" i="2"/>
  <c r="EW186" i="2"/>
  <c r="EB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J189" i="2"/>
  <c r="HH190" i="2"/>
  <c r="HG190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G191" i="2"/>
  <c r="ED190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G192" i="2"/>
  <c r="HH192" i="2"/>
  <c r="HI192" i="2"/>
  <c r="EV192" i="2"/>
  <c r="EY192" i="2" s="1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HI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FQ194" i="2"/>
  <c r="HG194" i="2"/>
  <c r="HI194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FQ195" i="2"/>
  <c r="HI195" i="2"/>
  <c r="HG195" i="2"/>
  <c r="EX195" i="2"/>
  <c r="EY194" i="2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HG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J200" i="2"/>
  <c r="HH201" i="2"/>
  <c r="HG201" i="2"/>
  <c r="EA201" i="2"/>
  <c r="ED200" i="2"/>
  <c r="DI200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D201" i="2"/>
  <c r="EX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128" i="2" a="1"/>
  <c r="EI128" i="2" s="1"/>
  <c r="EI16" i="2" a="1"/>
  <c r="EI16" i="2" s="1"/>
  <c r="EI35" i="2" a="1"/>
  <c r="EI35" i="2" s="1"/>
  <c r="EI37" i="2" a="1"/>
  <c r="EI37" i="2" s="1"/>
  <c r="DN6" i="2" a="1"/>
  <c r="DN6" i="2" s="1"/>
  <c r="DO6" i="2" s="1"/>
  <c r="BX107" i="2" a="1"/>
  <c r="BX107" i="2" s="1"/>
  <c r="FD82" i="2" a="1"/>
  <c r="FD82" i="2" s="1"/>
  <c r="HJ202" i="2"/>
  <c r="EY202" i="2"/>
  <c r="AX200" i="2"/>
  <c r="EI170" i="2" l="1" a="1"/>
  <c r="EI170" i="2" s="1"/>
  <c r="EI57" i="2" a="1"/>
  <c r="EI57" i="2" s="1"/>
  <c r="EI145" i="2" a="1"/>
  <c r="EI145" i="2" s="1"/>
  <c r="EI113" i="2" a="1"/>
  <c r="EI113" i="2" s="1"/>
  <c r="EI87" i="2" a="1"/>
  <c r="EI87" i="2" s="1"/>
  <c r="EI150" i="2" a="1"/>
  <c r="EI150" i="2" s="1"/>
  <c r="EI109" i="2" a="1"/>
  <c r="EI109" i="2" s="1"/>
  <c r="EI29" i="2" a="1"/>
  <c r="EI29" i="2" s="1"/>
  <c r="EI20" i="2" a="1"/>
  <c r="EI20" i="2" s="1"/>
  <c r="EI38" i="2" a="1"/>
  <c r="EI38" i="2" s="1"/>
  <c r="EI106" i="2" a="1"/>
  <c r="EI106" i="2" s="1"/>
  <c r="EI34" i="2" a="1"/>
  <c r="EI34" i="2" s="1"/>
  <c r="EI195" i="2" a="1"/>
  <c r="EI195" i="2" s="1"/>
  <c r="EI153" i="2" a="1"/>
  <c r="EI153" i="2" s="1"/>
  <c r="EI165" i="2" a="1"/>
  <c r="EI165" i="2" s="1"/>
  <c r="EI142" i="2" a="1"/>
  <c r="EI142" i="2" s="1"/>
  <c r="EI166" i="2" a="1"/>
  <c r="EI166" i="2" s="1"/>
  <c r="EI139" i="2" a="1"/>
  <c r="EI139" i="2" s="1"/>
  <c r="EI67" i="2" a="1"/>
  <c r="EI67" i="2" s="1"/>
  <c r="EI71" i="2" a="1"/>
  <c r="EI71" i="2" s="1"/>
  <c r="EI178" i="2" a="1"/>
  <c r="EI178" i="2" s="1"/>
  <c r="EI198" i="2" a="1"/>
  <c r="EI198" i="2" s="1"/>
  <c r="BC58" i="2" a="1"/>
  <c r="BC58" i="2" s="1"/>
  <c r="BC34" i="2" a="1"/>
  <c r="BC34" i="2" s="1"/>
  <c r="BC114" i="2" a="1"/>
  <c r="BC114" i="2" s="1"/>
  <c r="BC126" i="2" a="1"/>
  <c r="BC126" i="2" s="1"/>
  <c r="DN152" i="2" a="1"/>
  <c r="DN152" i="2" s="1"/>
  <c r="DN137" i="2" a="1"/>
  <c r="DN137" i="2" s="1"/>
  <c r="DN114" i="2" a="1"/>
  <c r="DN114" i="2" s="1"/>
  <c r="DN190" i="2" a="1"/>
  <c r="DN190" i="2" s="1"/>
  <c r="DN124" i="2" a="1"/>
  <c r="DN124" i="2" s="1"/>
  <c r="DN133" i="2" a="1"/>
  <c r="DN133" i="2" s="1"/>
  <c r="DN188" i="2" a="1"/>
  <c r="DN188" i="2" s="1"/>
  <c r="DN16" i="2" a="1"/>
  <c r="DN16" i="2" s="1"/>
  <c r="DN177" i="2" a="1"/>
  <c r="DN177" i="2" s="1"/>
  <c r="DN66" i="2" a="1"/>
  <c r="DN66" i="2" s="1"/>
  <c r="DN70" i="2" a="1"/>
  <c r="DN70" i="2" s="1"/>
  <c r="DN162" i="2" a="1"/>
  <c r="DN162" i="2" s="1"/>
  <c r="DN50" i="2" a="1"/>
  <c r="DN50" i="2" s="1"/>
  <c r="DN132" i="2" a="1"/>
  <c r="DN132" i="2" s="1"/>
  <c r="DN187" i="2" a="1"/>
  <c r="DN187" i="2" s="1"/>
  <c r="DN45" i="2" a="1"/>
  <c r="DN45" i="2" s="1"/>
  <c r="DN164" i="2" a="1"/>
  <c r="DN164" i="2" s="1"/>
  <c r="DN113" i="2" a="1"/>
  <c r="DN113" i="2" s="1"/>
  <c r="DN65" i="2" a="1"/>
  <c r="DN65" i="2" s="1"/>
  <c r="DN49" i="2" a="1"/>
  <c r="DN49" i="2" s="1"/>
  <c r="DN103" i="2" a="1"/>
  <c r="DN103" i="2" s="1"/>
  <c r="DN86" i="2" a="1"/>
  <c r="DN86" i="2" s="1"/>
  <c r="DN25" i="2" a="1"/>
  <c r="DN25" i="2" s="1"/>
  <c r="DN155" i="2" a="1"/>
  <c r="DN155" i="2" s="1"/>
  <c r="DN30" i="2" a="1"/>
  <c r="DN30" i="2" s="1"/>
  <c r="DN55" i="2" a="1"/>
  <c r="DN55" i="2" s="1"/>
  <c r="DN135" i="2" a="1"/>
  <c r="DN135" i="2" s="1"/>
  <c r="DN123" i="2" a="1"/>
  <c r="DN123" i="2" s="1"/>
  <c r="DN115" i="2" a="1"/>
  <c r="DN115" i="2" s="1"/>
  <c r="DN29" i="2" a="1"/>
  <c r="DN29" i="2" s="1"/>
  <c r="DN46" i="2" a="1"/>
  <c r="DN46" i="2" s="1"/>
  <c r="DN110" i="2" a="1"/>
  <c r="DN110" i="2" s="1"/>
  <c r="DN38" i="2" a="1"/>
  <c r="DN38" i="2" s="1"/>
  <c r="DN153" i="2" a="1"/>
  <c r="DN153" i="2" s="1"/>
  <c r="DN41" i="2" a="1"/>
  <c r="DN41" i="2" s="1"/>
  <c r="DN31" i="2" a="1"/>
  <c r="DN31" i="2" s="1"/>
  <c r="DN80" i="2" a="1"/>
  <c r="DN80" i="2" s="1"/>
  <c r="DN150" i="2" a="1"/>
  <c r="DN150" i="2" s="1"/>
  <c r="DN170" i="2" a="1"/>
  <c r="DN170" i="2" s="1"/>
  <c r="DN43" i="2" a="1"/>
  <c r="DN43" i="2" s="1"/>
  <c r="DN176" i="2" a="1"/>
  <c r="DN176" i="2" s="1"/>
  <c r="DN167" i="2" a="1"/>
  <c r="DN167" i="2" s="1"/>
  <c r="DN168" i="2" a="1"/>
  <c r="DN168" i="2" s="1"/>
  <c r="DN63" i="2" a="1"/>
  <c r="DN63" i="2" s="1"/>
  <c r="DN192" i="2" a="1"/>
  <c r="DN192" i="2" s="1"/>
  <c r="DN129" i="2" a="1"/>
  <c r="DN129" i="2" s="1"/>
  <c r="DN186" i="2" a="1"/>
  <c r="DN186" i="2" s="1"/>
  <c r="CS56" i="2" a="1"/>
  <c r="CS56" i="2" s="1"/>
  <c r="CS72" i="2" a="1"/>
  <c r="CS72" i="2" s="1"/>
  <c r="CS24" i="2" a="1"/>
  <c r="CS24" i="2" s="1"/>
  <c r="CS134" i="2" a="1"/>
  <c r="CS134" i="2" s="1"/>
  <c r="CS185" i="2" a="1"/>
  <c r="CS185" i="2" s="1"/>
  <c r="CS114" i="2" a="1"/>
  <c r="CS114" i="2" s="1"/>
  <c r="CS38" i="2" a="1"/>
  <c r="CS38" i="2" s="1"/>
  <c r="CS161" i="2" a="1"/>
  <c r="CS161" i="2" s="1"/>
  <c r="CS120" i="2" a="1"/>
  <c r="CS120" i="2" s="1"/>
  <c r="CS129" i="2" a="1"/>
  <c r="CS129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77" i="2" a="1"/>
  <c r="CS77" i="2" s="1"/>
  <c r="DN184" i="2" a="1"/>
  <c r="DN184" i="2" s="1"/>
  <c r="DN56" i="2" a="1"/>
  <c r="DN5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8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37" i="2" l="1"/>
  <c r="FJ27" i="2"/>
  <c r="FJ9" i="2"/>
  <c r="FJ203" i="2"/>
  <c r="FJ131" i="2"/>
  <c r="FJ68" i="2"/>
  <c r="FJ190" i="2"/>
  <c r="FJ141" i="2"/>
  <c r="FJ146" i="2"/>
  <c r="FJ110" i="2"/>
  <c r="FJ55" i="2"/>
  <c r="FJ52" i="2"/>
  <c r="FJ79" i="2"/>
  <c r="FJ16" i="2"/>
  <c r="FJ38" i="2"/>
  <c r="FJ166" i="2"/>
  <c r="FJ96" i="2"/>
  <c r="FJ122" i="2"/>
  <c r="FJ171" i="2"/>
  <c r="FJ95" i="2"/>
  <c r="FJ93" i="2"/>
  <c r="FJ91" i="2"/>
  <c r="FJ10" i="2"/>
  <c r="FJ182" i="2"/>
  <c r="FJ113" i="2"/>
  <c r="FJ163" i="2"/>
  <c r="FJ32" i="2"/>
  <c r="FJ136" i="2"/>
  <c r="FJ15" i="2"/>
  <c r="FJ178" i="2"/>
  <c r="FJ71" i="2"/>
  <c r="FJ33" i="2"/>
  <c r="FJ34" i="2"/>
  <c r="FJ140" i="2"/>
  <c r="FJ123" i="2"/>
  <c r="FJ5" i="2"/>
  <c r="FJ199" i="2"/>
  <c r="FJ29" i="2"/>
  <c r="FJ165" i="2"/>
  <c r="FJ8" i="2"/>
  <c r="FJ94" i="2"/>
  <c r="FJ195" i="2"/>
  <c r="FJ196" i="2"/>
  <c r="FJ139" i="2"/>
  <c r="FJ44" i="2"/>
  <c r="FJ202" i="2"/>
  <c r="FJ107" i="2"/>
  <c r="FJ138" i="2"/>
  <c r="FJ20" i="2"/>
  <c r="FJ175" i="2"/>
  <c r="FJ89" i="2"/>
  <c r="FJ81" i="2"/>
  <c r="FJ111" i="2"/>
  <c r="FJ23" i="2"/>
  <c r="FJ103" i="2"/>
  <c r="FJ197" i="2"/>
  <c r="FJ42" i="2"/>
  <c r="FJ6" i="2"/>
  <c r="FJ13" i="2"/>
  <c r="FJ152" i="2"/>
  <c r="FJ143" i="2"/>
  <c r="FJ84" i="2"/>
  <c r="FJ115" i="2"/>
  <c r="FJ4" i="2"/>
  <c r="FJ185" i="2"/>
  <c r="FJ60" i="2"/>
  <c r="FJ90" i="2"/>
  <c r="FJ130" i="2"/>
  <c r="FJ162" i="2"/>
  <c r="FJ180" i="2"/>
  <c r="FJ63" i="2"/>
  <c r="FJ105" i="2"/>
  <c r="FJ181" i="2"/>
  <c r="FJ39" i="2"/>
  <c r="FJ66" i="2"/>
  <c r="FJ64" i="2"/>
  <c r="FJ157" i="2"/>
  <c r="FJ160" i="2"/>
  <c r="FJ65" i="2"/>
  <c r="FJ98" i="2"/>
  <c r="FJ92" i="2"/>
  <c r="FJ83" i="2"/>
  <c r="FJ43" i="2"/>
  <c r="FJ57" i="2"/>
  <c r="FJ77" i="2"/>
  <c r="FJ112" i="2"/>
  <c r="FJ51" i="2"/>
  <c r="FJ61" i="2"/>
  <c r="FJ177" i="2"/>
  <c r="FJ137" i="2"/>
  <c r="FJ135" i="2"/>
  <c r="FJ67" i="2"/>
  <c r="FJ62" i="2"/>
  <c r="FJ45" i="2"/>
  <c r="FJ124" i="2"/>
  <c r="FJ109" i="2"/>
  <c r="FJ159" i="2"/>
  <c r="FJ189" i="2"/>
  <c r="FJ194" i="2"/>
  <c r="FJ134" i="2"/>
  <c r="FJ116" i="2"/>
  <c r="FJ22" i="2"/>
  <c r="FJ156" i="2"/>
  <c r="FJ35" i="2"/>
  <c r="FJ201" i="2"/>
  <c r="FJ88" i="2"/>
  <c r="FJ155" i="2"/>
  <c r="FJ24" i="2"/>
  <c r="FJ184" i="2"/>
  <c r="FJ161" i="2"/>
  <c r="FJ46" i="2"/>
  <c r="FJ85" i="2"/>
  <c r="FJ75" i="2"/>
  <c r="FJ174" i="2"/>
  <c r="FJ59" i="2"/>
  <c r="FJ21" i="2"/>
  <c r="FJ80" i="2"/>
  <c r="FJ191" i="2"/>
  <c r="FJ82" i="2"/>
  <c r="FJ26" i="2"/>
  <c r="FJ126" i="2"/>
  <c r="FJ154" i="2"/>
  <c r="FJ118" i="2"/>
  <c r="FJ74" i="2"/>
  <c r="FJ193" i="2"/>
  <c r="FJ151" i="2"/>
  <c r="FJ173" i="2"/>
  <c r="FJ31" i="2"/>
  <c r="FJ30" i="2"/>
  <c r="FJ104" i="2"/>
  <c r="FJ153" i="2"/>
  <c r="FJ48" i="2"/>
  <c r="FJ147" i="2"/>
  <c r="FJ187" i="2"/>
  <c r="FJ87" i="2"/>
  <c r="FJ125" i="2"/>
  <c r="FJ47" i="2"/>
  <c r="FJ97" i="2"/>
  <c r="FJ133" i="2"/>
  <c r="FJ148" i="2"/>
  <c r="FJ145" i="2"/>
  <c r="FJ169" i="2"/>
  <c r="FJ78" i="2"/>
  <c r="FJ73" i="2"/>
  <c r="FJ132" i="2"/>
  <c r="FJ70" i="2"/>
  <c r="FJ58" i="2"/>
  <c r="FJ172" i="2"/>
  <c r="FJ158" i="2"/>
  <c r="FJ36" i="2"/>
  <c r="FJ149" i="2"/>
  <c r="FJ53" i="2"/>
  <c r="FJ119" i="2"/>
  <c r="FJ101" i="2"/>
  <c r="FJ41" i="2"/>
  <c r="FJ3" i="2"/>
  <c r="C13" i="4" s="1"/>
  <c r="E13" i="4" s="1"/>
  <c r="F13" i="4" s="1"/>
  <c r="G13" i="4" s="1"/>
  <c r="L13" i="4" s="1"/>
  <c r="FJ106" i="2"/>
  <c r="FJ99" i="2"/>
  <c r="FJ121" i="2"/>
  <c r="FJ164" i="2"/>
  <c r="FJ49" i="2"/>
  <c r="FJ167" i="2"/>
  <c r="FJ183" i="2"/>
  <c r="FJ168" i="2"/>
  <c r="FJ150" i="2"/>
  <c r="FJ7" i="2"/>
  <c r="FJ170" i="2"/>
  <c r="FJ127" i="2"/>
  <c r="FJ40" i="2"/>
  <c r="FJ76" i="2"/>
  <c r="FJ19" i="2"/>
  <c r="FJ200" i="2"/>
  <c r="FJ12" i="2"/>
  <c r="FJ86" i="2"/>
  <c r="FJ142" i="2"/>
  <c r="FJ50" i="2"/>
  <c r="FJ144" i="2"/>
  <c r="FJ129" i="2"/>
  <c r="FJ198" i="2"/>
  <c r="FJ17" i="2"/>
  <c r="FJ11" i="2"/>
  <c r="FJ14" i="2"/>
  <c r="FJ108" i="2"/>
  <c r="FJ72" i="2"/>
  <c r="FJ176" i="2"/>
  <c r="FJ188" i="2"/>
  <c r="FJ192" i="2"/>
  <c r="FJ117" i="2"/>
  <c r="FJ28" i="2"/>
  <c r="FJ25" i="2"/>
  <c r="FJ100" i="2"/>
  <c r="FJ179" i="2"/>
  <c r="FJ114" i="2"/>
  <c r="FJ56" i="2"/>
  <c r="FJ102" i="2"/>
  <c r="FJ54" i="2"/>
  <c r="FJ186" i="2"/>
  <c r="FJ69" i="2"/>
  <c r="FJ128" i="2"/>
  <c r="FJ12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180" i="2" l="1"/>
  <c r="GZ34" i="2"/>
  <c r="GZ21" i="2"/>
  <c r="GZ75" i="2"/>
  <c r="GZ91" i="2"/>
  <c r="GZ196" i="2"/>
  <c r="GZ6" i="2"/>
  <c r="GZ44" i="2"/>
  <c r="GZ167" i="2"/>
  <c r="GZ184" i="2"/>
  <c r="GZ15" i="2"/>
  <c r="GZ71" i="2"/>
  <c r="GZ187" i="2"/>
  <c r="GZ193" i="2"/>
  <c r="GZ109" i="2"/>
  <c r="GZ118" i="2"/>
  <c r="GZ156" i="2"/>
  <c r="GZ88" i="2"/>
  <c r="GZ144" i="2"/>
  <c r="GZ127" i="2"/>
  <c r="GZ203" i="2"/>
  <c r="GZ60" i="2"/>
  <c r="GZ106" i="2"/>
  <c r="GZ22" i="2"/>
  <c r="GZ31" i="2"/>
  <c r="GZ87" i="2"/>
  <c r="GZ200" i="2"/>
  <c r="GZ152" i="2"/>
  <c r="GZ10" i="2"/>
  <c r="GZ48" i="2"/>
  <c r="GZ59" i="2"/>
  <c r="GZ172" i="2"/>
  <c r="GZ131" i="2"/>
  <c r="GZ83" i="2"/>
  <c r="GZ143" i="2"/>
  <c r="GZ181" i="2"/>
  <c r="GZ113" i="2"/>
  <c r="GZ122" i="2"/>
  <c r="GZ160" i="2"/>
  <c r="GZ76" i="2"/>
  <c r="GZ132" i="2"/>
  <c r="GZ179" i="2"/>
  <c r="GZ47" i="2"/>
  <c r="GZ64" i="2"/>
  <c r="GZ94" i="2"/>
  <c r="GZ26" i="2"/>
  <c r="GZ11" i="2"/>
  <c r="GZ27" i="2"/>
  <c r="GZ188" i="2"/>
  <c r="GZ197" i="2"/>
  <c r="GZ36" i="2"/>
  <c r="GZ159" i="2"/>
  <c r="GZ176" i="2"/>
  <c r="GZ7" i="2"/>
  <c r="GZ138" i="2"/>
  <c r="GZ35" i="2"/>
  <c r="GZ185" i="2"/>
  <c r="GZ101" i="2"/>
  <c r="GZ110" i="2"/>
  <c r="GZ148" i="2"/>
  <c r="GZ80" i="2"/>
  <c r="GZ89" i="2"/>
  <c r="GZ119" i="2"/>
  <c r="GZ139" i="2"/>
  <c r="GZ52" i="2"/>
  <c r="GZ98" i="2"/>
  <c r="GZ154" i="2"/>
  <c r="GZ23" i="2"/>
  <c r="GZ61" i="2"/>
  <c r="GZ192" i="2"/>
  <c r="GZ201" i="2"/>
  <c r="GZ40" i="2"/>
  <c r="GZ43" i="2"/>
  <c r="GZ12" i="2"/>
  <c r="GZ67" i="2"/>
  <c r="GZ126" i="2"/>
  <c r="GZ135" i="2"/>
  <c r="GZ173" i="2"/>
  <c r="GZ105" i="2"/>
  <c r="GZ114" i="2"/>
  <c r="GZ170" i="2"/>
  <c r="GZ68" i="2"/>
  <c r="GZ77" i="2"/>
  <c r="GZ115" i="2"/>
  <c r="GZ39" i="2"/>
  <c r="GZ56" i="2"/>
  <c r="GZ86" i="2"/>
  <c r="GZ142" i="2"/>
  <c r="GZ195" i="2"/>
  <c r="GZ65" i="2"/>
  <c r="GZ74" i="2"/>
  <c r="GZ189" i="2"/>
  <c r="GZ28" i="2"/>
  <c r="GZ37" i="2"/>
  <c r="GZ93" i="2"/>
  <c r="GZ198" i="2"/>
  <c r="GZ16" i="2"/>
  <c r="GZ171" i="2"/>
  <c r="GZ177" i="2"/>
  <c r="GZ186" i="2"/>
  <c r="GZ102" i="2"/>
  <c r="GZ81" i="2"/>
  <c r="GZ149" i="2"/>
  <c r="GZ123" i="2"/>
  <c r="GZ111" i="2"/>
  <c r="GZ128" i="2"/>
  <c r="GZ158" i="2"/>
  <c r="GZ90" i="2"/>
  <c r="GZ146" i="2"/>
  <c r="GZ137" i="2"/>
  <c r="GZ53" i="2"/>
  <c r="GZ62" i="2"/>
  <c r="GZ100" i="2"/>
  <c r="GZ32" i="2"/>
  <c r="GZ41" i="2"/>
  <c r="GZ97" i="2"/>
  <c r="GZ202" i="2"/>
  <c r="GZ4" i="2"/>
  <c r="GZ50" i="2"/>
  <c r="GZ165" i="2"/>
  <c r="GZ174" i="2"/>
  <c r="GZ13" i="2"/>
  <c r="GZ69" i="2"/>
  <c r="GZ153" i="2"/>
  <c r="GZ183" i="2"/>
  <c r="GZ51" i="2"/>
  <c r="GZ116" i="2"/>
  <c r="GZ162" i="2"/>
  <c r="GZ78" i="2"/>
  <c r="GZ134" i="2"/>
  <c r="GZ125" i="2"/>
  <c r="GZ57" i="2"/>
  <c r="GZ66" i="2"/>
  <c r="GZ104" i="2"/>
  <c r="GZ20" i="2"/>
  <c r="GZ29" i="2"/>
  <c r="GZ85" i="2"/>
  <c r="GZ190" i="2"/>
  <c r="GZ199" i="2"/>
  <c r="GZ38" i="2"/>
  <c r="GZ169" i="2"/>
  <c r="GZ178" i="2"/>
  <c r="GZ17" i="2"/>
  <c r="GZ73" i="2"/>
  <c r="GZ141" i="2"/>
  <c r="GZ107" i="2"/>
  <c r="GZ103" i="2"/>
  <c r="GZ120" i="2"/>
  <c r="GZ150" i="2"/>
  <c r="GZ82" i="2"/>
  <c r="GZ14" i="2"/>
  <c r="GZ129" i="2"/>
  <c r="GZ45" i="2"/>
  <c r="GZ54" i="2"/>
  <c r="GZ92" i="2"/>
  <c r="GZ24" i="2"/>
  <c r="GZ33" i="2"/>
  <c r="GZ63" i="2"/>
  <c r="GZ194" i="2"/>
  <c r="GZ163" i="2"/>
  <c r="GZ42" i="2"/>
  <c r="GZ157" i="2"/>
  <c r="GZ166" i="2"/>
  <c r="GZ5" i="2"/>
  <c r="GZ136" i="2"/>
  <c r="GZ145" i="2"/>
  <c r="GZ175" i="2"/>
  <c r="GZ155" i="2"/>
  <c r="GZ108" i="2"/>
  <c r="GZ164" i="2"/>
  <c r="GZ70" i="2"/>
  <c r="GZ79" i="2"/>
  <c r="GZ117" i="2"/>
  <c r="GZ49" i="2"/>
  <c r="GZ58" i="2"/>
  <c r="GZ96" i="2"/>
  <c r="GZ19" i="2"/>
  <c r="GZ182" i="2"/>
  <c r="GZ191" i="2"/>
  <c r="GZ30" i="2"/>
  <c r="GZ161" i="2"/>
  <c r="GZ18" i="2"/>
  <c r="GZ9" i="2"/>
  <c r="GZ124" i="2"/>
  <c r="GZ133" i="2"/>
  <c r="GZ99" i="2"/>
  <c r="GZ95" i="2"/>
  <c r="GZ112" i="2"/>
  <c r="GZ168" i="2"/>
  <c r="GZ151" i="2"/>
  <c r="GZ147" i="2"/>
  <c r="GZ121" i="2"/>
  <c r="GZ130" i="2"/>
  <c r="GZ46" i="2"/>
  <c r="GZ84" i="2"/>
  <c r="GZ140" i="2"/>
  <c r="GZ25" i="2"/>
  <c r="GZ55" i="2"/>
  <c r="GZ72" i="2"/>
  <c r="GZ8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48" i="2"/>
  <c r="CY176" i="2"/>
  <c r="CY121" i="2"/>
  <c r="CY107" i="2"/>
  <c r="CY53" i="2"/>
  <c r="CY138" i="2"/>
  <c r="CY63" i="2"/>
  <c r="CY136" i="2"/>
  <c r="CY102" i="2"/>
  <c r="CY169" i="2"/>
  <c r="CY175" i="2"/>
  <c r="CY83" i="2"/>
  <c r="CY158" i="2"/>
  <c r="CY49" i="2"/>
  <c r="CY199" i="2"/>
  <c r="CY11" i="2"/>
  <c r="CY75" i="2"/>
  <c r="CY120" i="2"/>
  <c r="CY160" i="2"/>
  <c r="CY31" i="2"/>
  <c r="CY17" i="2"/>
  <c r="CY9" i="2"/>
  <c r="CY29" i="2"/>
  <c r="CY200" i="2"/>
  <c r="CY90" i="2"/>
  <c r="CY95" i="2"/>
  <c r="CY80" i="2"/>
  <c r="CY152" i="2"/>
  <c r="CY124" i="2"/>
  <c r="CY174" i="2"/>
  <c r="CY47" i="2"/>
  <c r="CY119" i="2"/>
  <c r="CY87" i="2"/>
  <c r="CY135" i="2"/>
  <c r="CY137" i="2"/>
  <c r="CY101" i="2"/>
  <c r="CY82" i="2"/>
  <c r="CY44" i="2"/>
  <c r="CY74" i="2"/>
  <c r="CY5" i="2"/>
  <c r="CY14" i="2"/>
  <c r="CY187" i="2"/>
  <c r="CY59" i="2"/>
  <c r="CY148" i="2"/>
  <c r="CY164" i="2"/>
  <c r="CY114" i="2"/>
  <c r="CY145" i="2"/>
  <c r="CY68" i="2"/>
  <c r="CY27" i="2"/>
  <c r="CY91" i="2"/>
  <c r="CY140" i="2"/>
  <c r="CY184" i="2"/>
  <c r="CY94" i="2"/>
  <c r="CY108" i="2"/>
  <c r="CY10" i="2"/>
  <c r="CY96" i="2"/>
  <c r="CY65" i="2"/>
  <c r="CY46" i="2"/>
  <c r="CY157" i="2"/>
  <c r="CY109" i="2"/>
  <c r="CY57" i="2"/>
  <c r="CY110" i="2"/>
  <c r="CY79" i="2"/>
  <c r="CY20" i="2"/>
  <c r="CY50" i="2"/>
  <c r="CY105" i="2"/>
  <c r="CY122" i="2"/>
  <c r="CY84" i="2"/>
  <c r="CY60" i="2"/>
  <c r="CY78" i="2"/>
  <c r="CY170" i="2"/>
  <c r="CY39" i="2"/>
  <c r="CY106" i="2"/>
  <c r="CY126" i="2"/>
  <c r="CY151" i="2"/>
  <c r="CY58" i="2"/>
  <c r="CY190" i="2"/>
  <c r="CY144" i="2"/>
  <c r="CY36" i="2"/>
  <c r="CY23" i="2"/>
  <c r="CY118" i="2"/>
  <c r="CY66" i="2"/>
  <c r="CY183" i="2"/>
  <c r="CY89" i="2"/>
  <c r="CY146" i="2"/>
  <c r="CY64" i="2"/>
  <c r="CY25" i="2"/>
  <c r="CY38" i="2"/>
  <c r="CY195" i="2"/>
  <c r="CY131" i="2"/>
  <c r="CY155" i="2"/>
  <c r="CY67" i="2"/>
  <c r="CY85" i="2"/>
  <c r="CY22" i="2"/>
  <c r="CY103" i="2"/>
  <c r="CY16" i="2"/>
  <c r="CY92" i="2"/>
  <c r="CY134" i="2"/>
  <c r="CY52" i="2"/>
  <c r="CY123" i="2"/>
  <c r="CY13" i="2"/>
  <c r="CY28" i="2"/>
  <c r="CY81" i="2"/>
  <c r="CY30" i="2"/>
  <c r="CY15" i="2"/>
  <c r="CY198" i="2"/>
  <c r="CY70" i="2"/>
  <c r="CY7" i="2"/>
  <c r="CY42" i="2"/>
  <c r="CY115" i="2"/>
  <c r="CY56" i="2"/>
  <c r="CY150" i="2"/>
  <c r="CY77" i="2"/>
  <c r="CY54" i="2"/>
  <c r="CY128" i="2"/>
  <c r="CY189" i="2"/>
  <c r="CY116" i="2"/>
  <c r="CY171" i="2"/>
  <c r="CY201" i="2"/>
  <c r="CY179" i="2"/>
  <c r="CY3" i="2"/>
  <c r="C10" i="4" s="1"/>
  <c r="E10" i="4" s="1"/>
  <c r="F10" i="4" s="1"/>
  <c r="G10" i="4" s="1"/>
  <c r="L10" i="4" s="1"/>
  <c r="CY166" i="2"/>
  <c r="CY172" i="2"/>
  <c r="CY165" i="2"/>
  <c r="CY153" i="2"/>
  <c r="CY193" i="2"/>
  <c r="CY97" i="2"/>
  <c r="CY139" i="2"/>
  <c r="CY45" i="2"/>
  <c r="CY113" i="2"/>
  <c r="CY8" i="2"/>
  <c r="CY130" i="2"/>
  <c r="CY162" i="2"/>
  <c r="CY117" i="2"/>
  <c r="CY55" i="2"/>
  <c r="CY188" i="2"/>
  <c r="CY62" i="2"/>
  <c r="CY111" i="2"/>
  <c r="CY12" i="2"/>
  <c r="CY196" i="2"/>
  <c r="CY133" i="2"/>
  <c r="CY159" i="2"/>
  <c r="CY192" i="2"/>
  <c r="CY69" i="2"/>
  <c r="CY202" i="2"/>
  <c r="CY161" i="2"/>
  <c r="CY76" i="2"/>
  <c r="CY40" i="2"/>
  <c r="CY167" i="2"/>
  <c r="CY163" i="2"/>
  <c r="CY35" i="2"/>
  <c r="CY132" i="2"/>
  <c r="CY129" i="2"/>
  <c r="CY104" i="2"/>
  <c r="CY147" i="2"/>
  <c r="CY88" i="2"/>
  <c r="CY127" i="2"/>
  <c r="CY51" i="2"/>
  <c r="CY177" i="2"/>
  <c r="CY141" i="2"/>
  <c r="CY181" i="2"/>
  <c r="CY86" i="2"/>
  <c r="CY93" i="2"/>
  <c r="CY71" i="2"/>
  <c r="CY4" i="2"/>
  <c r="CY197" i="2"/>
  <c r="CY99" i="2"/>
  <c r="CY180" i="2"/>
  <c r="CY143" i="2"/>
  <c r="CY182" i="2"/>
  <c r="CY43" i="2"/>
  <c r="CY125" i="2"/>
  <c r="CY73" i="2"/>
  <c r="CY32" i="2"/>
  <c r="CY185" i="2"/>
  <c r="CY142" i="2"/>
  <c r="CY98" i="2"/>
  <c r="CY154" i="2"/>
  <c r="CY178" i="2"/>
  <c r="CY72" i="2"/>
  <c r="CY21" i="2"/>
  <c r="CY156" i="2"/>
  <c r="CY191" i="2"/>
  <c r="CY37" i="2"/>
  <c r="CY186" i="2"/>
  <c r="CY203" i="2"/>
  <c r="CY100" i="2"/>
  <c r="CY41" i="2"/>
  <c r="CY61" i="2"/>
  <c r="CY33" i="2"/>
  <c r="CY34" i="2"/>
  <c r="CY173" i="2"/>
  <c r="CY194" i="2"/>
  <c r="CY6" i="2"/>
  <c r="CY168" i="2"/>
  <c r="CY19" i="2"/>
  <c r="CY112" i="2"/>
  <c r="CY26" i="2"/>
  <c r="CY18" i="2"/>
  <c r="CY14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11" i="2" l="1"/>
  <c r="GE122" i="2"/>
  <c r="GE52" i="2"/>
  <c r="GE16" i="2"/>
  <c r="GE80" i="2"/>
  <c r="GE168" i="2"/>
  <c r="GE30" i="2"/>
  <c r="GE132" i="2"/>
  <c r="GE89" i="2"/>
  <c r="GE34" i="2"/>
  <c r="GE93" i="2"/>
  <c r="GE3" i="2"/>
  <c r="C14" i="4" s="1"/>
  <c r="E14" i="4" s="1"/>
  <c r="F14" i="4" s="1"/>
  <c r="G14" i="4" s="1"/>
  <c r="L14" i="4" s="1"/>
  <c r="GE82" i="2"/>
  <c r="GE58" i="2"/>
  <c r="GE182" i="2"/>
  <c r="GE158" i="2"/>
  <c r="GE60" i="2"/>
  <c r="GE118" i="2"/>
  <c r="GE69" i="2"/>
  <c r="GE28" i="2"/>
  <c r="GE76" i="2"/>
  <c r="GE44" i="2"/>
  <c r="GE174" i="2"/>
  <c r="GE198" i="2"/>
  <c r="GE163" i="2"/>
  <c r="GE169" i="2"/>
  <c r="GE131" i="2"/>
  <c r="GE108" i="2"/>
  <c r="GE172" i="2"/>
  <c r="GE190" i="2"/>
  <c r="GE75" i="2"/>
  <c r="GE4" i="2"/>
  <c r="GE77" i="2"/>
  <c r="GE113" i="2"/>
  <c r="GE102" i="2"/>
  <c r="GE19" i="2"/>
  <c r="GE134" i="2"/>
  <c r="GE153" i="2"/>
  <c r="GE23" i="2"/>
  <c r="GE5" i="2"/>
  <c r="GE91" i="2"/>
  <c r="GE74" i="2"/>
  <c r="GE121" i="2"/>
  <c r="GE24" i="2"/>
  <c r="GE120" i="2"/>
  <c r="GE79" i="2"/>
  <c r="GE116" i="2"/>
  <c r="GE67" i="2"/>
  <c r="GE128" i="2"/>
  <c r="GE191" i="2"/>
  <c r="GE15" i="2"/>
  <c r="GE71" i="2"/>
  <c r="GE156" i="2"/>
  <c r="GE114" i="2"/>
  <c r="GE173" i="2"/>
  <c r="GE20" i="2"/>
  <c r="GE177" i="2"/>
  <c r="GE161" i="2"/>
  <c r="GE197" i="2"/>
  <c r="GE142" i="2"/>
  <c r="GE94" i="2"/>
  <c r="GE140" i="2"/>
  <c r="GE141" i="2"/>
  <c r="GE136" i="2"/>
  <c r="GE151" i="2"/>
  <c r="GE185" i="2"/>
  <c r="GE119" i="2"/>
  <c r="GE87" i="2"/>
  <c r="GE196" i="2"/>
  <c r="GE53" i="2"/>
  <c r="GE35" i="2"/>
  <c r="GE148" i="2"/>
  <c r="GE186" i="2"/>
  <c r="GE112" i="2"/>
  <c r="GE10" i="2"/>
  <c r="GE90" i="2"/>
  <c r="GE43" i="2"/>
  <c r="GE133" i="2"/>
  <c r="GE59" i="2"/>
  <c r="GE193" i="2"/>
  <c r="GE103" i="2"/>
  <c r="GE155" i="2"/>
  <c r="GE175" i="2"/>
  <c r="GE7" i="2"/>
  <c r="GE65" i="2"/>
  <c r="GE64" i="2"/>
  <c r="GE84" i="2"/>
  <c r="GE126" i="2"/>
  <c r="GE36" i="2"/>
  <c r="GE56" i="2"/>
  <c r="GE125" i="2"/>
  <c r="GE194" i="2"/>
  <c r="GE86" i="2"/>
  <c r="GE54" i="2"/>
  <c r="GE63" i="2"/>
  <c r="GE110" i="2"/>
  <c r="GE31" i="2"/>
  <c r="GE27" i="2"/>
  <c r="GE42" i="2"/>
  <c r="GE109" i="2"/>
  <c r="GE139" i="2"/>
  <c r="GE41" i="2"/>
  <c r="GE202" i="2"/>
  <c r="GE162" i="2"/>
  <c r="GE46" i="2"/>
  <c r="GE25" i="2"/>
  <c r="GE164" i="2"/>
  <c r="GE130" i="2"/>
  <c r="GE95" i="2"/>
  <c r="GE99" i="2"/>
  <c r="GE22" i="2"/>
  <c r="GE149" i="2"/>
  <c r="GE150" i="2"/>
  <c r="GE38" i="2"/>
  <c r="GE85" i="2"/>
  <c r="GE61" i="2"/>
  <c r="GE184" i="2"/>
  <c r="GE117" i="2"/>
  <c r="GE152" i="2"/>
  <c r="GE51" i="2"/>
  <c r="GE50" i="2"/>
  <c r="GE104" i="2"/>
  <c r="GE157" i="2"/>
  <c r="GE66" i="2"/>
  <c r="GE159" i="2"/>
  <c r="GE106" i="2"/>
  <c r="GE70" i="2"/>
  <c r="GE144" i="2"/>
  <c r="GE187" i="2"/>
  <c r="GE49" i="2"/>
  <c r="GE115" i="2"/>
  <c r="GE13" i="2"/>
  <c r="GE127" i="2"/>
  <c r="GE9" i="2"/>
  <c r="GE12" i="2"/>
  <c r="GE137" i="2"/>
  <c r="GE68" i="2"/>
  <c r="GE166" i="2"/>
  <c r="GE100" i="2"/>
  <c r="GE55" i="2"/>
  <c r="GE138" i="2"/>
  <c r="GE107" i="2"/>
  <c r="GE178" i="2"/>
  <c r="GE40" i="2"/>
  <c r="GE123" i="2"/>
  <c r="GE160" i="2"/>
  <c r="GE88" i="2"/>
  <c r="GE199" i="2"/>
  <c r="GE39" i="2"/>
  <c r="GE62" i="2"/>
  <c r="GE48" i="2"/>
  <c r="GE183" i="2"/>
  <c r="GE45" i="2"/>
  <c r="GE8" i="2"/>
  <c r="GE181" i="2"/>
  <c r="GE6" i="2"/>
  <c r="GE47" i="2"/>
  <c r="GE14" i="2"/>
  <c r="GE29" i="2"/>
  <c r="GE171" i="2"/>
  <c r="GE96" i="2"/>
  <c r="GE167" i="2"/>
  <c r="GE101" i="2"/>
  <c r="GE33" i="2"/>
  <c r="GE135" i="2"/>
  <c r="GE105" i="2"/>
  <c r="GE192" i="2"/>
  <c r="GE72" i="2"/>
  <c r="GE97" i="2"/>
  <c r="GE73" i="2"/>
  <c r="GE146" i="2"/>
  <c r="GE200" i="2"/>
  <c r="GE37" i="2"/>
  <c r="GE92" i="2"/>
  <c r="GE176" i="2"/>
  <c r="GE81" i="2"/>
  <c r="GE57" i="2"/>
  <c r="GE21" i="2"/>
  <c r="GE195" i="2"/>
  <c r="GE203" i="2"/>
  <c r="GE18" i="2"/>
  <c r="GE189" i="2"/>
  <c r="GE32" i="2"/>
  <c r="GE165" i="2"/>
  <c r="GE129" i="2"/>
  <c r="GE98" i="2"/>
  <c r="GE26" i="2"/>
  <c r="GE111" i="2"/>
  <c r="GE124" i="2"/>
  <c r="GE180" i="2"/>
  <c r="GE78" i="2"/>
  <c r="GE143" i="2"/>
  <c r="GE147" i="2"/>
  <c r="GE83" i="2"/>
  <c r="GE201" i="2"/>
  <c r="GE188" i="2"/>
  <c r="GE154" i="2"/>
  <c r="GE179" i="2"/>
  <c r="GE170" i="2"/>
  <c r="GE17" i="2"/>
  <c r="GE145" i="2"/>
  <c r="CD60" i="2"/>
  <c r="CD84" i="2"/>
  <c r="CD61" i="2"/>
  <c r="CD11" i="2"/>
  <c r="CD172" i="2"/>
  <c r="CD103" i="2"/>
  <c r="CD164" i="2"/>
  <c r="CD64" i="2"/>
  <c r="CD72" i="2"/>
  <c r="CD33" i="2"/>
  <c r="CD42" i="2"/>
  <c r="CD31" i="2"/>
  <c r="CD71" i="2"/>
  <c r="CD201" i="2"/>
  <c r="CD63" i="2"/>
  <c r="CD190" i="2"/>
  <c r="CD86" i="2"/>
  <c r="CD109" i="2"/>
  <c r="CD179" i="2"/>
  <c r="CD6" i="2"/>
  <c r="CD116" i="2"/>
  <c r="CD8" i="2"/>
  <c r="CD98" i="2"/>
  <c r="CD112" i="2"/>
  <c r="CD101" i="2"/>
  <c r="CD100" i="2"/>
  <c r="CD76" i="2"/>
  <c r="CD68" i="2"/>
  <c r="CD166" i="2"/>
  <c r="CD40" i="2"/>
  <c r="CD36" i="2"/>
  <c r="CD66" i="2"/>
  <c r="CD158" i="2"/>
  <c r="CD157" i="2"/>
  <c r="CD127" i="2"/>
  <c r="CD126" i="2"/>
  <c r="CD132" i="2"/>
  <c r="CD37" i="2"/>
  <c r="CD159" i="2"/>
  <c r="CD10" i="2"/>
  <c r="CD146" i="2"/>
  <c r="CD200" i="2"/>
  <c r="CD23" i="2"/>
  <c r="CD49" i="2"/>
  <c r="CD87" i="2"/>
  <c r="CD104" i="2"/>
  <c r="CD91" i="2"/>
  <c r="CD122" i="2"/>
  <c r="CD176" i="2"/>
  <c r="CD163" i="2"/>
  <c r="CD74" i="2"/>
  <c r="CD165" i="2"/>
  <c r="CD52" i="2"/>
  <c r="CD3" i="2"/>
  <c r="C9" i="4" s="1"/>
  <c r="E9" i="4" s="1"/>
  <c r="F9" i="4" s="1"/>
  <c r="G9" i="4" s="1"/>
  <c r="L9" i="4" s="1"/>
  <c r="CD46" i="2"/>
  <c r="CD188" i="2"/>
  <c r="CD94" i="2"/>
  <c r="CD57" i="2"/>
  <c r="CD50" i="2"/>
  <c r="CD70" i="2"/>
  <c r="CD151" i="2"/>
  <c r="CD182" i="2"/>
  <c r="CD152" i="2"/>
  <c r="CD113" i="2"/>
  <c r="CD26" i="2"/>
  <c r="CD107" i="2"/>
  <c r="CD180" i="2"/>
  <c r="CD82" i="2"/>
  <c r="CD85" i="2"/>
  <c r="CD178" i="2"/>
  <c r="CD75" i="2"/>
  <c r="CD170" i="2"/>
  <c r="CD32" i="2"/>
  <c r="CD53" i="2"/>
  <c r="CD189" i="2"/>
  <c r="CD145" i="2"/>
  <c r="CD191" i="2"/>
  <c r="CD130" i="2"/>
  <c r="CD121" i="2"/>
  <c r="CD81" i="2"/>
  <c r="CD168" i="2"/>
  <c r="CD5" i="2"/>
  <c r="CD22" i="2"/>
  <c r="CD38" i="2"/>
  <c r="CD114" i="2"/>
  <c r="CD93" i="2"/>
  <c r="CD120" i="2"/>
  <c r="CD177" i="2"/>
  <c r="CD149" i="2"/>
  <c r="CD119" i="2"/>
  <c r="CD138" i="2"/>
  <c r="CD18" i="2"/>
  <c r="CD167" i="2"/>
  <c r="CD115" i="2"/>
  <c r="CD186" i="2"/>
  <c r="CD79" i="2"/>
  <c r="CD202" i="2"/>
  <c r="CD17" i="2"/>
  <c r="CD137" i="2"/>
  <c r="CD62" i="2"/>
  <c r="CD19" i="2"/>
  <c r="CD47" i="2"/>
  <c r="CD24" i="2"/>
  <c r="CD148" i="2"/>
  <c r="CD21" i="2"/>
  <c r="CD117" i="2"/>
  <c r="CD97" i="2"/>
  <c r="CD169" i="2"/>
  <c r="CD83" i="2"/>
  <c r="CD35" i="2"/>
  <c r="CD175" i="2"/>
  <c r="CD20" i="2"/>
  <c r="CD56" i="2"/>
  <c r="CD88" i="2"/>
  <c r="CD111" i="2"/>
  <c r="CD143" i="2"/>
  <c r="CD89" i="2"/>
  <c r="CD12" i="2"/>
  <c r="CD25" i="2"/>
  <c r="CD29" i="2"/>
  <c r="CD77" i="2"/>
  <c r="CD181" i="2"/>
  <c r="CD13" i="2"/>
  <c r="CD193" i="2"/>
  <c r="CD185" i="2"/>
  <c r="CD44" i="2"/>
  <c r="CD7" i="2"/>
  <c r="CD41" i="2"/>
  <c r="CD140" i="2"/>
  <c r="CD78" i="2"/>
  <c r="CD4" i="2"/>
  <c r="CD134" i="2"/>
  <c r="CD108" i="2"/>
  <c r="CD95" i="2"/>
  <c r="CD73" i="2"/>
  <c r="CD99" i="2"/>
  <c r="CD45" i="2"/>
  <c r="CD65" i="2"/>
  <c r="CD48" i="2"/>
  <c r="CD15" i="2"/>
  <c r="CD106" i="2"/>
  <c r="CD162" i="2"/>
  <c r="CD16" i="2"/>
  <c r="CD187" i="2"/>
  <c r="CD199" i="2"/>
  <c r="CD92" i="2"/>
  <c r="CD67" i="2"/>
  <c r="CD39" i="2"/>
  <c r="CD131" i="2"/>
  <c r="CD155" i="2"/>
  <c r="CD153" i="2"/>
  <c r="CD90" i="2"/>
  <c r="CD55" i="2"/>
  <c r="CD14" i="2"/>
  <c r="CD118" i="2"/>
  <c r="CD110" i="2"/>
  <c r="CD194" i="2"/>
  <c r="CD51" i="2"/>
  <c r="CD141" i="2"/>
  <c r="CD171" i="2"/>
  <c r="CD28" i="2"/>
  <c r="CD124" i="2"/>
  <c r="CD173" i="2"/>
  <c r="CD96" i="2"/>
  <c r="CD27" i="2"/>
  <c r="CD142" i="2"/>
  <c r="CD34" i="2"/>
  <c r="CD196" i="2"/>
  <c r="CD154" i="2"/>
  <c r="CD195" i="2"/>
  <c r="CD192" i="2"/>
  <c r="CD69" i="2"/>
  <c r="CD136" i="2"/>
  <c r="CD30" i="2"/>
  <c r="CD156" i="2"/>
  <c r="CD129" i="2"/>
  <c r="CD105" i="2"/>
  <c r="CD54" i="2"/>
  <c r="CD43" i="2"/>
  <c r="CD144" i="2"/>
  <c r="CD59" i="2"/>
  <c r="CD203" i="2"/>
  <c r="CD125" i="2"/>
  <c r="CD174" i="2"/>
  <c r="CD150" i="2"/>
  <c r="CD9" i="2"/>
  <c r="CD183" i="2"/>
  <c r="CD128" i="2"/>
  <c r="CD139" i="2"/>
  <c r="CD198" i="2"/>
  <c r="CD58" i="2"/>
  <c r="CD161" i="2"/>
  <c r="CD184" i="2"/>
  <c r="CD147" i="2"/>
  <c r="CD123" i="2"/>
  <c r="CD133" i="2"/>
  <c r="CD135" i="2"/>
  <c r="CD80" i="2"/>
  <c r="CD197" i="2"/>
  <c r="CD160" i="2"/>
  <c r="CD10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71" i="2" l="1"/>
  <c r="BI47" i="2"/>
  <c r="BI70" i="2"/>
  <c r="BI145" i="2"/>
  <c r="BI154" i="2"/>
  <c r="BI166" i="2"/>
  <c r="BI134" i="2"/>
  <c r="BI187" i="2"/>
  <c r="BI73" i="2"/>
  <c r="BI19" i="2"/>
  <c r="BI91" i="2"/>
  <c r="BI176" i="2"/>
  <c r="BI99" i="2"/>
  <c r="BI83" i="2"/>
  <c r="BI137" i="2"/>
  <c r="BI168" i="2"/>
  <c r="BI121" i="2"/>
  <c r="BI101" i="2"/>
  <c r="BI175" i="2"/>
  <c r="BI201" i="2"/>
  <c r="BI164" i="2"/>
  <c r="BI178" i="2"/>
  <c r="BI45" i="2"/>
  <c r="BI75" i="2"/>
  <c r="BI185" i="2"/>
  <c r="BI122" i="2"/>
  <c r="BI174" i="2"/>
  <c r="BI92" i="2"/>
  <c r="BI190" i="2"/>
  <c r="BI100" i="2"/>
  <c r="BI97" i="2"/>
  <c r="BI130" i="2"/>
  <c r="BI144" i="2"/>
  <c r="BI93" i="2"/>
  <c r="BI135" i="2"/>
  <c r="BI195" i="2"/>
  <c r="BI15" i="2"/>
  <c r="BI106" i="2"/>
  <c r="BI180" i="2"/>
  <c r="BI95" i="2"/>
  <c r="BI61" i="2"/>
  <c r="BI49" i="2"/>
  <c r="BI63" i="2"/>
  <c r="BI116" i="2"/>
  <c r="BI67" i="2"/>
  <c r="BI7" i="2"/>
  <c r="BI127" i="2"/>
  <c r="BI199" i="2"/>
  <c r="BI87" i="2"/>
  <c r="BI72" i="2"/>
  <c r="BI152" i="2"/>
  <c r="BI69" i="2"/>
  <c r="BI107" i="2"/>
  <c r="BI29" i="2"/>
  <c r="BI56" i="2"/>
  <c r="BI197" i="2"/>
  <c r="BI181" i="2"/>
  <c r="BI139" i="2"/>
  <c r="BI119" i="2"/>
  <c r="BI141" i="2"/>
  <c r="BI21" i="2"/>
  <c r="BI124" i="2"/>
  <c r="BI23" i="2"/>
  <c r="BI125" i="2"/>
  <c r="BI42" i="2"/>
  <c r="BI52" i="2"/>
  <c r="BI184" i="2"/>
  <c r="BI37" i="2"/>
  <c r="BI161" i="2"/>
  <c r="BI146" i="2"/>
  <c r="BI6" i="2"/>
  <c r="BI157" i="2"/>
  <c r="BI192" i="2"/>
  <c r="BI40" i="2"/>
  <c r="BI32" i="2"/>
  <c r="BI46" i="2"/>
  <c r="BI25" i="2"/>
  <c r="BI16" i="2"/>
  <c r="BI20" i="2"/>
  <c r="BI85" i="2"/>
  <c r="BI200" i="2"/>
  <c r="BI55" i="2"/>
  <c r="BI36" i="2"/>
  <c r="BI41" i="2"/>
  <c r="BI167" i="2"/>
  <c r="BI39" i="2"/>
  <c r="BI4" i="2"/>
  <c r="BI172" i="2"/>
  <c r="BI113" i="2"/>
  <c r="BI34" i="2"/>
  <c r="BI51" i="2"/>
  <c r="BI8" i="2"/>
  <c r="BI163" i="2"/>
  <c r="BI50" i="2"/>
  <c r="BI64" i="2"/>
  <c r="BI88" i="2"/>
  <c r="BI57" i="2"/>
  <c r="BI179" i="2"/>
  <c r="BI96" i="2"/>
  <c r="BI126" i="2"/>
  <c r="BI182" i="2"/>
  <c r="BI188" i="2"/>
  <c r="BI194" i="2"/>
  <c r="BI112" i="2"/>
  <c r="BI84" i="2"/>
  <c r="BI81" i="2"/>
  <c r="BI59" i="2"/>
  <c r="BI128" i="2"/>
  <c r="BI132" i="2"/>
  <c r="BI118" i="2"/>
  <c r="BI150" i="2"/>
  <c r="BI203" i="2"/>
  <c r="BI22" i="2"/>
  <c r="BI111" i="2"/>
  <c r="BI148" i="2"/>
  <c r="BI142" i="2"/>
  <c r="BI186" i="2"/>
  <c r="BI120" i="2"/>
  <c r="BI138" i="2"/>
  <c r="BI27" i="2"/>
  <c r="BI98" i="2"/>
  <c r="BI33" i="2"/>
  <c r="BI189" i="2"/>
  <c r="BI74" i="2"/>
  <c r="BI38" i="2"/>
  <c r="BI28" i="2"/>
  <c r="BI53" i="2"/>
  <c r="BI76" i="2"/>
  <c r="BI14" i="2"/>
  <c r="BI13" i="2"/>
  <c r="BI54" i="2"/>
  <c r="BI110" i="2"/>
  <c r="BI105" i="2"/>
  <c r="BI173" i="2"/>
  <c r="BI155" i="2"/>
  <c r="BI94" i="2"/>
  <c r="BI151" i="2"/>
  <c r="BI60" i="2"/>
  <c r="BI102" i="2"/>
  <c r="BI80" i="2"/>
  <c r="BI171" i="2"/>
  <c r="BI158" i="2"/>
  <c r="BI58" i="2"/>
  <c r="BI65" i="2"/>
  <c r="BI115" i="2"/>
  <c r="BI79" i="2"/>
  <c r="BI196" i="2"/>
  <c r="BI177" i="2"/>
  <c r="BI129" i="2"/>
  <c r="BI68" i="2"/>
  <c r="BI198" i="2"/>
  <c r="BI48" i="2"/>
  <c r="BI89" i="2"/>
  <c r="BI35" i="2"/>
  <c r="BI77" i="2"/>
  <c r="BI147" i="2"/>
  <c r="BI66" i="2"/>
  <c r="BI117" i="2"/>
  <c r="BI131" i="2"/>
  <c r="BI12" i="2"/>
  <c r="BI136" i="2"/>
  <c r="BI133" i="2"/>
  <c r="BI108" i="2"/>
  <c r="BI191" i="2"/>
  <c r="BI26" i="2"/>
  <c r="BI44" i="2"/>
  <c r="BI104" i="2"/>
  <c r="BI11" i="2"/>
  <c r="BI30" i="2"/>
  <c r="BI9" i="2"/>
  <c r="BI31" i="2"/>
  <c r="BI18" i="2"/>
  <c r="BI183" i="2"/>
  <c r="BI90" i="2"/>
  <c r="BI153" i="2"/>
  <c r="BI62" i="2"/>
  <c r="BI10" i="2"/>
  <c r="BI82" i="2"/>
  <c r="BI103" i="2"/>
  <c r="BI5" i="2"/>
  <c r="BI159" i="2"/>
  <c r="BI143" i="2"/>
  <c r="BI24" i="2"/>
  <c r="BI202" i="2"/>
  <c r="BI3" i="2"/>
  <c r="C8" i="4" s="1"/>
  <c r="E8" i="4" s="1"/>
  <c r="F8" i="4" s="1"/>
  <c r="G8" i="4" s="1"/>
  <c r="L8" i="4" s="1"/>
  <c r="BI123" i="2"/>
  <c r="BI114" i="2"/>
  <c r="BI78" i="2"/>
  <c r="BI149" i="2"/>
  <c r="BI86" i="2"/>
  <c r="BI170" i="2"/>
  <c r="BI17" i="2"/>
  <c r="BI140" i="2"/>
  <c r="BI162" i="2"/>
  <c r="BI160" i="2"/>
  <c r="BI109" i="2"/>
  <c r="BI169" i="2"/>
  <c r="BI156" i="2"/>
  <c r="BI43" i="2"/>
  <c r="BI193" i="2"/>
  <c r="BI16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<sst xmlns="http://schemas.openxmlformats.org/spreadsheetml/2006/main" count="1178" uniqueCount="324">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</sst>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433952"/>
        <c:axId val="1036434496"/>
      </c:scatterChart>
      <c:valAx>
        <c:axId val="1036433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4496"/>
        <c:crosses val="autoZero"/>
        <c:crossBetween val="midCat"/>
      </c:valAx>
      <c:valAx>
        <c:axId val="103643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4112"/>
        <c:axId val="1031079760"/>
      </c:scatterChart>
      <c:valAx>
        <c:axId val="1031084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79760"/>
        <c:crosses val="autoZero"/>
        <c:crossBetween val="midCat"/>
      </c:valAx>
      <c:valAx>
        <c:axId val="103107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4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594.0200993627401</c:v>
                </c:pt>
                <c:pt idx="82">
                  <c:v>605.75165740042189</c:v>
                </c:pt>
                <c:pt idx="83">
                  <c:v>617.47849820447721</c:v>
                </c:pt>
                <c:pt idx="84">
                  <c:v>629.200723961054</c:v>
                </c:pt>
                <c:pt idx="85">
                  <c:v>640.91843273956351</c:v>
                </c:pt>
                <c:pt idx="86">
                  <c:v>652.63171873234603</c:v>
                </c:pt>
                <c:pt idx="87">
                  <c:v>664.34067247624</c:v>
                </c:pt>
                <c:pt idx="88">
                  <c:v>676.0453810577319</c:v>
                </c:pt>
                <c:pt idx="89">
                  <c:v>687.74592830316158</c:v>
                </c:pt>
                <c:pt idx="90">
                  <c:v>699.44239495532099</c:v>
                </c:pt>
                <c:pt idx="91">
                  <c:v>560.75411650027115</c:v>
                </c:pt>
                <c:pt idx="92">
                  <c:v>571.25413823451834</c:v>
                </c:pt>
                <c:pt idx="93">
                  <c:v>581.75012922929818</c:v>
                </c:pt>
                <c:pt idx="94">
                  <c:v>592.24217245006082</c:v>
                </c:pt>
                <c:pt idx="95">
                  <c:v>602.73034768336299</c:v>
                </c:pt>
                <c:pt idx="96">
                  <c:v>613.21473171304285</c:v>
                </c:pt>
                <c:pt idx="97">
                  <c:v>623.6953984837188</c:v>
                </c:pt>
                <c:pt idx="98">
                  <c:v>634.1724192527347</c:v>
                </c:pt>
                <c:pt idx="99">
                  <c:v>644.64586273154237</c:v>
                </c:pt>
                <c:pt idx="100">
                  <c:v>655.11579521742237</c:v>
                </c:pt>
                <c:pt idx="101">
                  <c:v>664.34067247623955</c:v>
                </c:pt>
                <c:pt idx="102">
                  <c:v>673.56291460175487</c:v>
                </c:pt>
                <c:pt idx="103">
                  <c:v>682.78256275237675</c:v>
                </c:pt>
                <c:pt idx="104">
                  <c:v>691.99965688460588</c:v>
                </c:pt>
                <c:pt idx="105">
                  <c:v>701.2142358040129</c:v>
                </c:pt>
                <c:pt idx="106">
                  <c:v>710.42633721340314</c:v>
                </c:pt>
                <c:pt idx="107">
                  <c:v>719.63599775834973</c:v>
                </c:pt>
                <c:pt idx="108">
                  <c:v>728.84325307027939</c:v>
                </c:pt>
                <c:pt idx="109">
                  <c:v>738.0481378072659</c:v>
                </c:pt>
                <c:pt idx="110">
                  <c:v>747.25068569268603</c:v>
                </c:pt>
                <c:pt idx="111">
                  <c:v>567.16139348415538</c:v>
                </c:pt>
                <c:pt idx="112">
                  <c:v>575.16836435383323</c:v>
                </c:pt>
                <c:pt idx="113">
                  <c:v>583.17300871029295</c:v>
                </c:pt>
                <c:pt idx="114">
                  <c:v>591.17536299398307</c:v>
                </c:pt>
                <c:pt idx="115">
                  <c:v>599.17546257825973</c:v>
                </c:pt>
                <c:pt idx="116">
                  <c:v>607.1733418147719</c:v>
                </c:pt>
                <c:pt idx="117">
                  <c:v>615.16903407633276</c:v>
                </c:pt>
                <c:pt idx="118">
                  <c:v>623.16257179744491</c:v>
                </c:pt>
                <c:pt idx="119">
                  <c:v>631.15398651263888</c:v>
                </c:pt>
                <c:pt idx="120">
                  <c:v>639.14330889277005</c:v>
                </c:pt>
                <c:pt idx="121">
                  <c:v>646.59814836693397</c:v>
                </c:pt>
                <c:pt idx="122">
                  <c:v>654.05121482288484</c:v>
                </c:pt>
                <c:pt idx="123">
                  <c:v>661.50253131337433</c:v>
                </c:pt>
                <c:pt idx="124">
                  <c:v>668.95212032947177</c:v>
                </c:pt>
                <c:pt idx="125">
                  <c:v>676.40000382048788</c:v>
                </c:pt>
                <c:pt idx="126">
                  <c:v>683.84620321297291</c:v>
                </c:pt>
                <c:pt idx="127">
                  <c:v>691.29073942884872</c:v>
                </c:pt>
                <c:pt idx="128">
                  <c:v>698.73363290271425</c:v>
                </c:pt>
                <c:pt idx="129">
                  <c:v>706.1749035983803</c:v>
                </c:pt>
                <c:pt idx="130">
                  <c:v>713.61457102466704</c:v>
                </c:pt>
                <c:pt idx="131">
                  <c:v>558.79603262623471</c:v>
                </c:pt>
                <c:pt idx="132">
                  <c:v>565.55971684392955</c:v>
                </c:pt>
                <c:pt idx="133">
                  <c:v>572.32170984162178</c:v>
                </c:pt>
                <c:pt idx="134">
                  <c:v>579.08203442466424</c:v>
                </c:pt>
                <c:pt idx="135">
                  <c:v>585.84071282237744</c:v>
                </c:pt>
                <c:pt idx="136">
                  <c:v>592.59776670922179</c:v>
                </c:pt>
                <c:pt idx="137">
                  <c:v>599.35321722495371</c:v>
                </c:pt>
                <c:pt idx="138">
                  <c:v>606.1070849938277</c:v>
                </c:pt>
                <c:pt idx="139">
                  <c:v>612.85939014289363</c:v>
                </c:pt>
                <c:pt idx="140">
                  <c:v>619.61015231945032</c:v>
                </c:pt>
                <c:pt idx="141">
                  <c:v>625.82661106001285</c:v>
                </c:pt>
                <c:pt idx="142">
                  <c:v>632.04179177166873</c:v>
                </c:pt>
                <c:pt idx="143">
                  <c:v>638.2557087964218</c:v>
                </c:pt>
                <c:pt idx="144">
                  <c:v>644.46837617419681</c:v>
                </c:pt>
                <c:pt idx="145">
                  <c:v>650.67980765211689</c:v>
                </c:pt>
                <c:pt idx="146">
                  <c:v>656.89001669340757</c:v>
                </c:pt>
                <c:pt idx="147">
                  <c:v>663.0990164859453</c:v>
                </c:pt>
                <c:pt idx="148">
                  <c:v>669.30681995047235</c:v>
                </c:pt>
                <c:pt idx="149">
                  <c:v>675.51343974848794</c:v>
                </c:pt>
                <c:pt idx="150">
                  <c:v>681.71888828983617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435040"/>
        <c:axId val="1036436672"/>
      </c:scatterChart>
      <c:valAx>
        <c:axId val="103643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6672"/>
        <c:crosses val="autoZero"/>
        <c:crossBetween val="midCat"/>
      </c:valAx>
      <c:valAx>
        <c:axId val="10364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1.9338344915053816</c:v>
                </c:pt>
                <c:pt idx="2">
                  <c:v>2.5168792774880031</c:v>
                </c:pt>
                <c:pt idx="3">
                  <c:v>3.2764284552021476</c:v>
                </c:pt>
                <c:pt idx="4">
                  <c:v>4.2661201458786024</c:v>
                </c:pt>
                <c:pt idx="5">
                  <c:v>5.5559509893338399</c:v>
                </c:pt>
                <c:pt idx="6">
                  <c:v>7.237281695378214</c:v>
                </c:pt>
                <c:pt idx="7">
                  <c:v>9.4293789173990721</c:v>
                </c:pt>
                <c:pt idx="8">
                  <c:v>12.287966296384234</c:v>
                </c:pt>
                <c:pt idx="9">
                  <c:v>16.016403425468454</c:v>
                </c:pt>
                <c:pt idx="10">
                  <c:v>20.88030250950899</c:v>
                </c:pt>
                <c:pt idx="11">
                  <c:v>27.226642624964267</c:v>
                </c:pt>
                <c:pt idx="12">
                  <c:v>35.508769047857506</c:v>
                </c:pt>
                <c:pt idx="13">
                  <c:v>46.319094129132111</c:v>
                </c:pt>
                <c:pt idx="14">
                  <c:v>60.431878137154875</c:v>
                </c:pt>
                <c:pt idx="15">
                  <c:v>78.859204621460421</c:v>
                </c:pt>
                <c:pt idx="16">
                  <c:v>102.92422927625837</c:v>
                </c:pt>
                <c:pt idx="17">
                  <c:v>134.35704491997242</c:v>
                </c:pt>
                <c:pt idx="18">
                  <c:v>175.42016105015344</c:v>
                </c:pt>
                <c:pt idx="19">
                  <c:v>124.96486494520271</c:v>
                </c:pt>
                <c:pt idx="20">
                  <c:v>140.21944435781219</c:v>
                </c:pt>
                <c:pt idx="21">
                  <c:v>155.43417982093831</c:v>
                </c:pt>
                <c:pt idx="22">
                  <c:v>172.31895190057335</c:v>
                </c:pt>
                <c:pt idx="23">
                  <c:v>189.16480303058259</c:v>
                </c:pt>
                <c:pt idx="24">
                  <c:v>205.97568853823978</c:v>
                </c:pt>
                <c:pt idx="25">
                  <c:v>175.55372248472835</c:v>
                </c:pt>
                <c:pt idx="26">
                  <c:v>190.60270303208108</c:v>
                </c:pt>
                <c:pt idx="27">
                  <c:v>205.62401330224324</c:v>
                </c:pt>
                <c:pt idx="28">
                  <c:v>221.72384364283562</c:v>
                </c:pt>
                <c:pt idx="29">
                  <c:v>237.7968531683845</c:v>
                </c:pt>
                <c:pt idx="30">
                  <c:v>253.84511013669089</c:v>
                </c:pt>
                <c:pt idx="31">
                  <c:v>224.83871109620986</c:v>
                </c:pt>
                <c:pt idx="32">
                  <c:v>239.4703265138287</c:v>
                </c:pt>
                <c:pt idx="33">
                  <c:v>254.08158763318781</c:v>
                </c:pt>
                <c:pt idx="34">
                  <c:v>269.31306507908164</c:v>
                </c:pt>
                <c:pt idx="35">
                  <c:v>284.525155785283</c:v>
                </c:pt>
                <c:pt idx="36">
                  <c:v>299.71904225404415</c:v>
                </c:pt>
                <c:pt idx="37">
                  <c:v>270.47414984401968</c:v>
                </c:pt>
                <c:pt idx="38">
                  <c:v>284.2688378389625</c:v>
                </c:pt>
                <c:pt idx="39">
                  <c:v>298.04854095217866</c:v>
                </c:pt>
                <c:pt idx="40">
                  <c:v>311.81404967822442</c:v>
                </c:pt>
                <c:pt idx="41">
                  <c:v>325.96507361049424</c:v>
                </c:pt>
                <c:pt idx="42">
                  <c:v>340.1025308658572</c:v>
                </c:pt>
                <c:pt idx="43">
                  <c:v>354.22706483856382</c:v>
                </c:pt>
                <c:pt idx="44">
                  <c:v>313.73942364981536</c:v>
                </c:pt>
                <c:pt idx="45">
                  <c:v>326.42911663637216</c:v>
                </c:pt>
                <c:pt idx="46">
                  <c:v>339.10791700772785</c:v>
                </c:pt>
                <c:pt idx="47">
                  <c:v>351.77628948730268</c:v>
                </c:pt>
                <c:pt idx="48">
                  <c:v>364.47376002049447</c:v>
                </c:pt>
                <c:pt idx="49">
                  <c:v>377.1615692188247</c:v>
                </c:pt>
                <c:pt idx="50">
                  <c:v>389.84008792349999</c:v>
                </c:pt>
                <c:pt idx="51">
                  <c:v>348.12525360051637</c:v>
                </c:pt>
                <c:pt idx="52">
                  <c:v>359.34808292175944</c:v>
                </c:pt>
                <c:pt idx="53">
                  <c:v>370.56324596538042</c:v>
                </c:pt>
                <c:pt idx="54">
                  <c:v>381.77100752457676</c:v>
                </c:pt>
                <c:pt idx="55">
                  <c:v>393.00440356609937</c:v>
                </c:pt>
                <c:pt idx="56">
                  <c:v>404.23083884214725</c:v>
                </c:pt>
                <c:pt idx="57">
                  <c:v>415.45053395881473</c:v>
                </c:pt>
                <c:pt idx="58">
                  <c:v>426.66369663226129</c:v>
                </c:pt>
                <c:pt idx="59">
                  <c:v>380.99295720401773</c:v>
                </c:pt>
                <c:pt idx="60">
                  <c:v>390.91756344469496</c:v>
                </c:pt>
                <c:pt idx="61">
                  <c:v>400.83670431626092</c:v>
                </c:pt>
                <c:pt idx="62">
                  <c:v>410.75053418432134</c:v>
                </c:pt>
                <c:pt idx="63">
                  <c:v>420.65919935234211</c:v>
                </c:pt>
                <c:pt idx="64">
                  <c:v>430.33096854403556</c:v>
                </c:pt>
                <c:pt idx="65">
                  <c:v>439.99806749756181</c:v>
                </c:pt>
                <c:pt idx="66">
                  <c:v>449.66061331996957</c:v>
                </c:pt>
                <c:pt idx="67">
                  <c:v>459.31871767339152</c:v>
                </c:pt>
                <c:pt idx="68">
                  <c:v>468.97248713983828</c:v>
                </c:pt>
                <c:pt idx="69">
                  <c:v>421.48422503250828</c:v>
                </c:pt>
                <c:pt idx="70">
                  <c:v>429.95884878203816</c:v>
                </c:pt>
                <c:pt idx="71">
                  <c:v>438.42988333671087</c:v>
                </c:pt>
                <c:pt idx="72">
                  <c:v>446.89740785540261</c:v>
                </c:pt>
                <c:pt idx="73">
                  <c:v>455.36149825127944</c:v>
                </c:pt>
                <c:pt idx="74">
                  <c:v>463.61686381711939</c:v>
                </c:pt>
                <c:pt idx="75">
                  <c:v>471.86909439386653</c:v>
                </c:pt>
                <c:pt idx="76">
                  <c:v>480.11825256020353</c:v>
                </c:pt>
                <c:pt idx="77">
                  <c:v>488.36439856822761</c:v>
                </c:pt>
                <c:pt idx="78">
                  <c:v>496.60759046862637</c:v>
                </c:pt>
                <c:pt idx="79">
                  <c:v>451.967676819053</c:v>
                </c:pt>
                <c:pt idx="80">
                  <c:v>459.36913529520456</c:v>
                </c:pt>
                <c:pt idx="81">
                  <c:v>466.76804807836851</c:v>
                </c:pt>
                <c:pt idx="82">
                  <c:v>474.16446123295759</c:v>
                </c:pt>
                <c:pt idx="83">
                  <c:v>481.55841926835836</c:v>
                </c:pt>
                <c:pt idx="84">
                  <c:v>488.61988648418713</c:v>
                </c:pt>
                <c:pt idx="85">
                  <c:v>495.67918858913208</c:v>
                </c:pt>
                <c:pt idx="86">
                  <c:v>502.73636078115049</c:v>
                </c:pt>
                <c:pt idx="87">
                  <c:v>509.79143718897626</c:v>
                </c:pt>
                <c:pt idx="88">
                  <c:v>516.84445091927307</c:v>
                </c:pt>
                <c:pt idx="89">
                  <c:v>218.65542870960857</c:v>
                </c:pt>
                <c:pt idx="90">
                  <c:v>222.62203979798679</c:v>
                </c:pt>
                <c:pt idx="91">
                  <c:v>226.58702960261962</c:v>
                </c:pt>
                <c:pt idx="92">
                  <c:v>3.1312978974928925E-12</c:v>
                </c:pt>
                <c:pt idx="93">
                  <c:v>3.1312978974928925E-12</c:v>
                </c:pt>
                <c:pt idx="94">
                  <c:v>3.1312978974928925E-12</c:v>
                </c:pt>
                <c:pt idx="95">
                  <c:v>3.1312978974928925E-12</c:v>
                </c:pt>
                <c:pt idx="96">
                  <c:v>3.1312978974928925E-12</c:v>
                </c:pt>
                <c:pt idx="97">
                  <c:v>3.1312978974928925E-12</c:v>
                </c:pt>
                <c:pt idx="98">
                  <c:v>3.1312978974928925E-12</c:v>
                </c:pt>
                <c:pt idx="99">
                  <c:v>3.1312978974928925E-12</c:v>
                </c:pt>
                <c:pt idx="100">
                  <c:v>3.1312978974928925E-12</c:v>
                </c:pt>
                <c:pt idx="101">
                  <c:v>3.1312978974928925E-12</c:v>
                </c:pt>
                <c:pt idx="102">
                  <c:v>3.1312978974928925E-12</c:v>
                </c:pt>
                <c:pt idx="103">
                  <c:v>3.1312978974928925E-12</c:v>
                </c:pt>
                <c:pt idx="104">
                  <c:v>3.1312978974928925E-12</c:v>
                </c:pt>
                <c:pt idx="105">
                  <c:v>3.1312978974928925E-12</c:v>
                </c:pt>
                <c:pt idx="106">
                  <c:v>3.1312978974928925E-12</c:v>
                </c:pt>
                <c:pt idx="107">
                  <c:v>3.1312978974928925E-12</c:v>
                </c:pt>
                <c:pt idx="108">
                  <c:v>3.1312978974928925E-12</c:v>
                </c:pt>
                <c:pt idx="109">
                  <c:v>3.1312978974928925E-12</c:v>
                </c:pt>
                <c:pt idx="110">
                  <c:v>3.1312978974928925E-12</c:v>
                </c:pt>
                <c:pt idx="111">
                  <c:v>3.1312978974928925E-12</c:v>
                </c:pt>
                <c:pt idx="112">
                  <c:v>3.1312978974928925E-12</c:v>
                </c:pt>
                <c:pt idx="113">
                  <c:v>3.1312978974928925E-12</c:v>
                </c:pt>
                <c:pt idx="114">
                  <c:v>3.1312978974928925E-12</c:v>
                </c:pt>
                <c:pt idx="115">
                  <c:v>3.1312978974928925E-12</c:v>
                </c:pt>
                <c:pt idx="116">
                  <c:v>3.1312978974928925E-12</c:v>
                </c:pt>
                <c:pt idx="117">
                  <c:v>3.1312978974928925E-12</c:v>
                </c:pt>
                <c:pt idx="118">
                  <c:v>3.1312978974928925E-12</c:v>
                </c:pt>
                <c:pt idx="119">
                  <c:v>3.1312978974928925E-12</c:v>
                </c:pt>
                <c:pt idx="120">
                  <c:v>3.1312978974928925E-12</c:v>
                </c:pt>
                <c:pt idx="121">
                  <c:v>3.1312978974928925E-12</c:v>
                </c:pt>
                <c:pt idx="122">
                  <c:v>3.1312978974928925E-12</c:v>
                </c:pt>
                <c:pt idx="123">
                  <c:v>3.1312978974928925E-12</c:v>
                </c:pt>
                <c:pt idx="124">
                  <c:v>3.1312978974928925E-12</c:v>
                </c:pt>
                <c:pt idx="125">
                  <c:v>3.1312978974928925E-12</c:v>
                </c:pt>
                <c:pt idx="126">
                  <c:v>3.1312978974928925E-12</c:v>
                </c:pt>
                <c:pt idx="127">
                  <c:v>3.1312978974928925E-12</c:v>
                </c:pt>
                <c:pt idx="128">
                  <c:v>3.1312978974928925E-12</c:v>
                </c:pt>
                <c:pt idx="129">
                  <c:v>3.1312978974928925E-12</c:v>
                </c:pt>
                <c:pt idx="130">
                  <c:v>3.1312978974928925E-12</c:v>
                </c:pt>
                <c:pt idx="131">
                  <c:v>3.1312978974928925E-12</c:v>
                </c:pt>
                <c:pt idx="132">
                  <c:v>3.1312978974928925E-12</c:v>
                </c:pt>
                <c:pt idx="133">
                  <c:v>3.1312978974928925E-12</c:v>
                </c:pt>
                <c:pt idx="134">
                  <c:v>3.1312978974928925E-12</c:v>
                </c:pt>
                <c:pt idx="135">
                  <c:v>3.1312978974928925E-12</c:v>
                </c:pt>
                <c:pt idx="136">
                  <c:v>3.1312978974928925E-12</c:v>
                </c:pt>
                <c:pt idx="137">
                  <c:v>3.1312978974928925E-12</c:v>
                </c:pt>
                <c:pt idx="138">
                  <c:v>3.1312978974928925E-12</c:v>
                </c:pt>
                <c:pt idx="139">
                  <c:v>3.1312978974928925E-12</c:v>
                </c:pt>
                <c:pt idx="140">
                  <c:v>3.1312978974928925E-12</c:v>
                </c:pt>
                <c:pt idx="141">
                  <c:v>3.1312978974928925E-12</c:v>
                </c:pt>
                <c:pt idx="142">
                  <c:v>3.1312978974928925E-12</c:v>
                </c:pt>
                <c:pt idx="143">
                  <c:v>3.1312978974928925E-12</c:v>
                </c:pt>
                <c:pt idx="144">
                  <c:v>3.1312978974928925E-12</c:v>
                </c:pt>
                <c:pt idx="145">
                  <c:v>3.1312978974928925E-12</c:v>
                </c:pt>
                <c:pt idx="146">
                  <c:v>3.1312978974928925E-12</c:v>
                </c:pt>
                <c:pt idx="147">
                  <c:v>3.1312978974928925E-12</c:v>
                </c:pt>
                <c:pt idx="148">
                  <c:v>3.1312978974928925E-12</c:v>
                </c:pt>
                <c:pt idx="149">
                  <c:v>3.1312978974928925E-12</c:v>
                </c:pt>
                <c:pt idx="150">
                  <c:v>3.1312978974928925E-12</c:v>
                </c:pt>
                <c:pt idx="151">
                  <c:v>3.1312978974928925E-12</c:v>
                </c:pt>
                <c:pt idx="152">
                  <c:v>3.1312978974928925E-12</c:v>
                </c:pt>
                <c:pt idx="153">
                  <c:v>3.1312978974928925E-12</c:v>
                </c:pt>
                <c:pt idx="154">
                  <c:v>3.1312978974928925E-12</c:v>
                </c:pt>
                <c:pt idx="155">
                  <c:v>3.1312978974928925E-12</c:v>
                </c:pt>
                <c:pt idx="156">
                  <c:v>3.1312978974928925E-12</c:v>
                </c:pt>
                <c:pt idx="157">
                  <c:v>3.1312978974928925E-12</c:v>
                </c:pt>
                <c:pt idx="158">
                  <c:v>3.1312978974928925E-12</c:v>
                </c:pt>
                <c:pt idx="159">
                  <c:v>3.1312978974928925E-12</c:v>
                </c:pt>
                <c:pt idx="160">
                  <c:v>3.1312978974928925E-12</c:v>
                </c:pt>
                <c:pt idx="161">
                  <c:v>3.1312978974928925E-12</c:v>
                </c:pt>
                <c:pt idx="162">
                  <c:v>3.1312978974928925E-12</c:v>
                </c:pt>
                <c:pt idx="163">
                  <c:v>3.1312978974928925E-12</c:v>
                </c:pt>
                <c:pt idx="164">
                  <c:v>3.1312978974928925E-12</c:v>
                </c:pt>
                <c:pt idx="165">
                  <c:v>3.1312978974928925E-12</c:v>
                </c:pt>
                <c:pt idx="166">
                  <c:v>3.1312978974928925E-12</c:v>
                </c:pt>
                <c:pt idx="167">
                  <c:v>3.1312978974928925E-12</c:v>
                </c:pt>
                <c:pt idx="168">
                  <c:v>3.1312978974928925E-12</c:v>
                </c:pt>
                <c:pt idx="169">
                  <c:v>3.1312978974928925E-12</c:v>
                </c:pt>
                <c:pt idx="170">
                  <c:v>3.1312978974928925E-12</c:v>
                </c:pt>
                <c:pt idx="171">
                  <c:v>3.1312978974928925E-12</c:v>
                </c:pt>
                <c:pt idx="172">
                  <c:v>3.1312978974928925E-12</c:v>
                </c:pt>
                <c:pt idx="173">
                  <c:v>3.1312978974928925E-12</c:v>
                </c:pt>
                <c:pt idx="174">
                  <c:v>3.1312978974928925E-12</c:v>
                </c:pt>
                <c:pt idx="175">
                  <c:v>3.1312978974928925E-12</c:v>
                </c:pt>
                <c:pt idx="176">
                  <c:v>3.1312978974928925E-12</c:v>
                </c:pt>
                <c:pt idx="177">
                  <c:v>3.1312978974928925E-12</c:v>
                </c:pt>
                <c:pt idx="178">
                  <c:v>3.1312978974928925E-12</c:v>
                </c:pt>
                <c:pt idx="179">
                  <c:v>3.1312978974928925E-12</c:v>
                </c:pt>
                <c:pt idx="180">
                  <c:v>3.1312978974928925E-12</c:v>
                </c:pt>
                <c:pt idx="181">
                  <c:v>3.1312978974928925E-12</c:v>
                </c:pt>
                <c:pt idx="182">
                  <c:v>3.1312978974928925E-12</c:v>
                </c:pt>
                <c:pt idx="183">
                  <c:v>3.1312978974928925E-12</c:v>
                </c:pt>
                <c:pt idx="184">
                  <c:v>3.1312978974928925E-12</c:v>
                </c:pt>
                <c:pt idx="185">
                  <c:v>3.1312978974928925E-12</c:v>
                </c:pt>
                <c:pt idx="186">
                  <c:v>3.1312978974928925E-12</c:v>
                </c:pt>
                <c:pt idx="187">
                  <c:v>3.1312978974928925E-12</c:v>
                </c:pt>
                <c:pt idx="188">
                  <c:v>3.1312978974928925E-12</c:v>
                </c:pt>
                <c:pt idx="189">
                  <c:v>3.1312978974928925E-12</c:v>
                </c:pt>
                <c:pt idx="190">
                  <c:v>3.1312978974928925E-12</c:v>
                </c:pt>
                <c:pt idx="191">
                  <c:v>3.1312978974928925E-12</c:v>
                </c:pt>
                <c:pt idx="192">
                  <c:v>3.1312978974928925E-12</c:v>
                </c:pt>
                <c:pt idx="193">
                  <c:v>3.1312978974928925E-12</c:v>
                </c:pt>
                <c:pt idx="194">
                  <c:v>3.1312978974928925E-12</c:v>
                </c:pt>
                <c:pt idx="195">
                  <c:v>3.1312978974928925E-12</c:v>
                </c:pt>
                <c:pt idx="196">
                  <c:v>3.1312978974928925E-12</c:v>
                </c:pt>
                <c:pt idx="197">
                  <c:v>3.1312978974928925E-12</c:v>
                </c:pt>
                <c:pt idx="198">
                  <c:v>3.1312978974928925E-12</c:v>
                </c:pt>
                <c:pt idx="199">
                  <c:v>3.1312978974928925E-12</c:v>
                </c:pt>
                <c:pt idx="200">
                  <c:v>3.1312978974928925E-12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433408"/>
        <c:axId val="1036435584"/>
      </c:scatterChart>
      <c:valAx>
        <c:axId val="103643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5584"/>
        <c:crosses val="autoZero"/>
        <c:crossBetween val="midCat"/>
      </c:valAx>
      <c:valAx>
        <c:axId val="103643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643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712.07297175764188</c:v>
                </c:pt>
                <c:pt idx="82">
                  <c:v>726.1416562025903</c:v>
                </c:pt>
                <c:pt idx="83">
                  <c:v>740.20478372297146</c:v>
                </c:pt>
                <c:pt idx="84">
                  <c:v>754.26247469457383</c:v>
                </c:pt>
                <c:pt idx="85">
                  <c:v>768.31484464364928</c:v>
                </c:pt>
                <c:pt idx="86">
                  <c:v>782.36200452924049</c:v>
                </c:pt>
                <c:pt idx="87">
                  <c:v>796.40406100419239</c:v>
                </c:pt>
                <c:pt idx="88">
                  <c:v>810.44111665681669</c:v>
                </c:pt>
                <c:pt idx="89">
                  <c:v>824.47327023495666</c:v>
                </c:pt>
                <c:pt idx="90">
                  <c:v>838.50061685402079</c:v>
                </c:pt>
                <c:pt idx="91">
                  <c:v>672.18040143052747</c:v>
                </c:pt>
                <c:pt idx="92">
                  <c:v>684.77193672549254</c:v>
                </c:pt>
                <c:pt idx="93">
                  <c:v>697.35872378940894</c:v>
                </c:pt>
                <c:pt idx="94">
                  <c:v>709.94086035598696</c:v>
                </c:pt>
                <c:pt idx="95">
                  <c:v>722.51844041418656</c:v>
                </c:pt>
                <c:pt idx="96">
                  <c:v>735.09155441574831</c:v>
                </c:pt>
                <c:pt idx="97">
                  <c:v>747.66028946779932</c:v>
                </c:pt>
                <c:pt idx="98">
                  <c:v>760.22472951184352</c:v>
                </c:pt>
                <c:pt idx="99">
                  <c:v>772.78495549031084</c:v>
                </c:pt>
                <c:pt idx="100">
                  <c:v>785.34104550172651</c:v>
                </c:pt>
                <c:pt idx="101">
                  <c:v>796.40406100419193</c:v>
                </c:pt>
                <c:pt idx="102">
                  <c:v>807.46397230658113</c:v>
                </c:pt>
                <c:pt idx="103">
                  <c:v>818.52082789370331</c:v>
                </c:pt>
                <c:pt idx="104">
                  <c:v>829.57467483451319</c:v>
                </c:pt>
                <c:pt idx="105">
                  <c:v>840.62555884216636</c:v>
                </c:pt>
                <c:pt idx="106">
                  <c:v>851.67352433075314</c:v>
                </c:pt>
                <c:pt idx="107">
                  <c:v>862.7186144689407</c:v>
                </c:pt>
                <c:pt idx="108">
                  <c:v>873.76087123072591</c:v>
                </c:pt>
                <c:pt idx="109">
                  <c:v>884.80033544349135</c:v>
                </c:pt>
                <c:pt idx="110">
                  <c:v>895.83704683354154</c:v>
                </c:pt>
                <c:pt idx="111">
                  <c:v>679.86394234558031</c:v>
                </c:pt>
                <c:pt idx="112">
                  <c:v>689.46586480458427</c:v>
                </c:pt>
                <c:pt idx="113">
                  <c:v>699.06504661949884</c:v>
                </c:pt>
                <c:pt idx="114">
                  <c:v>708.66153071735243</c:v>
                </c:pt>
                <c:pt idx="115">
                  <c:v>718.25535876813376</c:v>
                </c:pt>
                <c:pt idx="116">
                  <c:v>727.84657123825593</c:v>
                </c:pt>
                <c:pt idx="117">
                  <c:v>737.43520744105729</c:v>
                </c:pt>
                <c:pt idx="118">
                  <c:v>747.02130558454292</c:v>
                </c:pt>
                <c:pt idx="119">
                  <c:v>756.60490281654631</c:v>
                </c:pt>
                <c:pt idx="120">
                  <c:v>766.18603526748586</c:v>
                </c:pt>
                <c:pt idx="121">
                  <c:v>775.12623280017078</c:v>
                </c:pt>
                <c:pt idx="122">
                  <c:v>784.06434170862224</c:v>
                </c:pt>
                <c:pt idx="123">
                  <c:v>793.00038914909612</c:v>
                </c:pt>
                <c:pt idx="124">
                  <c:v>801.93440161618366</c:v>
                </c:pt>
                <c:pt idx="125">
                  <c:v>810.86640496628081</c:v>
                </c:pt>
                <c:pt idx="126">
                  <c:v>819.79642443997091</c:v>
                </c:pt>
                <c:pt idx="127">
                  <c:v>828.72448468338018</c:v>
                </c:pt>
                <c:pt idx="128">
                  <c:v>837.65060976856876</c:v>
                </c:pt>
                <c:pt idx="129">
                  <c:v>846.57482321300313</c:v>
                </c:pt>
                <c:pt idx="130">
                  <c:v>855.49714799817173</c:v>
                </c:pt>
                <c:pt idx="131">
                  <c:v>669.83229376683676</c:v>
                </c:pt>
                <c:pt idx="132">
                  <c:v>677.94322510709105</c:v>
                </c:pt>
                <c:pt idx="133">
                  <c:v>686.05216418180896</c:v>
                </c:pt>
                <c:pt idx="134">
                  <c:v>694.15913785580915</c:v>
                </c:pt>
                <c:pt idx="135">
                  <c:v>702.26417231534106</c:v>
                </c:pt>
                <c:pt idx="136">
                  <c:v>710.36729309302621</c:v>
                </c:pt>
                <c:pt idx="137">
                  <c:v>718.46852509160317</c:v>
                </c:pt>
                <c:pt idx="138">
                  <c:v>726.56789260654466</c:v>
                </c:pt>
                <c:pt idx="139">
                  <c:v>734.66541934761574</c:v>
                </c:pt>
                <c:pt idx="140">
                  <c:v>742.76112845943214</c:v>
                </c:pt>
                <c:pt idx="141">
                  <c:v>750.21611406951013</c:v>
                </c:pt>
                <c:pt idx="142">
                  <c:v>757.66959415520842</c:v>
                </c:pt>
                <c:pt idx="143">
                  <c:v>765.12158561147862</c:v>
                </c:pt>
                <c:pt idx="144">
                  <c:v>772.57210497742165</c:v>
                </c:pt>
                <c:pt idx="145">
                  <c:v>780.02116844721661</c:v>
                </c:pt>
                <c:pt idx="146">
                  <c:v>787.46879188060973</c:v>
                </c:pt>
                <c:pt idx="147">
                  <c:v>794.91499081298491</c:v>
                </c:pt>
                <c:pt idx="148">
                  <c:v>802.35978046504044</c:v>
                </c:pt>
                <c:pt idx="149">
                  <c:v>809.80317575208539</c:v>
                </c:pt>
                <c:pt idx="150">
                  <c:v>817.24519129297687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2480"/>
        <c:axId val="1031083568"/>
      </c:scatterChart>
      <c:valAx>
        <c:axId val="1031082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3568"/>
        <c:crosses val="autoZero"/>
        <c:crossBetween val="midCat"/>
      </c:valAx>
      <c:valAx>
        <c:axId val="103108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0304"/>
        <c:axId val="1031084656"/>
      </c:scatterChart>
      <c:valAx>
        <c:axId val="1031080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4656"/>
        <c:crosses val="autoZero"/>
        <c:crossBetween val="midCat"/>
      </c:valAx>
      <c:valAx>
        <c:axId val="103108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0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2.0167076568044338</c:v>
                </c:pt>
                <c:pt idx="2">
                  <c:v>2.6226677194045069</c:v>
                </c:pt>
                <c:pt idx="3">
                  <c:v>3.4114424335686557</c:v>
                </c:pt>
                <c:pt idx="4">
                  <c:v>4.438397050085193</c:v>
                </c:pt>
                <c:pt idx="5">
                  <c:v>5.7757239763457333</c:v>
                </c:pt>
                <c:pt idx="6">
                  <c:v>7.5175739491929692</c:v>
                </c:pt>
                <c:pt idx="7">
                  <c:v>9.786756630854283</c:v>
                </c:pt>
                <c:pt idx="8">
                  <c:v>12.743491985577675</c:v>
                </c:pt>
                <c:pt idx="9">
                  <c:v>16.596841804437762</c:v>
                </c:pt>
                <c:pt idx="10">
                  <c:v>21.619644370227132</c:v>
                </c:pt>
                <c:pt idx="11">
                  <c:v>28.168028580079078</c:v>
                </c:pt>
                <c:pt idx="12">
                  <c:v>36.706915315433839</c:v>
                </c:pt>
                <c:pt idx="13">
                  <c:v>47.843347620996155</c:v>
                </c:pt>
                <c:pt idx="14">
                  <c:v>62.370058958944064</c:v>
                </c:pt>
                <c:pt idx="15">
                  <c:v>81.322431872226531</c:v>
                </c:pt>
                <c:pt idx="16">
                  <c:v>103.74347865389876</c:v>
                </c:pt>
                <c:pt idx="17">
                  <c:v>126.04420374404106</c:v>
                </c:pt>
                <c:pt idx="18">
                  <c:v>148.24899529439116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229.69655293529578</c:v>
                </c:pt>
                <c:pt idx="32">
                  <c:v>247.83388252329436</c:v>
                </c:pt>
                <c:pt idx="33">
                  <c:v>268.44904470590461</c:v>
                </c:pt>
                <c:pt idx="34">
                  <c:v>289.02856486301101</c:v>
                </c:pt>
                <c:pt idx="35">
                  <c:v>309.57533683410787</c:v>
                </c:pt>
                <c:pt idx="36">
                  <c:v>330.09183894162885</c:v>
                </c:pt>
                <c:pt idx="37">
                  <c:v>350.58021631475617</c:v>
                </c:pt>
                <c:pt idx="38">
                  <c:v>314.04731362761044</c:v>
                </c:pt>
                <c:pt idx="39">
                  <c:v>333.27093127599198</c:v>
                </c:pt>
                <c:pt idx="40">
                  <c:v>352.4701161669372</c:v>
                </c:pt>
                <c:pt idx="41">
                  <c:v>371.64638583360176</c:v>
                </c:pt>
                <c:pt idx="42">
                  <c:v>391.55626731103797</c:v>
                </c:pt>
                <c:pt idx="43">
                  <c:v>411.44419660187879</c:v>
                </c:pt>
                <c:pt idx="44">
                  <c:v>431.31138347102893</c:v>
                </c:pt>
                <c:pt idx="45">
                  <c:v>451.15891720001287</c:v>
                </c:pt>
                <c:pt idx="46">
                  <c:v>470.9877834671081</c:v>
                </c:pt>
                <c:pt idx="47">
                  <c:v>396.11654522334646</c:v>
                </c:pt>
                <c:pt idx="48">
                  <c:v>413.46254867900205</c:v>
                </c:pt>
                <c:pt idx="49">
                  <c:v>430.79285746668774</c:v>
                </c:pt>
                <c:pt idx="50">
                  <c:v>448.10819157614281</c:v>
                </c:pt>
                <c:pt idx="51">
                  <c:v>465.74993393229676</c:v>
                </c:pt>
                <c:pt idx="52">
                  <c:v>483.37743452647737</c:v>
                </c:pt>
                <c:pt idx="53">
                  <c:v>500.99128555260404</c:v>
                </c:pt>
                <c:pt idx="54">
                  <c:v>518.59203419053381</c:v>
                </c:pt>
                <c:pt idx="55">
                  <c:v>536.18018747064286</c:v>
                </c:pt>
                <c:pt idx="56">
                  <c:v>553.75621646716343</c:v>
                </c:pt>
                <c:pt idx="57">
                  <c:v>493.16473692954219</c:v>
                </c:pt>
                <c:pt idx="58">
                  <c:v>508.63018978749875</c:v>
                </c:pt>
                <c:pt idx="59">
                  <c:v>524.08570796602442</c:v>
                </c:pt>
                <c:pt idx="60">
                  <c:v>539.25044498459113</c:v>
                </c:pt>
                <c:pt idx="61">
                  <c:v>554.40622474279701</c:v>
                </c:pt>
                <c:pt idx="62">
                  <c:v>569.55332648133424</c:v>
                </c:pt>
                <c:pt idx="63">
                  <c:v>584.6920133844543</c:v>
                </c:pt>
                <c:pt idx="64">
                  <c:v>599.82253390364167</c:v>
                </c:pt>
                <c:pt idx="65">
                  <c:v>614.94512294085143</c:v>
                </c:pt>
                <c:pt idx="66">
                  <c:v>630.06000290936367</c:v>
                </c:pt>
                <c:pt idx="67">
                  <c:v>556.70195963944923</c:v>
                </c:pt>
                <c:pt idx="68">
                  <c:v>569.36593148527936</c:v>
                </c:pt>
                <c:pt idx="69">
                  <c:v>581.94267782966529</c:v>
                </c:pt>
                <c:pt idx="70">
                  <c:v>594.51375834194903</c:v>
                </c:pt>
                <c:pt idx="71">
                  <c:v>607.07930967022878</c:v>
                </c:pt>
                <c:pt idx="72">
                  <c:v>619.63946234657351</c:v>
                </c:pt>
                <c:pt idx="73">
                  <c:v>632.19434118177958</c:v>
                </c:pt>
                <c:pt idx="74">
                  <c:v>644.74406562715717</c:v>
                </c:pt>
                <c:pt idx="75">
                  <c:v>657.28875010669196</c:v>
                </c:pt>
                <c:pt idx="76">
                  <c:v>669.82850432254816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5200"/>
        <c:axId val="1031085744"/>
      </c:scatterChart>
      <c:valAx>
        <c:axId val="1031085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5744"/>
        <c:crosses val="autoZero"/>
        <c:crossBetween val="midCat"/>
      </c:valAx>
      <c:valAx>
        <c:axId val="103108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5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3024"/>
        <c:axId val="1031080848"/>
      </c:scatterChart>
      <c:valAx>
        <c:axId val="1031083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0848"/>
        <c:crosses val="autoZero"/>
        <c:crossBetween val="midCat"/>
      </c:valAx>
      <c:valAx>
        <c:axId val="103108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3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6288"/>
        <c:axId val="1031086832"/>
      </c:scatterChart>
      <c:valAx>
        <c:axId val="1031086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6832"/>
        <c:crosses val="autoZero"/>
        <c:crossBetween val="midCat"/>
      </c:valAx>
      <c:valAx>
        <c:axId val="103108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081392"/>
        <c:axId val="1031081936"/>
      </c:scatterChart>
      <c:valAx>
        <c:axId val="1031081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1936"/>
        <c:crosses val="autoZero"/>
        <c:crossBetween val="midCat"/>
      </c:valAx>
      <c:valAx>
        <c:axId val="10310819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08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B88" sqref="B8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2.06</v>
      </c>
      <c r="D5" s="304" t="s">
        <v>229</v>
      </c>
      <c r="E5" s="305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0.215</v>
      </c>
      <c r="D9" s="36">
        <f t="shared" ref="D9:D18" si="0">C9*$C$5</f>
        <v>0.44290000000000002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0.13100000000000001</v>
      </c>
      <c r="D10" s="36">
        <f t="shared" si="0"/>
        <v>0.26986000000000004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41</v>
      </c>
      <c r="C11" s="35">
        <v>8.7999999999999995E-2</v>
      </c>
      <c r="D11" s="36">
        <f t="shared" si="0"/>
        <v>0.18128</v>
      </c>
      <c r="E11" s="37">
        <v>91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8.5000000000000006E-2</v>
      </c>
      <c r="D12" s="36">
        <f t="shared" si="0"/>
        <v>0.17510000000000001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6</v>
      </c>
      <c r="C13" s="35">
        <v>8.5000000000000006E-2</v>
      </c>
      <c r="D13" s="36">
        <f t="shared" si="0"/>
        <v>0.17510000000000001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35</v>
      </c>
      <c r="C14" s="35">
        <v>0.127</v>
      </c>
      <c r="D14" s="36">
        <f t="shared" si="0"/>
        <v>0.26162000000000002</v>
      </c>
      <c r="E14" s="37">
        <v>76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23</v>
      </c>
      <c r="C16" s="35">
        <v>0.126</v>
      </c>
      <c r="D16" s="36">
        <f t="shared" si="0"/>
        <v>0.25956000000000001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35">
        <v>8.4000000000000005E-2</v>
      </c>
      <c r="D17" s="36">
        <f t="shared" si="0"/>
        <v>0.17304000000000003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50</v>
      </c>
      <c r="C18" s="35">
        <v>4.2000000000000003E-2</v>
      </c>
      <c r="D18" s="36">
        <f t="shared" si="0"/>
        <v>8.6520000000000014E-2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0.98299999999999987</v>
      </c>
      <c r="D19" s="41">
        <f>SUM(D9:D18)</f>
        <v>2.0249800000000002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0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0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0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0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0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0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0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0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0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0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0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0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0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f>67+6</f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75+6+28</f>
        <v>109</v>
      </c>
      <c r="C63" s="63">
        <v>1</v>
      </c>
      <c r="D63" s="63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93+28</f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147+28</f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203+28</f>
        <v>231</v>
      </c>
      <c r="C68" s="6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0">
        <v>55</v>
      </c>
      <c r="B69" s="63">
        <f>226+28+28</f>
        <v>282</v>
      </c>
      <c r="C69" s="63">
        <v>4</v>
      </c>
      <c r="D69" s="63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0">
        <v>60</v>
      </c>
      <c r="B70" s="63">
        <f>245+28</f>
        <v>273</v>
      </c>
      <c r="C70" s="63"/>
      <c r="D70" s="6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0">
        <v>65</v>
      </c>
      <c r="B71" s="63">
        <f>261+28+28</f>
        <v>317</v>
      </c>
      <c r="C71" s="63">
        <v>5</v>
      </c>
      <c r="D71" s="63">
        <f>28+28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0">
        <v>70</v>
      </c>
      <c r="B72" s="63">
        <f>274+28</f>
        <v>302</v>
      </c>
      <c r="C72" s="63"/>
      <c r="D72" s="6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0">
        <v>75</v>
      </c>
      <c r="B73" s="63">
        <f>284+28+28</f>
        <v>340</v>
      </c>
      <c r="C73" s="63">
        <v>6</v>
      </c>
      <c r="D73" s="63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0">
        <v>80</v>
      </c>
      <c r="B74" s="63">
        <f>292+28</f>
        <v>320</v>
      </c>
      <c r="C74" s="63"/>
      <c r="D74" s="6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0">
        <v>90</v>
      </c>
      <c r="B75" s="63">
        <f>302+28+28+28</f>
        <v>386</v>
      </c>
      <c r="C75" s="63">
        <v>7</v>
      </c>
      <c r="D75" s="63">
        <f>28+28+28</f>
        <v>84</v>
      </c>
      <c r="E75" s="54"/>
      <c r="F75" s="54"/>
      <c r="G75" s="54"/>
      <c r="H75" s="54"/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0">
        <v>100</v>
      </c>
      <c r="B76" s="53">
        <v>361</v>
      </c>
      <c r="C76" s="53"/>
      <c r="D76" s="53"/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0">
        <v>110</v>
      </c>
      <c r="B77" s="53">
        <v>413</v>
      </c>
      <c r="C77" s="53">
        <v>8</v>
      </c>
      <c r="D77" s="53">
        <v>106</v>
      </c>
      <c r="E77" s="54"/>
      <c r="F77" s="54"/>
      <c r="G77" s="54"/>
      <c r="H77" s="54"/>
      <c r="I77" s="52">
        <f t="shared" si="2"/>
        <v>5.2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0">
        <v>120</v>
      </c>
      <c r="B78" s="53">
        <v>352</v>
      </c>
      <c r="C78" s="53"/>
      <c r="D78" s="53"/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0">
        <v>130</v>
      </c>
      <c r="B79" s="53">
        <v>394</v>
      </c>
      <c r="C79" s="53">
        <v>9</v>
      </c>
      <c r="D79" s="53">
        <v>91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0">
        <v>140</v>
      </c>
      <c r="B80" s="53">
        <v>341</v>
      </c>
      <c r="C80" s="53"/>
      <c r="D80" s="53"/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0">
        <v>150</v>
      </c>
      <c r="B81" s="53">
        <v>376</v>
      </c>
      <c r="C81" s="53">
        <v>10</v>
      </c>
      <c r="D81" s="53">
        <v>376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sylvestre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f>179.23/1.3</f>
        <v>137.86923076923077</v>
      </c>
      <c r="C88" s="63">
        <v>1</v>
      </c>
      <c r="D88" s="63">
        <f>68.57/1.3</f>
        <v>52.746153846153838</v>
      </c>
      <c r="E88" s="54"/>
      <c r="F88" s="54"/>
      <c r="G88" s="54">
        <v>0.2</v>
      </c>
      <c r="H88" s="54">
        <v>0.8</v>
      </c>
      <c r="I88" s="56">
        <f>IFERROR(B88/A88,"")</f>
        <v>7.6594017094017097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21</v>
      </c>
      <c r="B89" s="63">
        <f>158.31/1.3</f>
        <v>121.77692307692307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12.217948717948715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24</v>
      </c>
      <c r="B90" s="63">
        <f>211.32/1.3</f>
        <v>162.55384615384614</v>
      </c>
      <c r="C90" s="63">
        <v>2</v>
      </c>
      <c r="D90" s="63">
        <f>47.74/1.3</f>
        <v>36.723076923076924</v>
      </c>
      <c r="E90" s="54"/>
      <c r="F90" s="54"/>
      <c r="G90" s="54">
        <v>0.5</v>
      </c>
      <c r="H90" s="54">
        <v>0.5</v>
      </c>
      <c r="I90" s="56">
        <f t="shared" si="3"/>
        <v>13.59230769230769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27</v>
      </c>
      <c r="B91" s="63">
        <f>210.95/1.3</f>
        <v>162.26923076923075</v>
      </c>
      <c r="C91" s="63"/>
      <c r="D91" s="63"/>
      <c r="E91" s="54"/>
      <c r="F91" s="54"/>
      <c r="G91" s="54"/>
      <c r="H91" s="54"/>
      <c r="I91" s="56">
        <f t="shared" si="3"/>
        <v>12.146153846153842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261.81/1.3</f>
        <v>201.3923076923077</v>
      </c>
      <c r="C92" s="63">
        <v>3</v>
      </c>
      <c r="D92" s="63">
        <f>46.06/1.3</f>
        <v>35.430769230769229</v>
      </c>
      <c r="E92" s="54"/>
      <c r="F92" s="54">
        <v>0.2</v>
      </c>
      <c r="G92" s="54">
        <v>0.4</v>
      </c>
      <c r="H92" s="54">
        <v>0.4</v>
      </c>
      <c r="I92" s="56">
        <f t="shared" si="3"/>
        <v>13.04102564102565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33</v>
      </c>
      <c r="B93" s="63">
        <f>262.06/1.3</f>
        <v>201.58461538461538</v>
      </c>
      <c r="C93" s="63"/>
      <c r="D93" s="63"/>
      <c r="E93" s="54"/>
      <c r="F93" s="54"/>
      <c r="G93" s="54"/>
      <c r="H93" s="54"/>
      <c r="I93" s="56">
        <f t="shared" si="3"/>
        <v>11.874358974358975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36</v>
      </c>
      <c r="B94" s="63">
        <f>310.4/1.3</f>
        <v>238.76923076923075</v>
      </c>
      <c r="C94" s="63">
        <v>4</v>
      </c>
      <c r="D94" s="63">
        <f>45.61/1.3</f>
        <v>35.084615384615383</v>
      </c>
      <c r="E94" s="54"/>
      <c r="F94" s="54"/>
      <c r="G94" s="54"/>
      <c r="H94" s="54"/>
      <c r="I94" s="56">
        <f t="shared" si="3"/>
        <v>12.39487179487179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40</v>
      </c>
      <c r="B95" s="53">
        <f>323.24/1.3</f>
        <v>248.64615384615385</v>
      </c>
      <c r="C95" s="53"/>
      <c r="D95" s="53"/>
      <c r="E95" s="54"/>
      <c r="F95" s="54"/>
      <c r="G95" s="54"/>
      <c r="H95" s="54"/>
      <c r="I95" s="56">
        <f t="shared" si="3"/>
        <v>11.24038461538462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43</v>
      </c>
      <c r="B96" s="53">
        <f>368.35/1.3</f>
        <v>283.34615384615387</v>
      </c>
      <c r="C96" s="53">
        <v>5</v>
      </c>
      <c r="D96" s="53">
        <f>56.55/1.3</f>
        <v>43.499999999999993</v>
      </c>
      <c r="E96" s="54"/>
      <c r="F96" s="54"/>
      <c r="G96" s="54"/>
      <c r="H96" s="54"/>
      <c r="I96" s="56">
        <f t="shared" si="3"/>
        <v>11.566666666666672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47</v>
      </c>
      <c r="B97" s="53">
        <f>365.74/1.3</f>
        <v>281.33846153846156</v>
      </c>
      <c r="C97" s="53"/>
      <c r="D97" s="53"/>
      <c r="E97" s="54"/>
      <c r="F97" s="54"/>
      <c r="G97" s="54"/>
      <c r="H97" s="54"/>
      <c r="I97" s="56">
        <f t="shared" si="3"/>
        <v>10.373076923076923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50</v>
      </c>
      <c r="B98" s="53">
        <f>406.32/1.3</f>
        <v>312.55384615384617</v>
      </c>
      <c r="C98" s="53">
        <v>6</v>
      </c>
      <c r="D98" s="53">
        <f>56.42/1.3</f>
        <v>43.4</v>
      </c>
      <c r="E98" s="54"/>
      <c r="F98" s="54"/>
      <c r="G98" s="54"/>
      <c r="H98" s="54"/>
      <c r="I98" s="56">
        <f t="shared" si="3"/>
        <v>10.405128205128202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54</v>
      </c>
      <c r="B99" s="53">
        <f>397.71/1.3</f>
        <v>305.93076923076922</v>
      </c>
      <c r="C99" s="53"/>
      <c r="D99" s="53"/>
      <c r="E99" s="54"/>
      <c r="F99" s="54"/>
      <c r="G99" s="54"/>
      <c r="H99" s="54"/>
      <c r="I99" s="56">
        <f t="shared" si="3"/>
        <v>9.1942307692307566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58</v>
      </c>
      <c r="B100" s="53">
        <f>445.66/1.3</f>
        <v>342.81538461538463</v>
      </c>
      <c r="C100" s="53">
        <v>7</v>
      </c>
      <c r="D100" s="53">
        <f>59.37/1.3</f>
        <v>45.669230769230765</v>
      </c>
      <c r="E100" s="54"/>
      <c r="F100" s="54"/>
      <c r="G100" s="54"/>
      <c r="H100" s="54"/>
      <c r="I100" s="56">
        <f t="shared" si="3"/>
        <v>9.2211538461538538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63</v>
      </c>
      <c r="B101" s="53">
        <f>439.24/1.3</f>
        <v>337.87692307692305</v>
      </c>
      <c r="C101" s="53"/>
      <c r="D101" s="53"/>
      <c r="E101" s="54"/>
      <c r="F101" s="54"/>
      <c r="G101" s="54"/>
      <c r="H101" s="54"/>
      <c r="I101" s="56">
        <f t="shared" si="3"/>
        <v>8.1461538461538332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68</v>
      </c>
      <c r="B102" s="53">
        <f>490.95/1.3</f>
        <v>377.65384615384613</v>
      </c>
      <c r="C102" s="53">
        <v>8</v>
      </c>
      <c r="D102" s="53">
        <f>59.89/1.3</f>
        <v>46.069230769230771</v>
      </c>
      <c r="E102" s="54"/>
      <c r="F102" s="54"/>
      <c r="G102" s="54"/>
      <c r="H102" s="54"/>
      <c r="I102" s="56">
        <f t="shared" si="3"/>
        <v>7.9553846153846166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73</v>
      </c>
      <c r="B103" s="53">
        <f>476.37/1.3</f>
        <v>366.43846153846152</v>
      </c>
      <c r="C103" s="53"/>
      <c r="D103" s="53"/>
      <c r="E103" s="54"/>
      <c r="F103" s="54"/>
      <c r="G103" s="54"/>
      <c r="H103" s="54"/>
      <c r="I103" s="56">
        <f t="shared" si="3"/>
        <v>6.9707692307692355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78</v>
      </c>
      <c r="B104" s="53">
        <f>520.58/1.3</f>
        <v>400.44615384615389</v>
      </c>
      <c r="C104" s="53">
        <v>9</v>
      </c>
      <c r="D104" s="53">
        <f>55.77/1.3</f>
        <v>42.9</v>
      </c>
      <c r="E104" s="54"/>
      <c r="F104" s="54"/>
      <c r="G104" s="54"/>
      <c r="H104" s="54"/>
      <c r="I104" s="56">
        <f t="shared" si="3"/>
        <v>6.8015384615384731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83</v>
      </c>
      <c r="B105" s="53">
        <f>504.44/1.3</f>
        <v>388.03076923076924</v>
      </c>
      <c r="C105" s="53"/>
      <c r="D105" s="53"/>
      <c r="E105" s="54"/>
      <c r="F105" s="54"/>
      <c r="G105" s="54"/>
      <c r="H105" s="54"/>
      <c r="I105" s="56">
        <f t="shared" si="3"/>
        <v>6.0969230769230647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88</v>
      </c>
      <c r="B106" s="53">
        <f>542.3/1.3</f>
        <v>417.15384615384613</v>
      </c>
      <c r="C106" s="53">
        <v>10</v>
      </c>
      <c r="D106" s="53">
        <f>321.81/1.3</f>
        <v>247.54615384615383</v>
      </c>
      <c r="E106" s="54"/>
      <c r="F106" s="54"/>
      <c r="G106" s="54"/>
      <c r="H106" s="54"/>
      <c r="I106" s="56">
        <f t="shared" si="3"/>
        <v>5.8246153846153792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91</v>
      </c>
      <c r="B107" s="53">
        <f>233.03/1.3</f>
        <v>179.25384615384615</v>
      </c>
      <c r="C107" s="53">
        <v>11</v>
      </c>
      <c r="D107" s="53">
        <f>B107</f>
        <v>179.25384615384615</v>
      </c>
      <c r="E107" s="54"/>
      <c r="F107" s="54"/>
      <c r="G107" s="54"/>
      <c r="H107" s="54"/>
      <c r="I107" s="56">
        <f t="shared" si="3"/>
        <v>3.2153846153846168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f>67+6</f>
        <v>73</v>
      </c>
      <c r="C114" s="63"/>
      <c r="D114" s="63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75+6+28</f>
        <v>109</v>
      </c>
      <c r="C115" s="63">
        <v>1</v>
      </c>
      <c r="D115" s="63">
        <f>6+28</f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93+28</f>
        <v>121</v>
      </c>
      <c r="C116" s="63"/>
      <c r="D116" s="63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119+28+28</f>
        <v>175</v>
      </c>
      <c r="C117" s="63">
        <v>2</v>
      </c>
      <c r="D117" s="63">
        <f>28+28</f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147+28</f>
        <v>175</v>
      </c>
      <c r="C118" s="63"/>
      <c r="D118" s="63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176+28+28</f>
        <v>232</v>
      </c>
      <c r="C119" s="63">
        <v>3</v>
      </c>
      <c r="D119" s="63">
        <f>28+28</f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203+28</f>
        <v>231</v>
      </c>
      <c r="C120" s="63"/>
      <c r="D120" s="63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0">
        <v>55</v>
      </c>
      <c r="B121" s="63">
        <f>226+28+28</f>
        <v>282</v>
      </c>
      <c r="C121" s="63">
        <v>4</v>
      </c>
      <c r="D121" s="63">
        <f>28+28</f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0">
        <v>60</v>
      </c>
      <c r="B122" s="63">
        <f>245+28</f>
        <v>273</v>
      </c>
      <c r="C122" s="63"/>
      <c r="D122" s="63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0">
        <v>65</v>
      </c>
      <c r="B123" s="63">
        <f>261+28+28</f>
        <v>317</v>
      </c>
      <c r="C123" s="63">
        <v>5</v>
      </c>
      <c r="D123" s="63">
        <f>28+28</f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0">
        <v>70</v>
      </c>
      <c r="B124" s="63">
        <f>274+28</f>
        <v>302</v>
      </c>
      <c r="C124" s="63"/>
      <c r="D124" s="63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0">
        <v>75</v>
      </c>
      <c r="B125" s="63">
        <f>284+28+28</f>
        <v>340</v>
      </c>
      <c r="C125" s="63">
        <v>6</v>
      </c>
      <c r="D125" s="63">
        <f>28+28</f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0">
        <v>80</v>
      </c>
      <c r="B126" s="63">
        <f>292+28</f>
        <v>320</v>
      </c>
      <c r="C126" s="63"/>
      <c r="D126" s="63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0">
        <v>90</v>
      </c>
      <c r="B127" s="63">
        <f>302+28+28+28</f>
        <v>386</v>
      </c>
      <c r="C127" s="63">
        <v>7</v>
      </c>
      <c r="D127" s="63">
        <f>28+28+28</f>
        <v>84</v>
      </c>
      <c r="E127" s="54"/>
      <c r="F127" s="54"/>
      <c r="G127" s="54"/>
      <c r="H127" s="54"/>
      <c r="I127" s="56">
        <f t="shared" si="4"/>
        <v>6.6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0">
        <v>100</v>
      </c>
      <c r="B128" s="53">
        <v>361</v>
      </c>
      <c r="C128" s="53"/>
      <c r="D128" s="53"/>
      <c r="E128" s="54"/>
      <c r="F128" s="54"/>
      <c r="G128" s="54"/>
      <c r="H128" s="54"/>
      <c r="I128" s="56">
        <f t="shared" si="4"/>
        <v>5.9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0">
        <v>110</v>
      </c>
      <c r="B129" s="53">
        <v>413</v>
      </c>
      <c r="C129" s="53">
        <v>8</v>
      </c>
      <c r="D129" s="53">
        <v>106</v>
      </c>
      <c r="E129" s="54"/>
      <c r="F129" s="54"/>
      <c r="G129" s="54"/>
      <c r="H129" s="54"/>
      <c r="I129" s="56">
        <f t="shared" si="4"/>
        <v>5.2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0">
        <v>120</v>
      </c>
      <c r="B130" s="53">
        <v>352</v>
      </c>
      <c r="C130" s="53"/>
      <c r="D130" s="53"/>
      <c r="E130" s="54"/>
      <c r="F130" s="54"/>
      <c r="G130" s="54"/>
      <c r="H130" s="54"/>
      <c r="I130" s="56">
        <f t="shared" si="4"/>
        <v>4.5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0">
        <v>130</v>
      </c>
      <c r="B131" s="53">
        <v>394</v>
      </c>
      <c r="C131" s="53">
        <v>9</v>
      </c>
      <c r="D131" s="53">
        <v>91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0">
        <v>140</v>
      </c>
      <c r="B132" s="53">
        <v>341</v>
      </c>
      <c r="C132" s="53"/>
      <c r="D132" s="53"/>
      <c r="E132" s="54"/>
      <c r="F132" s="54"/>
      <c r="G132" s="54"/>
      <c r="H132" s="54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0">
        <v>150</v>
      </c>
      <c r="B133" s="53">
        <v>376</v>
      </c>
      <c r="C133" s="53">
        <v>10</v>
      </c>
      <c r="D133" s="53">
        <v>376</v>
      </c>
      <c r="E133" s="54"/>
      <c r="F133" s="54"/>
      <c r="G133" s="54"/>
      <c r="H133" s="54"/>
      <c r="I133" s="56">
        <f t="shared" si="4"/>
        <v>3.5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Charme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74/1.56</f>
        <v>47.435897435897431</v>
      </c>
      <c r="C140" s="63"/>
      <c r="D140" s="63"/>
      <c r="E140" s="54"/>
      <c r="F140" s="54"/>
      <c r="G140" s="54"/>
      <c r="H140" s="54"/>
      <c r="I140" s="60">
        <f>IFERROR(B140/A140,"")</f>
        <v>3.1623931623931623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(118+14)/1.56</f>
        <v>84.615384615384613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7.4358974358974361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(158+14+19)/1.56</f>
        <v>122.43589743589743</v>
      </c>
      <c r="C142" s="63">
        <v>1</v>
      </c>
      <c r="D142" s="63">
        <f>(14+19+23)/1.56</f>
        <v>35.897435897435898</v>
      </c>
      <c r="E142" s="54"/>
      <c r="F142" s="54"/>
      <c r="G142" s="54"/>
      <c r="H142" s="54">
        <v>1</v>
      </c>
      <c r="I142" s="60">
        <f t="shared" si="5"/>
        <v>7.5641025641025639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193/1.56</f>
        <v>123.71794871794872</v>
      </c>
      <c r="C143" s="63"/>
      <c r="D143" s="63"/>
      <c r="E143" s="54"/>
      <c r="F143" s="54"/>
      <c r="G143" s="54"/>
      <c r="H143" s="54"/>
      <c r="I143" s="60">
        <f t="shared" si="5"/>
        <v>7.4358974358974361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(224+25)/1.56</f>
        <v>159.61538461538461</v>
      </c>
      <c r="C144" s="63">
        <v>2</v>
      </c>
      <c r="D144" s="63">
        <f>(25+27)/1.56</f>
        <v>33.333333333333336</v>
      </c>
      <c r="E144" s="54"/>
      <c r="F144" s="54"/>
      <c r="G144" s="54"/>
      <c r="H144" s="54"/>
      <c r="I144" s="60">
        <f t="shared" si="5"/>
        <v>7.1794871794871797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250/1.56</f>
        <v>160.25641025641025</v>
      </c>
      <c r="C145" s="63"/>
      <c r="D145" s="63"/>
      <c r="E145" s="54"/>
      <c r="F145" s="54"/>
      <c r="G145" s="54"/>
      <c r="H145" s="54"/>
      <c r="I145" s="60">
        <f t="shared" si="5"/>
        <v>6.7948717948717956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(272+27)/1.56</f>
        <v>191.66666666666666</v>
      </c>
      <c r="C146" s="63">
        <v>3</v>
      </c>
      <c r="D146" s="63">
        <f>(27+27)/1.56</f>
        <v>34.615384615384613</v>
      </c>
      <c r="E146" s="54"/>
      <c r="F146" s="54"/>
      <c r="G146" s="54"/>
      <c r="H146" s="54"/>
      <c r="I146" s="60">
        <f t="shared" si="5"/>
        <v>6.2820512820512819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53">
        <v>187.17948717948718</v>
      </c>
      <c r="C147" s="53"/>
      <c r="D147" s="53"/>
      <c r="E147" s="54"/>
      <c r="F147" s="54"/>
      <c r="G147" s="54"/>
      <c r="H147" s="54"/>
      <c r="I147" s="60">
        <f>IF(A147&lt;&gt;0,(B147-(B146-D146))/(A147-A146),"")</f>
        <v>6.0256410256410273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53">
        <v>215.38461538461539</v>
      </c>
      <c r="C148" s="53">
        <v>4</v>
      </c>
      <c r="D148" s="53">
        <v>34.615384615384613</v>
      </c>
      <c r="E148" s="54"/>
      <c r="F148" s="54"/>
      <c r="G148" s="54"/>
      <c r="H148" s="54"/>
      <c r="I148" s="60">
        <f t="shared" si="5"/>
        <v>5.6410256410256405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53">
        <v>207.69230769230768</v>
      </c>
      <c r="C149" s="53"/>
      <c r="D149" s="53"/>
      <c r="E149" s="54"/>
      <c r="F149" s="54"/>
      <c r="G149" s="54"/>
      <c r="H149" s="54"/>
      <c r="I149" s="60">
        <f t="shared" si="5"/>
        <v>5.3846153846153815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53">
        <v>232.69230769230768</v>
      </c>
      <c r="C150" s="53">
        <v>5</v>
      </c>
      <c r="D150" s="53">
        <v>32.692307692307693</v>
      </c>
      <c r="E150" s="54"/>
      <c r="F150" s="54"/>
      <c r="G150" s="54"/>
      <c r="H150" s="54"/>
      <c r="I150" s="60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53">
        <v>223.7179487179487</v>
      </c>
      <c r="C151" s="53"/>
      <c r="D151" s="53"/>
      <c r="E151" s="54"/>
      <c r="F151" s="54"/>
      <c r="G151" s="54"/>
      <c r="H151" s="54"/>
      <c r="I151" s="60">
        <f t="shared" si="5"/>
        <v>4.7435897435897401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53">
        <v>246.15384615384613</v>
      </c>
      <c r="C152" s="53">
        <v>6</v>
      </c>
      <c r="D152" s="53">
        <v>30.769230769230766</v>
      </c>
      <c r="E152" s="54"/>
      <c r="F152" s="54"/>
      <c r="G152" s="54"/>
      <c r="H152" s="54"/>
      <c r="I152" s="60">
        <f t="shared" si="5"/>
        <v>4.4871794871794863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53">
        <v>237.17948717948718</v>
      </c>
      <c r="C153" s="53"/>
      <c r="D153" s="53"/>
      <c r="E153" s="54"/>
      <c r="F153" s="54"/>
      <c r="G153" s="54"/>
      <c r="H153" s="54"/>
      <c r="I153" s="60">
        <f t="shared" si="5"/>
        <v>4.3589743589743648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85</v>
      </c>
      <c r="B154" s="53">
        <v>258.33333333333331</v>
      </c>
      <c r="C154" s="53">
        <v>7</v>
      </c>
      <c r="D154" s="53">
        <v>28.846153846153847</v>
      </c>
      <c r="E154" s="54"/>
      <c r="F154" s="54"/>
      <c r="G154" s="54"/>
      <c r="H154" s="54"/>
      <c r="I154" s="60">
        <f t="shared" si="5"/>
        <v>4.2307692307692264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90</v>
      </c>
      <c r="B155" s="53">
        <v>248.7179487179487</v>
      </c>
      <c r="C155" s="53"/>
      <c r="D155" s="53"/>
      <c r="E155" s="54"/>
      <c r="F155" s="54"/>
      <c r="G155" s="54"/>
      <c r="H155" s="54"/>
      <c r="I155" s="60">
        <f t="shared" si="5"/>
        <v>3.8461538461538454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95</v>
      </c>
      <c r="B156" s="53">
        <v>267.94871794871796</v>
      </c>
      <c r="C156" s="53">
        <v>8</v>
      </c>
      <c r="D156" s="53">
        <v>27.564102564102562</v>
      </c>
      <c r="E156" s="54"/>
      <c r="F156" s="54"/>
      <c r="G156" s="54"/>
      <c r="H156" s="54"/>
      <c r="I156" s="60">
        <f t="shared" si="5"/>
        <v>3.8461538461538511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100</v>
      </c>
      <c r="B157" s="53">
        <v>258.33333333333331</v>
      </c>
      <c r="C157" s="53"/>
      <c r="D157" s="53"/>
      <c r="E157" s="54"/>
      <c r="F157" s="54"/>
      <c r="G157" s="54"/>
      <c r="H157" s="54"/>
      <c r="I157" s="60">
        <f t="shared" si="5"/>
        <v>3.5897435897435854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110</v>
      </c>
      <c r="B158" s="53">
        <v>292.30769230769232</v>
      </c>
      <c r="C158" s="53">
        <v>9</v>
      </c>
      <c r="D158" s="53">
        <v>37.820512820512818</v>
      </c>
      <c r="E158" s="54"/>
      <c r="F158" s="54"/>
      <c r="G158" s="54"/>
      <c r="H158" s="54"/>
      <c r="I158" s="60">
        <f t="shared" si="5"/>
        <v>3.3974358974359005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120</v>
      </c>
      <c r="B159" s="53">
        <v>285.89743589743591</v>
      </c>
      <c r="C159" s="53">
        <v>10</v>
      </c>
      <c r="D159" s="53">
        <v>285.89743589743591</v>
      </c>
      <c r="E159" s="54"/>
      <c r="F159" s="54"/>
      <c r="G159" s="54"/>
      <c r="H159" s="54"/>
      <c r="I159" s="60">
        <f t="shared" si="5"/>
        <v>3.141025641025641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laricio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f>77.85/1.3</f>
        <v>59.88461538461538</v>
      </c>
      <c r="C166" s="53"/>
      <c r="D166" s="63"/>
      <c r="E166" s="54"/>
      <c r="F166" s="54"/>
      <c r="G166" s="54"/>
      <c r="H166" s="54"/>
      <c r="I166" s="52">
        <f>IFERROR(B166/A166,"")</f>
        <v>3.9923076923076919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19</v>
      </c>
      <c r="B167" s="63">
        <f>166.38/1.3</f>
        <v>127.98461538461538</v>
      </c>
      <c r="C167" s="53">
        <v>1</v>
      </c>
      <c r="D167" s="63">
        <f>60.5/1.3</f>
        <v>46.53846153846154</v>
      </c>
      <c r="E167" s="54"/>
      <c r="F167" s="54"/>
      <c r="G167" s="54">
        <v>0.2</v>
      </c>
      <c r="H167" s="54">
        <v>0.8</v>
      </c>
      <c r="I167" s="52">
        <f t="shared" ref="I167:I185" si="6">IF(A167&lt;&gt;0,(B167-(B166-D166))/(A167-A166),"")</f>
        <v>17.024999999999999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24</v>
      </c>
      <c r="B168" s="63">
        <f>207.93/1.3</f>
        <v>159.94615384615383</v>
      </c>
      <c r="C168" s="53">
        <v>2</v>
      </c>
      <c r="D168" s="63">
        <f>52.54/1.3</f>
        <v>40.41538461538461</v>
      </c>
      <c r="E168" s="54"/>
      <c r="F168" s="54"/>
      <c r="G168" s="54">
        <v>0.5</v>
      </c>
      <c r="H168" s="54">
        <v>0.5</v>
      </c>
      <c r="I168" s="52">
        <f t="shared" si="6"/>
        <v>15.7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280.35/1.3</f>
        <v>215.65384615384616</v>
      </c>
      <c r="C169" s="53">
        <v>3</v>
      </c>
      <c r="D169" s="63">
        <f>72.63/1.3</f>
        <v>55.869230769230761</v>
      </c>
      <c r="E169" s="54"/>
      <c r="F169" s="54">
        <v>0.2</v>
      </c>
      <c r="G169" s="54">
        <v>0.4</v>
      </c>
      <c r="H169" s="54">
        <v>0.4</v>
      </c>
      <c r="I169" s="52">
        <f t="shared" si="6"/>
        <v>16.020512820512824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32</v>
      </c>
      <c r="B170" s="63">
        <f>244.35/1.3</f>
        <v>187.96153846153845</v>
      </c>
      <c r="C170" s="53"/>
      <c r="D170" s="63"/>
      <c r="E170" s="54"/>
      <c r="F170" s="54"/>
      <c r="G170" s="54"/>
      <c r="H170" s="54"/>
      <c r="I170" s="52">
        <f t="shared" si="6"/>
        <v>14.08846153846153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37</v>
      </c>
      <c r="B171" s="63">
        <f>348.62/1.3</f>
        <v>268.16923076923075</v>
      </c>
      <c r="C171" s="53">
        <v>4</v>
      </c>
      <c r="D171" s="63">
        <f>56.71/1.3</f>
        <v>43.623076923076923</v>
      </c>
      <c r="E171" s="54"/>
      <c r="F171" s="54"/>
      <c r="G171" s="54"/>
      <c r="H171" s="54"/>
      <c r="I171" s="52">
        <f t="shared" si="6"/>
        <v>16.041538461538458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41</v>
      </c>
      <c r="B172" s="63">
        <f>370.09/1.3</f>
        <v>284.68461538461537</v>
      </c>
      <c r="C172" s="53"/>
      <c r="D172" s="63"/>
      <c r="E172" s="54"/>
      <c r="F172" s="54"/>
      <c r="G172" s="54"/>
      <c r="H172" s="54"/>
      <c r="I172" s="52">
        <f t="shared" si="6"/>
        <v>15.034615384615385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46</v>
      </c>
      <c r="B173" s="63">
        <f>471.67/1.3</f>
        <v>362.82307692307694</v>
      </c>
      <c r="C173" s="53">
        <v>5</v>
      </c>
      <c r="D173" s="63">
        <f>94.33/1.3</f>
        <v>72.561538461538461</v>
      </c>
      <c r="E173" s="54"/>
      <c r="F173" s="54"/>
      <c r="G173" s="54"/>
      <c r="H173" s="54"/>
      <c r="I173" s="52">
        <f t="shared" si="6"/>
        <v>15.627692307692314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63">
        <f>448.23/1.3</f>
        <v>344.7923076923077</v>
      </c>
      <c r="C174" s="53"/>
      <c r="D174" s="63"/>
      <c r="E174" s="54"/>
      <c r="F174" s="54"/>
      <c r="G174" s="54"/>
      <c r="H174" s="54"/>
      <c r="I174" s="52">
        <f t="shared" si="6"/>
        <v>13.632692307692309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56</v>
      </c>
      <c r="B175" s="63">
        <f>556.66/1.3</f>
        <v>428.2</v>
      </c>
      <c r="C175" s="53">
        <v>6</v>
      </c>
      <c r="D175" s="63">
        <f>78.12/1.3</f>
        <v>60.092307692307692</v>
      </c>
      <c r="E175" s="54"/>
      <c r="F175" s="54"/>
      <c r="G175" s="54"/>
      <c r="H175" s="54"/>
      <c r="I175" s="52">
        <f t="shared" si="6"/>
        <v>13.901282051282047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59</v>
      </c>
      <c r="B176" s="63">
        <f>526.16/1.3</f>
        <v>404.73846153846148</v>
      </c>
      <c r="C176" s="53"/>
      <c r="D176" s="63"/>
      <c r="E176" s="54"/>
      <c r="F176" s="54"/>
      <c r="G176" s="54"/>
      <c r="H176" s="54"/>
      <c r="I176" s="52">
        <f t="shared" si="6"/>
        <v>12.210256410256401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66</v>
      </c>
      <c r="B177" s="63">
        <f>635.25/1.3</f>
        <v>488.65384615384613</v>
      </c>
      <c r="C177" s="53">
        <v>7</v>
      </c>
      <c r="D177" s="63">
        <f>88.59/1.3</f>
        <v>68.146153846153851</v>
      </c>
      <c r="E177" s="54"/>
      <c r="F177" s="54"/>
      <c r="G177" s="54"/>
      <c r="H177" s="54"/>
      <c r="I177" s="52">
        <f t="shared" si="6"/>
        <v>11.987912087912093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68</v>
      </c>
      <c r="B178" s="63">
        <f>572.72/1.3</f>
        <v>440.55384615384617</v>
      </c>
      <c r="C178" s="53"/>
      <c r="D178" s="63"/>
      <c r="E178" s="57"/>
      <c r="F178" s="57"/>
      <c r="G178" s="57"/>
      <c r="H178" s="57"/>
      <c r="I178" s="52">
        <f t="shared" si="6"/>
        <v>10.023076923076928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76</v>
      </c>
      <c r="B179" s="63">
        <f>676.29/1.3</f>
        <v>520.22307692307686</v>
      </c>
      <c r="C179" s="53">
        <v>8</v>
      </c>
      <c r="D179" s="63">
        <f>B179</f>
        <v>520.22307692307686</v>
      </c>
      <c r="E179" s="57"/>
      <c r="F179" s="57"/>
      <c r="G179" s="57"/>
      <c r="H179" s="57"/>
      <c r="I179" s="52">
        <f t="shared" si="6"/>
        <v>9.9586538461538368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8"/>
      <c r="B180" s="59"/>
      <c r="C180" s="53"/>
      <c r="D180" s="5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8"/>
      <c r="B181" s="59"/>
      <c r="C181" s="5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8"/>
      <c r="B182" s="59"/>
      <c r="C182" s="53"/>
      <c r="D182" s="61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280"/>
      <c r="B199" s="63"/>
      <c r="C199" s="63"/>
      <c r="D199" s="6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280"/>
      <c r="B200" s="63"/>
      <c r="C200" s="63"/>
      <c r="D200" s="6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280"/>
      <c r="B201" s="63"/>
      <c r="C201" s="63"/>
      <c r="D201" s="6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280"/>
      <c r="B202" s="63"/>
      <c r="C202" s="63"/>
      <c r="D202" s="6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280"/>
      <c r="B203" s="63"/>
      <c r="C203" s="63"/>
      <c r="D203" s="6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280"/>
      <c r="B204" s="63"/>
      <c r="C204" s="63"/>
      <c r="D204" s="6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280"/>
      <c r="B205" s="63"/>
      <c r="C205" s="63"/>
      <c r="D205" s="6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280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280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280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280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280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Erable sycomore</v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3">
        <f>11.1</f>
        <v>11.1</v>
      </c>
      <c r="C218" s="63"/>
      <c r="D218" s="63"/>
      <c r="E218" s="54"/>
      <c r="F218" s="54"/>
      <c r="G218" s="54"/>
      <c r="H218" s="289"/>
      <c r="I218" s="56">
        <f>IFERROR(B218/A218,"")</f>
        <v>1.1099999999999999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3">
        <f>33+31.5</f>
        <v>64.5</v>
      </c>
      <c r="C219" s="63"/>
      <c r="D219" s="63"/>
      <c r="E219" s="54"/>
      <c r="F219" s="54"/>
      <c r="G219" s="54"/>
      <c r="H219" s="289"/>
      <c r="I219" s="56">
        <f t="shared" ref="I219:I237" si="8">IF(A219&lt;&gt;0,(B219-(B218-D218))/(A219-A218),"")</f>
        <v>10.68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3">
        <f>66.8+31.5+35</f>
        <v>133.30000000000001</v>
      </c>
      <c r="C220" s="63">
        <v>1</v>
      </c>
      <c r="D220" s="63">
        <f>31.5+35</f>
        <v>66.5</v>
      </c>
      <c r="E220" s="289"/>
      <c r="F220" s="289"/>
      <c r="G220" s="289"/>
      <c r="H220" s="289">
        <v>1</v>
      </c>
      <c r="I220" s="56">
        <f t="shared" si="8"/>
        <v>13.760000000000002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3">
        <f>105.5+35</f>
        <v>140.5</v>
      </c>
      <c r="C221" s="63"/>
      <c r="D221" s="63"/>
      <c r="E221" s="289"/>
      <c r="F221" s="289"/>
      <c r="G221" s="289"/>
      <c r="H221" s="289"/>
      <c r="I221" s="56">
        <f t="shared" si="8"/>
        <v>14.739999999999998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3">
        <f>141.8+35+35</f>
        <v>211.8</v>
      </c>
      <c r="C222" s="63">
        <v>2</v>
      </c>
      <c r="D222" s="63">
        <f>35+35</f>
        <v>70</v>
      </c>
      <c r="E222" s="289"/>
      <c r="F222" s="289"/>
      <c r="G222" s="289"/>
      <c r="H222" s="289">
        <v>1</v>
      </c>
      <c r="I222" s="56">
        <f t="shared" si="8"/>
        <v>14.260000000000002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3">
        <f>171.4+35</f>
        <v>206.4</v>
      </c>
      <c r="C223" s="63"/>
      <c r="D223" s="63"/>
      <c r="E223" s="289"/>
      <c r="F223" s="289"/>
      <c r="G223" s="289"/>
      <c r="H223" s="289"/>
      <c r="I223" s="56">
        <f t="shared" si="8"/>
        <v>12.919999999999998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3">
        <f>193.1+35+35</f>
        <v>263.10000000000002</v>
      </c>
      <c r="C224" s="63">
        <v>3</v>
      </c>
      <c r="D224" s="63">
        <f>35+35</f>
        <v>70</v>
      </c>
      <c r="E224" s="289"/>
      <c r="F224" s="289"/>
      <c r="G224" s="289"/>
      <c r="H224" s="289"/>
      <c r="I224" s="56">
        <f t="shared" si="8"/>
        <v>11.340000000000003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3">
        <v>45</v>
      </c>
      <c r="B225" s="63">
        <f>218+24.2</f>
        <v>242.2</v>
      </c>
      <c r="C225" s="63"/>
      <c r="D225" s="63"/>
      <c r="E225" s="289"/>
      <c r="F225" s="289"/>
      <c r="G225" s="289"/>
      <c r="H225" s="289"/>
      <c r="I225" s="56">
        <f t="shared" si="8"/>
        <v>9.8199999999999932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3">
        <v>50</v>
      </c>
      <c r="B226" s="63">
        <f>241.8+24.2+18.9</f>
        <v>284.89999999999998</v>
      </c>
      <c r="C226" s="63">
        <v>4</v>
      </c>
      <c r="D226" s="63">
        <f>24.2+18.9</f>
        <v>43.099999999999994</v>
      </c>
      <c r="E226" s="289"/>
      <c r="F226" s="289"/>
      <c r="G226" s="289"/>
      <c r="H226" s="289"/>
      <c r="I226" s="56">
        <f t="shared" si="8"/>
        <v>8.5399999999999974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3">
        <v>55</v>
      </c>
      <c r="B227" s="63">
        <f>262.6+16</f>
        <v>278.60000000000002</v>
      </c>
      <c r="C227" s="63"/>
      <c r="D227" s="63"/>
      <c r="E227" s="289"/>
      <c r="F227" s="289"/>
      <c r="G227" s="289"/>
      <c r="H227" s="289"/>
      <c r="I227" s="56">
        <f t="shared" si="8"/>
        <v>7.3600000000000083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3">
        <v>60</v>
      </c>
      <c r="B228" s="63">
        <f>279.8+16+14.2</f>
        <v>310</v>
      </c>
      <c r="C228" s="63">
        <v>5</v>
      </c>
      <c r="D228" s="63">
        <f>16+14.2</f>
        <v>30.2</v>
      </c>
      <c r="E228" s="289"/>
      <c r="F228" s="289"/>
      <c r="G228" s="289"/>
      <c r="H228" s="289"/>
      <c r="I228" s="56">
        <f t="shared" si="8"/>
        <v>6.2799999999999958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3">
        <v>65</v>
      </c>
      <c r="B229" s="63">
        <f>292.6+13.4</f>
        <v>306</v>
      </c>
      <c r="C229" s="63"/>
      <c r="D229" s="63"/>
      <c r="E229" s="289"/>
      <c r="F229" s="289"/>
      <c r="G229" s="289"/>
      <c r="H229" s="289"/>
      <c r="I229" s="56">
        <f t="shared" si="8"/>
        <v>5.2399999999999975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3">
        <v>70</v>
      </c>
      <c r="B230" s="63">
        <f>302.6+13.4+12.5</f>
        <v>328.5</v>
      </c>
      <c r="C230" s="63">
        <v>6</v>
      </c>
      <c r="D230" s="63">
        <f>13.4+12.5</f>
        <v>25.9</v>
      </c>
      <c r="E230" s="290"/>
      <c r="F230" s="290"/>
      <c r="G230" s="290"/>
      <c r="H230" s="290"/>
      <c r="I230" s="56">
        <f t="shared" si="8"/>
        <v>4.5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3">
        <v>75</v>
      </c>
      <c r="B231" s="63">
        <f>311.9+11.6</f>
        <v>323.5</v>
      </c>
      <c r="C231" s="63"/>
      <c r="D231" s="63"/>
      <c r="E231" s="290"/>
      <c r="F231" s="290"/>
      <c r="G231" s="290"/>
      <c r="H231" s="290"/>
      <c r="I231" s="56">
        <f t="shared" si="8"/>
        <v>4.1799999999999953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63">
        <v>80</v>
      </c>
      <c r="B232" s="53">
        <v>341.3</v>
      </c>
      <c r="C232" s="63">
        <v>7</v>
      </c>
      <c r="D232" s="53">
        <v>341.3</v>
      </c>
      <c r="E232" s="57"/>
      <c r="F232" s="57"/>
      <c r="G232" s="57"/>
      <c r="H232" s="57"/>
      <c r="I232" s="56">
        <f t="shared" si="8"/>
        <v>3.5600000000000023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Alisier torminal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f>67+6</f>
        <v>73</v>
      </c>
      <c r="C244" s="63"/>
      <c r="D244" s="63"/>
      <c r="E244" s="54"/>
      <c r="F244" s="54"/>
      <c r="G244" s="54"/>
      <c r="H244" s="54"/>
      <c r="I244" s="56">
        <f>IFERROR(B244/A244,"")</f>
        <v>3.65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75+6+28</f>
        <v>109</v>
      </c>
      <c r="C245" s="63">
        <v>1</v>
      </c>
      <c r="D245" s="63">
        <f>6+28</f>
        <v>34</v>
      </c>
      <c r="E245" s="54"/>
      <c r="F245" s="54"/>
      <c r="G245" s="54"/>
      <c r="H245" s="54">
        <v>1</v>
      </c>
      <c r="I245" s="56">
        <f>IF(A245&lt;&gt;0,(B245-(B244-D244))/(A245-A244),"")</f>
        <v>7.2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93+28</f>
        <v>121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9.1999999999999993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f>119+28+28</f>
        <v>175</v>
      </c>
      <c r="C247" s="63">
        <v>2</v>
      </c>
      <c r="D247" s="63">
        <f>28+28</f>
        <v>56</v>
      </c>
      <c r="E247" s="54"/>
      <c r="F247" s="54"/>
      <c r="G247" s="54"/>
      <c r="H247" s="54"/>
      <c r="I247" s="56">
        <f t="shared" ref="I247:I263" si="9">IF(A247&lt;&gt;0,(B247-(B246-D246))/(A247-A246),"")</f>
        <v>10.8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147+28</f>
        <v>175</v>
      </c>
      <c r="C248" s="63"/>
      <c r="D248" s="63"/>
      <c r="E248" s="54"/>
      <c r="F248" s="54"/>
      <c r="G248" s="54"/>
      <c r="H248" s="54"/>
      <c r="I248" s="56">
        <f t="shared" si="9"/>
        <v>11.2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f>176+28+28</f>
        <v>232</v>
      </c>
      <c r="C249" s="63">
        <v>3</v>
      </c>
      <c r="D249" s="63">
        <f>28+28</f>
        <v>56</v>
      </c>
      <c r="E249" s="54"/>
      <c r="F249" s="54"/>
      <c r="G249" s="54"/>
      <c r="H249" s="54"/>
      <c r="I249" s="56">
        <f t="shared" si="9"/>
        <v>11.4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203+28</f>
        <v>231</v>
      </c>
      <c r="C250" s="63"/>
      <c r="D250" s="63"/>
      <c r="E250" s="54"/>
      <c r="F250" s="54"/>
      <c r="G250" s="54"/>
      <c r="H250" s="54"/>
      <c r="I250" s="56">
        <f t="shared" si="9"/>
        <v>11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0">
        <v>55</v>
      </c>
      <c r="B251" s="63">
        <f>226+28+28</f>
        <v>282</v>
      </c>
      <c r="C251" s="63">
        <v>4</v>
      </c>
      <c r="D251" s="63">
        <f>28+28</f>
        <v>56</v>
      </c>
      <c r="E251" s="54"/>
      <c r="F251" s="54"/>
      <c r="G251" s="54"/>
      <c r="H251" s="54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0">
        <v>60</v>
      </c>
      <c r="B252" s="63">
        <f>245+28</f>
        <v>273</v>
      </c>
      <c r="C252" s="63"/>
      <c r="D252" s="63"/>
      <c r="E252" s="54"/>
      <c r="F252" s="54"/>
      <c r="G252" s="54"/>
      <c r="H252" s="54"/>
      <c r="I252" s="56">
        <f t="shared" si="9"/>
        <v>9.4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0">
        <v>65</v>
      </c>
      <c r="B253" s="63">
        <f>261+28+28</f>
        <v>317</v>
      </c>
      <c r="C253" s="63">
        <v>5</v>
      </c>
      <c r="D253" s="63">
        <f>28+28</f>
        <v>56</v>
      </c>
      <c r="E253" s="54"/>
      <c r="F253" s="54"/>
      <c r="G253" s="54"/>
      <c r="H253" s="54"/>
      <c r="I253" s="56">
        <f t="shared" si="9"/>
        <v>8.8000000000000007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0">
        <v>70</v>
      </c>
      <c r="B254" s="63">
        <f>274+28</f>
        <v>302</v>
      </c>
      <c r="C254" s="63"/>
      <c r="D254" s="63"/>
      <c r="E254" s="54"/>
      <c r="F254" s="54"/>
      <c r="G254" s="54"/>
      <c r="H254" s="54"/>
      <c r="I254" s="56">
        <f t="shared" si="9"/>
        <v>8.1999999999999993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0">
        <v>75</v>
      </c>
      <c r="B255" s="63">
        <f>284+28+28</f>
        <v>340</v>
      </c>
      <c r="C255" s="63">
        <v>6</v>
      </c>
      <c r="D255" s="63">
        <f>28+28</f>
        <v>56</v>
      </c>
      <c r="E255" s="54"/>
      <c r="F255" s="54"/>
      <c r="G255" s="54"/>
      <c r="H255" s="54"/>
      <c r="I255" s="56">
        <f t="shared" si="9"/>
        <v>7.6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0">
        <v>80</v>
      </c>
      <c r="B256" s="63">
        <f>292+28</f>
        <v>320</v>
      </c>
      <c r="C256" s="63"/>
      <c r="D256" s="63"/>
      <c r="E256" s="54"/>
      <c r="F256" s="54"/>
      <c r="G256" s="54"/>
      <c r="H256" s="54"/>
      <c r="I256" s="56">
        <f t="shared" si="9"/>
        <v>7.2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0">
        <v>90</v>
      </c>
      <c r="B257" s="63">
        <f>302+28+28+28</f>
        <v>386</v>
      </c>
      <c r="C257" s="63">
        <v>7</v>
      </c>
      <c r="D257" s="63">
        <f>28+28+28</f>
        <v>84</v>
      </c>
      <c r="E257" s="54"/>
      <c r="F257" s="54"/>
      <c r="G257" s="54"/>
      <c r="H257" s="54"/>
      <c r="I257" s="56">
        <f t="shared" si="9"/>
        <v>6.6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0">
        <v>100</v>
      </c>
      <c r="B258" s="53">
        <v>361</v>
      </c>
      <c r="C258" s="53"/>
      <c r="D258" s="53"/>
      <c r="E258" s="54"/>
      <c r="F258" s="54"/>
      <c r="G258" s="54"/>
      <c r="H258" s="54"/>
      <c r="I258" s="56">
        <f t="shared" si="9"/>
        <v>5.9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0">
        <v>110</v>
      </c>
      <c r="B259" s="53">
        <v>413</v>
      </c>
      <c r="C259" s="53">
        <v>8</v>
      </c>
      <c r="D259" s="53">
        <v>106</v>
      </c>
      <c r="E259" s="54"/>
      <c r="F259" s="54"/>
      <c r="G259" s="54"/>
      <c r="H259" s="54"/>
      <c r="I259" s="56">
        <f t="shared" si="9"/>
        <v>5.2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0">
        <v>120</v>
      </c>
      <c r="B260" s="53">
        <v>352</v>
      </c>
      <c r="C260" s="53"/>
      <c r="D260" s="53"/>
      <c r="E260" s="54"/>
      <c r="F260" s="54"/>
      <c r="G260" s="54"/>
      <c r="H260" s="54"/>
      <c r="I260" s="56">
        <f t="shared" si="9"/>
        <v>4.5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0">
        <v>130</v>
      </c>
      <c r="B261" s="53">
        <v>394</v>
      </c>
      <c r="C261" s="53">
        <v>9</v>
      </c>
      <c r="D261" s="53">
        <v>91</v>
      </c>
      <c r="E261" s="54"/>
      <c r="F261" s="54"/>
      <c r="G261" s="54"/>
      <c r="H261" s="54"/>
      <c r="I261" s="56">
        <f t="shared" si="9"/>
        <v>4.2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0">
        <v>140</v>
      </c>
      <c r="B262" s="53">
        <v>341</v>
      </c>
      <c r="C262" s="53"/>
      <c r="D262" s="53"/>
      <c r="E262" s="54"/>
      <c r="F262" s="54"/>
      <c r="G262" s="54"/>
      <c r="H262" s="54"/>
      <c r="I262" s="56">
        <f t="shared" si="9"/>
        <v>3.8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0">
        <v>150</v>
      </c>
      <c r="B263" s="53">
        <v>376</v>
      </c>
      <c r="C263" s="53">
        <v>10</v>
      </c>
      <c r="D263" s="53">
        <v>376</v>
      </c>
      <c r="E263" s="54"/>
      <c r="F263" s="54"/>
      <c r="G263" s="54"/>
      <c r="H263" s="54"/>
      <c r="I263" s="56">
        <f t="shared" si="9"/>
        <v>3.5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Tilleul</v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10</v>
      </c>
      <c r="B270" s="63">
        <f>51/1.56</f>
        <v>32.692307692307693</v>
      </c>
      <c r="C270" s="63"/>
      <c r="D270" s="63"/>
      <c r="E270" s="54"/>
      <c r="F270" s="54"/>
      <c r="G270" s="54"/>
      <c r="H270" s="54"/>
      <c r="I270" s="56">
        <f>IFERROR(B270/A270,"")</f>
        <v>3.2692307692307692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15</v>
      </c>
      <c r="B271" s="63">
        <f>(110+12)/1.56</f>
        <v>78.205128205128204</v>
      </c>
      <c r="C271" s="63"/>
      <c r="D271" s="63"/>
      <c r="E271" s="54"/>
      <c r="F271" s="54"/>
      <c r="G271" s="54"/>
      <c r="H271" s="54"/>
      <c r="I271" s="56">
        <f>IF(A271&lt;&gt;0,(B271-(B270-D270))/(A271-A270),"")</f>
        <v>9.1025641025641022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20</v>
      </c>
      <c r="B272" s="63">
        <f>(166+12+22)/1.56</f>
        <v>128.2051282051282</v>
      </c>
      <c r="C272" s="63">
        <v>1</v>
      </c>
      <c r="D272" s="63">
        <f>(12+22+27)/1.56</f>
        <v>39.102564102564102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25</v>
      </c>
      <c r="B273" s="63">
        <f>215/1.56</f>
        <v>137.82051282051282</v>
      </c>
      <c r="C273" s="63"/>
      <c r="D273" s="63"/>
      <c r="E273" s="54"/>
      <c r="F273" s="54"/>
      <c r="G273" s="54"/>
      <c r="H273" s="54"/>
      <c r="I273" s="56">
        <f t="shared" si="10"/>
        <v>9.7435897435897427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30</v>
      </c>
      <c r="B274" s="63">
        <f>(257+30)/1.56</f>
        <v>183.97435897435898</v>
      </c>
      <c r="C274" s="63">
        <v>2</v>
      </c>
      <c r="D274" s="63">
        <f>(30+31)/1.56</f>
        <v>39.102564102564102</v>
      </c>
      <c r="E274" s="54"/>
      <c r="F274" s="54"/>
      <c r="G274" s="54"/>
      <c r="H274" s="54">
        <v>1</v>
      </c>
      <c r="I274" s="56">
        <f t="shared" si="10"/>
        <v>9.2307692307692317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35</v>
      </c>
      <c r="B275" s="63">
        <f>294/1.56</f>
        <v>188.46153846153845</v>
      </c>
      <c r="C275" s="63"/>
      <c r="D275" s="63"/>
      <c r="E275" s="54"/>
      <c r="F275" s="54"/>
      <c r="G275" s="54"/>
      <c r="H275" s="54"/>
      <c r="I275" s="56">
        <f t="shared" si="10"/>
        <v>8.717948717948719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40</v>
      </c>
      <c r="B276" s="63">
        <f>(325+31)/1.56</f>
        <v>228.2051282051282</v>
      </c>
      <c r="C276" s="63">
        <v>3</v>
      </c>
      <c r="D276" s="63">
        <f>(31+31)/1.56</f>
        <v>39.743589743589745</v>
      </c>
      <c r="E276" s="54"/>
      <c r="F276" s="54"/>
      <c r="G276" s="54"/>
      <c r="H276" s="54"/>
      <c r="I276" s="56">
        <f t="shared" si="10"/>
        <v>7.9487179487179507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3">
        <v>45</v>
      </c>
      <c r="B277" s="53">
        <v>226.28205128205127</v>
      </c>
      <c r="C277" s="53"/>
      <c r="D277" s="53"/>
      <c r="E277" s="54"/>
      <c r="F277" s="54"/>
      <c r="G277" s="54"/>
      <c r="H277" s="54"/>
      <c r="I277" s="56">
        <f t="shared" si="10"/>
        <v>7.5641025641025639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3">
        <v>50</v>
      </c>
      <c r="B278" s="53">
        <v>261.53846153846155</v>
      </c>
      <c r="C278" s="53">
        <v>4</v>
      </c>
      <c r="D278" s="53">
        <v>36.53846153846154</v>
      </c>
      <c r="E278" s="54"/>
      <c r="F278" s="54"/>
      <c r="G278" s="54"/>
      <c r="H278" s="54"/>
      <c r="I278" s="56">
        <f t="shared" si="10"/>
        <v>7.0512820512820555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55</v>
      </c>
      <c r="B279" s="58">
        <v>258.33333333333331</v>
      </c>
      <c r="C279" s="58"/>
      <c r="D279" s="58"/>
      <c r="E279" s="66"/>
      <c r="F279" s="66"/>
      <c r="G279" s="66"/>
      <c r="H279" s="66"/>
      <c r="I279" s="56">
        <f t="shared" si="10"/>
        <v>6.6666666666666625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60</v>
      </c>
      <c r="B280" s="58">
        <v>289.10256410256409</v>
      </c>
      <c r="C280" s="58">
        <v>5</v>
      </c>
      <c r="D280" s="58">
        <v>35.256410256410255</v>
      </c>
      <c r="E280" s="66"/>
      <c r="F280" s="66"/>
      <c r="G280" s="66"/>
      <c r="H280" s="66"/>
      <c r="I280" s="56">
        <f t="shared" si="10"/>
        <v>6.1538461538461551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65</v>
      </c>
      <c r="B281" s="58">
        <v>282.69230769230768</v>
      </c>
      <c r="C281" s="58"/>
      <c r="D281" s="58"/>
      <c r="E281" s="66"/>
      <c r="F281" s="66"/>
      <c r="G281" s="66"/>
      <c r="H281" s="66"/>
      <c r="I281" s="56">
        <f t="shared" si="10"/>
        <v>5.7692307692307683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70</v>
      </c>
      <c r="B282" s="58">
        <v>308.97435897435895</v>
      </c>
      <c r="C282" s="58">
        <v>6</v>
      </c>
      <c r="D282" s="58">
        <v>31.410256410256409</v>
      </c>
      <c r="E282" s="67"/>
      <c r="F282" s="67"/>
      <c r="G282" s="67"/>
      <c r="H282" s="67"/>
      <c r="I282" s="56">
        <f t="shared" si="10"/>
        <v>5.2564102564102537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>
        <v>75</v>
      </c>
      <c r="B283" s="63">
        <f>473/1.56</f>
        <v>303.20512820512818</v>
      </c>
      <c r="C283" s="92"/>
      <c r="D283" s="63"/>
      <c r="E283" s="57"/>
      <c r="F283" s="57"/>
      <c r="G283" s="57"/>
      <c r="H283" s="57"/>
      <c r="I283" s="56">
        <f t="shared" si="10"/>
        <v>5.1282051282051269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80</v>
      </c>
      <c r="B284" s="53">
        <v>326.92307692307691</v>
      </c>
      <c r="C284" s="53">
        <v>7</v>
      </c>
      <c r="D284" s="53">
        <v>28.846153846153847</v>
      </c>
      <c r="E284" s="57"/>
      <c r="F284" s="57"/>
      <c r="G284" s="57"/>
      <c r="H284" s="57"/>
      <c r="I284" s="56">
        <f t="shared" si="10"/>
        <v>4.7435897435897463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85</v>
      </c>
      <c r="B285" s="53">
        <v>320.5128205128205</v>
      </c>
      <c r="C285" s="53"/>
      <c r="D285" s="53"/>
      <c r="E285" s="57"/>
      <c r="F285" s="57"/>
      <c r="G285" s="57"/>
      <c r="H285" s="57"/>
      <c r="I285" s="56">
        <f t="shared" si="10"/>
        <v>4.4871794871794917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90</v>
      </c>
      <c r="B286" s="53">
        <v>342.30769230769232</v>
      </c>
      <c r="C286" s="53">
        <v>8</v>
      </c>
      <c r="D286" s="53">
        <v>27.564102564102562</v>
      </c>
      <c r="E286" s="57"/>
      <c r="F286" s="57"/>
      <c r="G286" s="57"/>
      <c r="H286" s="57"/>
      <c r="I286" s="56">
        <f t="shared" si="10"/>
        <v>4.3589743589743648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95</v>
      </c>
      <c r="B287" s="53">
        <v>335.25641025641022</v>
      </c>
      <c r="C287" s="53"/>
      <c r="D287" s="53"/>
      <c r="E287" s="57"/>
      <c r="F287" s="57"/>
      <c r="G287" s="57"/>
      <c r="H287" s="57"/>
      <c r="I287" s="56">
        <f t="shared" si="10"/>
        <v>4.102564102564088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100</v>
      </c>
      <c r="B288" s="53">
        <v>355.12820512820514</v>
      </c>
      <c r="C288" s="53">
        <v>9</v>
      </c>
      <c r="D288" s="53">
        <v>25</v>
      </c>
      <c r="E288" s="57"/>
      <c r="F288" s="57"/>
      <c r="G288" s="57"/>
      <c r="H288" s="57"/>
      <c r="I288" s="56">
        <f t="shared" si="10"/>
        <v>3.9743589743589838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>
        <v>110</v>
      </c>
      <c r="B289" s="53">
        <v>366.66666666666663</v>
      </c>
      <c r="C289" s="53">
        <v>10</v>
      </c>
      <c r="D289" s="53">
        <v>366.66666666666663</v>
      </c>
      <c r="E289" s="57"/>
      <c r="F289" s="57"/>
      <c r="G289" s="57"/>
      <c r="H289" s="57"/>
      <c r="I289" s="56">
        <f t="shared" si="10"/>
        <v>3.6538461538461489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pédonculé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sylvestre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Chêne pubescent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Charme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Pin laricio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Erable sycomore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Alisier torminal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Tilleul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529.25712986118265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495.77338291316386</v>
      </c>
      <c r="AO3" s="62">
        <f>IF('Données projet'!E10&gt;30,$AM$33-$H$33,LOOKUP('Données projet'!$E$10,$A$3:$A$203,AM3:AM203)-LOOKUP('Données projet'!$E$10,$A$3:$A$203,$H$3:$H$203))</f>
        <v>261.95434270986397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320.67081032419122</v>
      </c>
      <c r="BJ3" s="62">
        <f>IF('Données projet'!E11&gt;30,$BH$33-$H$33,LOOKUP('Données projet'!$E$11,$A$3:$A$203,BH3:BH203)-LOOKUP('Données projet'!$E$11,$A$3:$A$203,$H$3:$H$203))</f>
        <v>290.51177680335746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587.74247372331615</v>
      </c>
      <c r="CE3" s="62">
        <f>IF('Données projet'!E12&gt;30,$CC$33-$H$33,LOOKUP('Données projet'!$E$12,$A$3:$A$203,CC3:CC203)-LOOKUP('Données projet'!$E$12,$A$3:$A$203,$H$3:$H$203))</f>
        <v>306.61893266146666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406.24139966722936</v>
      </c>
      <c r="CZ3" s="62">
        <f>IF('Données projet'!E13&gt;30,$CX$33-$H$33,LOOKUP('Données projet'!$E$13,$A$3:$A$203,CX3:CX203)-LOOKUP('Données projet'!$E$13,$A$3:$A$203,$H$3:$H$203))</f>
        <v>295.95724296920577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356.42779334565381</v>
      </c>
      <c r="DU3" s="62">
        <f>IF('Données projet'!E14&gt;30,$DS$33-$H$33,LOOKUP('Données projet'!$E$14,$A$3:$A$203,DS3:DS203)-LOOKUP('Données projet'!$E$14,$A$3:$A$203,$H$3:$H$203))</f>
        <v>320.06572891923685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370.59298168107364</v>
      </c>
      <c r="FK3" s="62">
        <f>IF('Données projet'!E16&gt;30,$FI$33-$H$33,LOOKUP('Données projet'!$E$16,$A$3:$A$203,FI3:FI203)-LOOKUP('Données projet'!$E$16,$A$3:$A$203,$H$3:$H$203))</f>
        <v>404.61777090709171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562.69380557620775</v>
      </c>
      <c r="GF3" s="62">
        <f>IF('Données projet'!E17&gt;30,$GD$33-$H$33,LOOKUP('Données projet'!$E$17,$A$3:$A$203,GD3:GD203)-LOOKUP('Données projet'!$E$17,$A$3:$A$203,$H$3:$H$203))</f>
        <v>294.45557293177131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363.53487081291541</v>
      </c>
      <c r="HA3" s="62">
        <f>IF('Données projet'!E18&gt;30,$GY$33-$H$33,LOOKUP('Données projet'!$E$18,$A$3:$A$203,GY3:GY203)-LOOKUP('Données projet'!$E$18,$A$3:$A$203,$H$3:$H$203))</f>
        <v>308.1559670593121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529.25712986118265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260.54085441004815</v>
      </c>
      <c r="AN4" s="62">
        <f ca="1">AVERAGE(OFFSET($AM$3,0,0,'Données projet'!$E$10+1,1))-AVERAGE(OFFSET($H$3,0,0,'Données projet'!$E$10+1,1))</f>
        <v>495.77338291316386</v>
      </c>
      <c r="AO4" s="62">
        <f>$AO$3</f>
        <v>261.95434270986397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7.6594017094017097</v>
      </c>
      <c r="BD4" s="13">
        <f>IF('Données projet'!$A$88&gt;35,BD3+BC4-BL3,IF(A4&lt;'Données projet'!$A$88,$BA$205^A4,IF(A4='Données projet'!$A$88,'Données projet'!$B$88,BD3+BC4-BL3)))</f>
        <v>1.3147987949303508</v>
      </c>
      <c r="BE4" s="14">
        <f>BD4*VLOOKUP('Données projet'!$B$11,Paramètres!$A$1:$I$89,3,0)*VLOOKUP('Données projet'!$B$11,Paramètres!$A$1:$I$89,5,0)</f>
        <v>0.75206491070016057</v>
      </c>
      <c r="BF4" s="14">
        <f>EXP(-1.0587+0.8836*LN(BE4)+0.284)</f>
        <v>0.35827068250867117</v>
      </c>
      <c r="BG4" s="22">
        <f t="shared" ref="BG4:BG67" si="7">(BE4+BF4)*0.475*44/12</f>
        <v>1.9338344915053816</v>
      </c>
      <c r="BH4" s="62">
        <f t="shared" ref="BH4:BH67" si="8">BG4+(AY4+AZ4)*44/12</f>
        <v>259.82272338039422</v>
      </c>
      <c r="BI4" s="62">
        <f ca="1">AVERAGE(OFFSET($BH$3,0,0,'Données projet'!$E$11+1,1))-AVERAGE(OFFSET($H$3,0,0,'Données projet'!$E$11+1,1))</f>
        <v>320.67081032419122</v>
      </c>
      <c r="BJ4" s="62">
        <f>$BJ$3</f>
        <v>290.51177680335746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2">
        <f t="shared" ref="CC4:CC67" si="11">CB4+(BT4+BU4)*44/12</f>
        <v>261.05964372354305</v>
      </c>
      <c r="CD4" s="62">
        <f ca="1">AVERAGE(OFFSET($CC$3,0,0,'Données projet'!$E$12+1,1))-AVERAGE(OFFSET($H$3,0,0,'Données projet'!$E$12+1,1))</f>
        <v>587.74247372331615</v>
      </c>
      <c r="CE4" s="62">
        <f>$CE$3</f>
        <v>306.61893266146666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3.1623931623931623</v>
      </c>
      <c r="CT4" s="13">
        <f>IF('Données projet'!$A$140&gt;35,CT3+CS4-DB3,IF(A4&lt;'Données projet'!$A$140,$CQ$205^A4,IF(A4='Données projet'!$A$140,'Données projet'!$B$140,CT3+CS4-DB3)))</f>
        <v>1.2934226882877784</v>
      </c>
      <c r="CU4" s="18">
        <f>CT4*VLOOKUP('Données projet'!$B$13,Paramètres!$A$1:$I$89,3,0)*VLOOKUP('Données projet'!$B$13,Paramètres!$A$1:$I$89,5,0)</f>
        <v>1.2308210301746498</v>
      </c>
      <c r="CV4" s="14">
        <f>EXP(-1.0587+0.8836*LN(CU4)+0.284)</f>
        <v>0.55366654932289705</v>
      </c>
      <c r="CW4" s="22">
        <f t="shared" ref="CW4:CW67" si="13">(CU4+CV4)*0.475*44/12</f>
        <v>3.1079825342915606</v>
      </c>
      <c r="CX4" s="62">
        <f t="shared" ref="CX4:CX67" si="14">CW4+(CO4+CP4)*44/12</f>
        <v>260.99687142318044</v>
      </c>
      <c r="CY4" s="62">
        <f ca="1">AVERAGE(OFFSET($CX$3,0,0,'Données projet'!$E$13+1,1))-AVERAGE(OFFSET($H$3,0,0,'Données projet'!$E$13+1,1))</f>
        <v>406.24139966722936</v>
      </c>
      <c r="CZ4" s="62">
        <f>$CZ$3</f>
        <v>295.95724296920577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3.9923076923076919</v>
      </c>
      <c r="DO4" s="13">
        <f>IF('Données projet'!$A$166&gt;35,DO3+DN4-DW3,IF(A4&lt;'Données projet'!$A$166,$DL$205^A4,IF(A4='Données projet'!$A$166,'Données projet'!$B$166,DO3+DN4-DW3)))</f>
        <v>1.3136742413466562</v>
      </c>
      <c r="DP4" s="18">
        <f>DO4*VLOOKUP('Données projet'!$B$14,Paramètres!$A$1:$I$89,3,0)*VLOOKUP('Données projet'!$B$14,Paramètres!$A$1:$I$89,5,0)</f>
        <v>0.78557719632530054</v>
      </c>
      <c r="DQ4" s="14">
        <f>EXP(-1.0587+0.8836*LN(DP4)+0.284)</f>
        <v>0.37234107552413531</v>
      </c>
      <c r="DR4" s="22">
        <f t="shared" ref="DR4:DR67" si="16">(DP4+DQ4)*0.475*44/12</f>
        <v>2.0167076568044338</v>
      </c>
      <c r="DS4" s="62">
        <f t="shared" ref="DS4:DS67" si="17">DR4+(DJ4+DK4)*44/12</f>
        <v>259.9055965456933</v>
      </c>
      <c r="DT4" s="62">
        <f ca="1">AVERAGE(OFFSET($DS$3,0,0,'Données projet'!$E$14+1,1))-AVERAGE(OFFSET($H$3,0,0,'Données projet'!$E$14+1,1))</f>
        <v>356.42779334565381</v>
      </c>
      <c r="DU4" s="62">
        <f>$DU$3</f>
        <v>320.06572891923685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1.1099999999999999</v>
      </c>
      <c r="FE4" s="13">
        <f>IF('Données projet'!$A$218&gt;35,FE3+FD4-FM3,IF(A4&lt;'Données projet'!$A$218,$FB$205^A4,IF(A4='Données projet'!$A$218,'Données projet'!$B$218,FE3+FD4-FM3)))</f>
        <v>1.2721323532877689</v>
      </c>
      <c r="FF4" s="18">
        <f>FE4*VLOOKUP('Données projet'!$B$16,Paramètres!$A$1:$I$89,3,0)*VLOOKUP('Données projet'!$B$16,Paramètres!$A$1:$I$89,5,0)</f>
        <v>1.0121085002757488</v>
      </c>
      <c r="FG4" s="14">
        <f>EXP(-1.0587+0.8836*LN(FF4)+0.284)</f>
        <v>0.46576913511432322</v>
      </c>
      <c r="FH4" s="22">
        <f t="shared" ref="FH4:FH67" si="22">(FF4+FG4)*0.475*44/12</f>
        <v>2.5739702149710419</v>
      </c>
      <c r="FI4" s="62">
        <f t="shared" ref="FI4:FI67" si="23">FH4+(EZ4+FA4)*44/12</f>
        <v>260.4628591038599</v>
      </c>
      <c r="FJ4" s="62">
        <f ca="1">AVERAGE(OFFSET($FI$3,0,0,'Données projet'!$E$16+1,1))-AVERAGE(OFFSET($H$3,0,0,'Données projet'!$E$16+1,1))</f>
        <v>370.59298168107364</v>
      </c>
      <c r="FK4" s="62">
        <f>$FK$3</f>
        <v>404.61777090709171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3.65</v>
      </c>
      <c r="FZ4" s="13">
        <f>IF('Données projet'!$A$244&gt;35,FZ3+FY4-GH3,IF(A4&lt;'Données projet'!$A$244,$FW$205^A4,IF(A4='Données projet'!$A$244,'Données projet'!$B$244,FZ3+FY4-GH3)))</f>
        <v>1.2392705892426346</v>
      </c>
      <c r="GA4" s="18">
        <f>FZ4*VLOOKUP('Données projet'!$B$17,Paramètres!$A$1:$I$89,3,0)*VLOOKUP('Données projet'!$B$17,Paramètres!$A$1:$I$89,5,0)</f>
        <v>1.1986225139154763</v>
      </c>
      <c r="GB4" s="14">
        <f>EXP(-1.0587+0.8836*LN(GA4)+0.284)</f>
        <v>0.54084878793982472</v>
      </c>
      <c r="GC4" s="22">
        <f t="shared" ref="GC4:GC67" si="25">(GA4+GB4)*0.475*44/12</f>
        <v>3.0295791840646493</v>
      </c>
      <c r="GD4" s="62">
        <f t="shared" ref="GD4:GD67" si="26">GC4+(FU4+FV4)*44/12</f>
        <v>260.91846807295349</v>
      </c>
      <c r="GE4" s="62">
        <f ca="1">AVERAGE(OFFSET($GD$3,0,0,'Données projet'!$E$17+1,1))-AVERAGE(OFFSET($H$3,0,0,'Données projet'!$E$17+1,1))</f>
        <v>562.69380557620775</v>
      </c>
      <c r="GF4" s="62">
        <f>$GF$3</f>
        <v>294.45557293177131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3.2692307692307692</v>
      </c>
      <c r="GU4" s="13">
        <f>IF('Données projet'!$A$270&gt;35,GU3+GT4-HC3,IF(A4&lt;'Données projet'!$A$270,$GR$205^A4,IF(A4='Données projet'!$A$270,'Données projet'!$B$270,GU3+GT4-HC3)))</f>
        <v>1.4172437739267318</v>
      </c>
      <c r="GV4" s="18">
        <f>GU4*VLOOKUP('Données projet'!$B$18,Paramètres!$A$1:$I$89,3,0)*VLOOKUP('Données projet'!$B$18,Paramètres!$A$1:$I$89,5,0)</f>
        <v>0.95068712355005169</v>
      </c>
      <c r="GW4" s="14">
        <f>EXP(-1.0587+0.8836*LN(GV4)+0.284)</f>
        <v>0.44070309303270105</v>
      </c>
      <c r="GX4" s="22">
        <f t="shared" ref="GX4:GX67" si="28">(GV4+GW4)*0.475*44/12</f>
        <v>2.4233379605482943</v>
      </c>
      <c r="GY4" s="62">
        <f t="shared" ref="GY4:GY67" si="29">GX4+(GP4+GQ4)*44/12</f>
        <v>260.31222684943714</v>
      </c>
      <c r="GZ4" s="62">
        <f ca="1">AVERAGE(OFFSET($GY$3,0,0,'Données projet'!$E$18+1,1))-AVERAGE(OFFSET($H$3,0,0,'Données projet'!$E$18+1,1))</f>
        <v>363.53487081291541</v>
      </c>
      <c r="HA4" s="62">
        <f>$HA$3</f>
        <v>308.1559670593121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529.25712986118265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262.37213344255713</v>
      </c>
      <c r="AN5" s="62">
        <f ca="1">AVERAGE(OFFSET($AM$3,0,0,'Données projet'!$E$10+1,1))-AVERAGE(OFFSET($H$3,0,0,'Données projet'!$E$10+1,1))</f>
        <v>495.77338291316386</v>
      </c>
      <c r="AO5" s="62">
        <f t="shared" ref="AO5:AO68" si="36">$AO$3</f>
        <v>261.95434270986397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7.6594017094017097</v>
      </c>
      <c r="BD5" s="13">
        <f>IF('Données projet'!$A$88&gt;35,BD4+BC5-BL4,IF(A5&lt;'Données projet'!$A$88,$BA$205^A5,IF(A5='Données projet'!$A$88,'Données projet'!$B$88,BD4+BC5-BL4)))</f>
        <v>1.7286958711503027</v>
      </c>
      <c r="BE5" s="14">
        <f>BD5*VLOOKUP('Données projet'!$B$11,Paramètres!$A$1:$I$89,3,0)*VLOOKUP('Données projet'!$B$11,Paramètres!$A$1:$I$89,5,0)</f>
        <v>0.98881403829797321</v>
      </c>
      <c r="BF5" s="14">
        <f t="shared" ref="BF5:BF68" si="37">EXP(-1.0587+0.8836*LN(BE5)+0.284)</f>
        <v>0.4562841114559042</v>
      </c>
      <c r="BG5" s="22">
        <f t="shared" si="7"/>
        <v>2.5168792774880031</v>
      </c>
      <c r="BH5" s="62">
        <f t="shared" si="8"/>
        <v>261.62799038859913</v>
      </c>
      <c r="BI5" s="62">
        <f ca="1">AVERAGE(OFFSET($BH$3,0,0,'Données projet'!$E$11+1,1))-AVERAGE(OFFSET($H$3,0,0,'Données projet'!$E$11+1,1))</f>
        <v>320.67081032419122</v>
      </c>
      <c r="BJ5" s="62">
        <f t="shared" ref="BJ5:BJ68" si="38">$BJ$3</f>
        <v>290.51177680335746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2">
        <f t="shared" si="11"/>
        <v>263.01051811804473</v>
      </c>
      <c r="CD5" s="62">
        <f ca="1">AVERAGE(OFFSET($CC$3,0,0,'Données projet'!$E$12+1,1))-AVERAGE(OFFSET($H$3,0,0,'Données projet'!$E$12+1,1))</f>
        <v>587.74247372331615</v>
      </c>
      <c r="CE5" s="62">
        <f t="shared" ref="CE5:CE68" si="40">$CE$3</f>
        <v>306.61893266146666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3.1623931623931623</v>
      </c>
      <c r="CT5" s="13">
        <f>IF('Données projet'!$A$140&gt;35,CT4+CS5-DB4,IF(A5&lt;'Données projet'!$A$140,$CQ$205^A5,IF(A5='Données projet'!$A$140,'Données projet'!$B$140,CT4+CS5-DB4)))</f>
        <v>1.6729422505775835</v>
      </c>
      <c r="CU5" s="18">
        <f>CT5*VLOOKUP('Données projet'!$B$13,Paramètres!$A$1:$I$89,3,0)*VLOOKUP('Données projet'!$B$13,Paramètres!$A$1:$I$89,5,0)</f>
        <v>1.5919718456496286</v>
      </c>
      <c r="CV5" s="14">
        <f t="shared" ref="CV5:CV68" si="41">EXP(-1.0587+0.8836*LN(CU5)+0.284)</f>
        <v>0.69499578258152339</v>
      </c>
      <c r="CW5" s="22">
        <f t="shared" si="13"/>
        <v>3.9831352858359232</v>
      </c>
      <c r="CX5" s="62">
        <f t="shared" si="14"/>
        <v>263.09424639694709</v>
      </c>
      <c r="CY5" s="62">
        <f ca="1">AVERAGE(OFFSET($CX$3,0,0,'Données projet'!$E$13+1,1))-AVERAGE(OFFSET($H$3,0,0,'Données projet'!$E$13+1,1))</f>
        <v>406.24139966722936</v>
      </c>
      <c r="CZ5" s="62">
        <f t="shared" ref="CZ5:CZ68" si="42">$CZ$3</f>
        <v>295.95724296920577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3.9923076923076919</v>
      </c>
      <c r="DO5" s="13">
        <f>IF('Données projet'!$A$166&gt;35,DO4+DN5-DW4,IF(A5&lt;'Données projet'!$A$166,$DL$205^A5,IF(A5='Données projet'!$A$166,'Données projet'!$B$166,DO4+DN5-DW4)))</f>
        <v>1.7257400123777127</v>
      </c>
      <c r="DP5" s="18">
        <f>DO5*VLOOKUP('Données projet'!$B$14,Paramètres!$A$1:$I$89,3,0)*VLOOKUP('Données projet'!$B$14,Paramètres!$A$1:$I$89,5,0)</f>
        <v>1.0319925274018724</v>
      </c>
      <c r="DQ5" s="14">
        <f t="shared" ref="DQ5:DQ68" si="43">EXP(-1.0587+0.8836*LN(DP5)+0.284)</f>
        <v>0.47384539761506927</v>
      </c>
      <c r="DR5" s="22">
        <f t="shared" si="16"/>
        <v>2.6226677194045069</v>
      </c>
      <c r="DS5" s="62">
        <f t="shared" si="17"/>
        <v>261.73377883051563</v>
      </c>
      <c r="DT5" s="62">
        <f ca="1">AVERAGE(OFFSET($DS$3,0,0,'Données projet'!$E$14+1,1))-AVERAGE(OFFSET($H$3,0,0,'Données projet'!$E$14+1,1))</f>
        <v>356.42779334565381</v>
      </c>
      <c r="DU5" s="62">
        <f t="shared" ref="DU5:DU68" si="44">$DU$3</f>
        <v>320.06572891923685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1.1099999999999999</v>
      </c>
      <c r="FE5" s="13">
        <f>IF('Données projet'!$A$218&gt;35,FE4+FD5-FM4,IF(A5&lt;'Données projet'!$A$218,$FB$205^A5,IF(A5='Données projet'!$A$218,'Données projet'!$B$218,FE4+FD5-FM4)))</f>
        <v>1.6183207242814768</v>
      </c>
      <c r="FF5" s="18">
        <f>FE5*VLOOKUP('Données projet'!$B$16,Paramètres!$A$1:$I$89,3,0)*VLOOKUP('Données projet'!$B$16,Paramètres!$A$1:$I$89,5,0)</f>
        <v>1.2875359682383429</v>
      </c>
      <c r="FG5" s="14">
        <f t="shared" ref="FG5:FG68" si="47">EXP(-1.0587+0.8836*LN(FF5)+0.284)</f>
        <v>0.57614983837086087</v>
      </c>
      <c r="FH5" s="22">
        <f t="shared" si="22"/>
        <v>3.2459194465110297</v>
      </c>
      <c r="FI5" s="62">
        <f t="shared" si="23"/>
        <v>262.35703055762218</v>
      </c>
      <c r="FJ5" s="62">
        <f ca="1">AVERAGE(OFFSET($FI$3,0,0,'Données projet'!$E$16+1,1))-AVERAGE(OFFSET($H$3,0,0,'Données projet'!$E$16+1,1))</f>
        <v>370.59298168107364</v>
      </c>
      <c r="FK5" s="62">
        <f t="shared" ref="FK5:FK68" si="48">$FK$3</f>
        <v>404.61777090709171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3.65</v>
      </c>
      <c r="FZ5" s="13">
        <f>IF('Données projet'!$A$244&gt;35,FZ4+FY5-GH4,IF(A5&lt;'Données projet'!$A$244,$FW$205^A5,IF(A5='Données projet'!$A$244,'Données projet'!$B$244,FZ4+FY5-GH4)))</f>
        <v>1.5357915933617867</v>
      </c>
      <c r="GA5" s="18">
        <f>FZ5*VLOOKUP('Données projet'!$B$17,Paramètres!$A$1:$I$89,3,0)*VLOOKUP('Données projet'!$B$17,Paramètres!$A$1:$I$89,5,0)</f>
        <v>1.4854176290995202</v>
      </c>
      <c r="GB5" s="14">
        <f t="shared" ref="GB5:GB68" si="49">EXP(-1.0587+0.8836*LN(GA5)+0.284)</f>
        <v>0.65372856897250708</v>
      </c>
      <c r="GC5" s="22">
        <f t="shared" si="25"/>
        <v>3.725679628308781</v>
      </c>
      <c r="GD5" s="62">
        <f t="shared" si="26"/>
        <v>262.83679073941994</v>
      </c>
      <c r="GE5" s="62">
        <f ca="1">AVERAGE(OFFSET($GD$3,0,0,'Données projet'!$E$17+1,1))-AVERAGE(OFFSET($H$3,0,0,'Données projet'!$E$17+1,1))</f>
        <v>562.69380557620775</v>
      </c>
      <c r="GF5" s="62">
        <f t="shared" ref="GF5:GF68" si="50">$GF$3</f>
        <v>294.45557293177131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3.2692307692307692</v>
      </c>
      <c r="GU5" s="13">
        <f>IF('Données projet'!$A$270&gt;35,GU4+GT5-HC4,IF(A5&lt;'Données projet'!$A$270,$GR$205^A5,IF(A5='Données projet'!$A$270,'Données projet'!$B$270,GU4+GT5-HC4)))</f>
        <v>2.0085799147340855</v>
      </c>
      <c r="GV5" s="18">
        <f>GU5*VLOOKUP('Données projet'!$B$18,Paramètres!$A$1:$I$89,3,0)*VLOOKUP('Données projet'!$B$18,Paramètres!$A$1:$I$89,5,0)</f>
        <v>1.3473554068036244</v>
      </c>
      <c r="GW5" s="14">
        <f t="shared" ref="GW5:GW68" si="51">EXP(-1.0587+0.8836*LN(GV5)+0.284)</f>
        <v>0.5997393019338928</v>
      </c>
      <c r="GX5" s="22">
        <f t="shared" si="28"/>
        <v>3.3911899510511758</v>
      </c>
      <c r="GY5" s="62">
        <f t="shared" si="29"/>
        <v>262.5023010621623</v>
      </c>
      <c r="GZ5" s="62">
        <f ca="1">AVERAGE(OFFSET($GY$3,0,0,'Données projet'!$E$18+1,1))-AVERAGE(OFFSET($H$3,0,0,'Données projet'!$E$18+1,1))</f>
        <v>363.53487081291541</v>
      </c>
      <c r="HA5" s="62">
        <f t="shared" ref="HA5:HA68" si="52">$HA$3</f>
        <v>308.1559670593121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529.25712986118265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264.3438238491496</v>
      </c>
      <c r="AN6" s="62">
        <f ca="1">AVERAGE(OFFSET($AM$3,0,0,'Données projet'!$E$10+1,1))-AVERAGE(OFFSET($H$3,0,0,'Données projet'!$E$10+1,1))</f>
        <v>495.77338291316386</v>
      </c>
      <c r="AO6" s="62">
        <f t="shared" si="36"/>
        <v>261.95434270986397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7.6594017094017097</v>
      </c>
      <c r="BD6" s="13">
        <f>IF('Données projet'!$A$88&gt;35,BD5+BC6-BL5,IF(A6&lt;'Données projet'!$A$88,$BA$205^A6,IF(A6='Données projet'!$A$88,'Données projet'!$B$88,BD5+BC6-BL5)))</f>
        <v>2.2728872481894911</v>
      </c>
      <c r="BE6" s="14">
        <f>BD6*VLOOKUP('Données projet'!$B$11,Paramètres!$A$1:$I$89,3,0)*VLOOKUP('Données projet'!$B$11,Paramètres!$A$1:$I$89,5,0)</f>
        <v>1.3000915059643887</v>
      </c>
      <c r="BF6" s="14">
        <f t="shared" si="37"/>
        <v>0.58111143482153338</v>
      </c>
      <c r="BG6" s="22">
        <f t="shared" si="7"/>
        <v>3.2764284552021476</v>
      </c>
      <c r="BH6" s="62">
        <f t="shared" si="8"/>
        <v>263.60976178853548</v>
      </c>
      <c r="BI6" s="62">
        <f ca="1">AVERAGE(OFFSET($BH$3,0,0,'Données projet'!$E$11+1,1))-AVERAGE(OFFSET($H$3,0,0,'Données projet'!$E$11+1,1))</f>
        <v>320.67081032419122</v>
      </c>
      <c r="BJ6" s="62">
        <f t="shared" si="38"/>
        <v>290.51177680335746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2">
        <f t="shared" si="11"/>
        <v>265.12947290764731</v>
      </c>
      <c r="CD6" s="62">
        <f ca="1">AVERAGE(OFFSET($CC$3,0,0,'Données projet'!$E$12+1,1))-AVERAGE(OFFSET($H$3,0,0,'Données projet'!$E$12+1,1))</f>
        <v>587.74247372331615</v>
      </c>
      <c r="CE6" s="62">
        <f t="shared" si="40"/>
        <v>306.61893266146666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3.1623931623931623</v>
      </c>
      <c r="CT6" s="13">
        <f>IF('Données projet'!$A$140&gt;35,CT5+CS6-DB5,IF(A6&lt;'Données projet'!$A$140,$CQ$205^A6,IF(A6='Données projet'!$A$140,'Données projet'!$B$140,CT5+CS6-DB5)))</f>
        <v>2.1638214630922641</v>
      </c>
      <c r="CU6" s="18">
        <f>CT6*VLOOKUP('Données projet'!$B$13,Paramètres!$A$1:$I$89,3,0)*VLOOKUP('Données projet'!$B$13,Paramètres!$A$1:$I$89,5,0)</f>
        <v>2.0590925042785986</v>
      </c>
      <c r="CV6" s="14">
        <f t="shared" si="41"/>
        <v>0.87240079502149648</v>
      </c>
      <c r="CW6" s="22">
        <f t="shared" si="13"/>
        <v>5.1056841629476652</v>
      </c>
      <c r="CX6" s="62">
        <f t="shared" si="14"/>
        <v>265.439017496281</v>
      </c>
      <c r="CY6" s="62">
        <f ca="1">AVERAGE(OFFSET($CX$3,0,0,'Données projet'!$E$13+1,1))-AVERAGE(OFFSET($H$3,0,0,'Données projet'!$E$13+1,1))</f>
        <v>406.24139966722936</v>
      </c>
      <c r="CZ6" s="62">
        <f t="shared" si="42"/>
        <v>295.95724296920577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3.9923076923076919</v>
      </c>
      <c r="DO6" s="13">
        <f>IF('Données projet'!$A$166&gt;35,DO5+DN6-DW5,IF(A6&lt;'Données projet'!$A$166,$DL$205^A6,IF(A6='Données projet'!$A$166,'Données projet'!$B$166,DO5+DN6-DW5)))</f>
        <v>2.2670602015218608</v>
      </c>
      <c r="DP6" s="18">
        <f>DO6*VLOOKUP('Données projet'!$B$14,Paramètres!$A$1:$I$89,3,0)*VLOOKUP('Données projet'!$B$14,Paramètres!$A$1:$I$89,5,0)</f>
        <v>1.3557020005100728</v>
      </c>
      <c r="DQ6" s="14">
        <f t="shared" si="43"/>
        <v>0.60302092785470529</v>
      </c>
      <c r="DR6" s="22">
        <f t="shared" si="16"/>
        <v>3.4114424335686557</v>
      </c>
      <c r="DS6" s="62">
        <f t="shared" si="17"/>
        <v>263.74477576690197</v>
      </c>
      <c r="DT6" s="62">
        <f ca="1">AVERAGE(OFFSET($DS$3,0,0,'Données projet'!$E$14+1,1))-AVERAGE(OFFSET($H$3,0,0,'Données projet'!$E$14+1,1))</f>
        <v>356.42779334565381</v>
      </c>
      <c r="DU6" s="62">
        <f t="shared" si="44"/>
        <v>320.06572891923685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1.1099999999999999</v>
      </c>
      <c r="FE6" s="13">
        <f>IF('Données projet'!$A$218&gt;35,FE5+FD6-FM5,IF(A6&lt;'Données projet'!$A$218,$FB$205^A6,IF(A6='Données projet'!$A$218,'Données projet'!$B$218,FE5+FD6-FM5)))</f>
        <v>2.0587181513545616</v>
      </c>
      <c r="FF6" s="18">
        <f>FE6*VLOOKUP('Données projet'!$B$16,Paramètres!$A$1:$I$89,3,0)*VLOOKUP('Données projet'!$B$16,Paramètres!$A$1:$I$89,5,0)</f>
        <v>1.6379161612176893</v>
      </c>
      <c r="FG6" s="14">
        <f t="shared" si="47"/>
        <v>0.71268920851376738</v>
      </c>
      <c r="FH6" s="22">
        <f t="shared" si="22"/>
        <v>4.0939710189489533</v>
      </c>
      <c r="FI6" s="62">
        <f t="shared" si="23"/>
        <v>264.42730435228225</v>
      </c>
      <c r="FJ6" s="62">
        <f ca="1">AVERAGE(OFFSET($FI$3,0,0,'Données projet'!$E$16+1,1))-AVERAGE(OFFSET($H$3,0,0,'Données projet'!$E$16+1,1))</f>
        <v>370.59298168107364</v>
      </c>
      <c r="FK6" s="62">
        <f t="shared" si="48"/>
        <v>404.61777090709171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3.65</v>
      </c>
      <c r="FZ6" s="13">
        <f>IF('Données projet'!$A$244&gt;35,FZ5+FY6-GH5,IF(A6&lt;'Données projet'!$A$244,$FW$205^A6,IF(A6='Données projet'!$A$244,'Données projet'!$B$244,FZ5+FY6-GH5)))</f>
        <v>1.9032613528593461</v>
      </c>
      <c r="GA6" s="18">
        <f>FZ6*VLOOKUP('Données projet'!$B$17,Paramètres!$A$1:$I$89,3,0)*VLOOKUP('Données projet'!$B$17,Paramètres!$A$1:$I$89,5,0)</f>
        <v>1.8408343804855598</v>
      </c>
      <c r="GB6" s="14">
        <f t="shared" si="49"/>
        <v>0.79016732850363813</v>
      </c>
      <c r="GC6" s="22">
        <f t="shared" si="25"/>
        <v>4.5823279764895188</v>
      </c>
      <c r="GD6" s="62">
        <f t="shared" si="26"/>
        <v>264.91566130982284</v>
      </c>
      <c r="GE6" s="62">
        <f ca="1">AVERAGE(OFFSET($GD$3,0,0,'Données projet'!$E$17+1,1))-AVERAGE(OFFSET($H$3,0,0,'Données projet'!$E$17+1,1))</f>
        <v>562.69380557620775</v>
      </c>
      <c r="GF6" s="62">
        <f t="shared" si="50"/>
        <v>294.45557293177131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3.2692307692307692</v>
      </c>
      <c r="GU6" s="13">
        <f>IF('Données projet'!$A$270&gt;35,GU5+GT6-HC5,IF(A6&lt;'Données projet'!$A$270,$GR$205^A6,IF(A6='Données projet'!$A$270,'Données projet'!$B$270,GU5+GT6-HC5)))</f>
        <v>2.8466473785911686</v>
      </c>
      <c r="GV6" s="18">
        <f>GU6*VLOOKUP('Données projet'!$B$18,Paramètres!$A$1:$I$89,3,0)*VLOOKUP('Données projet'!$B$18,Paramètres!$A$1:$I$89,5,0)</f>
        <v>1.909531061558956</v>
      </c>
      <c r="GW6" s="14">
        <f t="shared" si="51"/>
        <v>0.81616679340497278</v>
      </c>
      <c r="GX6" s="22">
        <f t="shared" si="28"/>
        <v>4.7472570973955088</v>
      </c>
      <c r="GY6" s="62">
        <f t="shared" si="29"/>
        <v>265.08059043072882</v>
      </c>
      <c r="GZ6" s="62">
        <f ca="1">AVERAGE(OFFSET($GY$3,0,0,'Données projet'!$E$18+1,1))-AVERAGE(OFFSET($H$3,0,0,'Données projet'!$E$18+1,1))</f>
        <v>363.53487081291541</v>
      </c>
      <c r="HA6" s="62">
        <f t="shared" si="52"/>
        <v>308.1559670593121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529.25712986118265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266.48841202819835</v>
      </c>
      <c r="AN7" s="62">
        <f ca="1">AVERAGE(OFFSET($AM$3,0,0,'Données projet'!$E$10+1,1))-AVERAGE(OFFSET($H$3,0,0,'Données projet'!$E$10+1,1))</f>
        <v>495.77338291316386</v>
      </c>
      <c r="AO7" s="62">
        <f t="shared" si="36"/>
        <v>261.95434270986397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7.6594017094017097</v>
      </c>
      <c r="BD7" s="13">
        <f>IF('Données projet'!$A$88&gt;35,BD6+BC7-BL6,IF(A7&lt;'Données projet'!$A$88,$BA$205^A7,IF(A7='Données projet'!$A$88,'Données projet'!$B$88,BD6+BC7-BL6)))</f>
        <v>2.988389414932104</v>
      </c>
      <c r="BE7" s="14">
        <f>BD7*VLOOKUP('Données projet'!$B$11,Paramètres!$A$1:$I$89,3,0)*VLOOKUP('Données projet'!$B$11,Paramètres!$A$1:$I$89,5,0)</f>
        <v>1.7093587453411636</v>
      </c>
      <c r="BF7" s="14">
        <f t="shared" si="37"/>
        <v>0.74008822836903909</v>
      </c>
      <c r="BG7" s="22">
        <f t="shared" si="7"/>
        <v>4.2661201458786024</v>
      </c>
      <c r="BH7" s="62">
        <f t="shared" si="8"/>
        <v>265.82167570143417</v>
      </c>
      <c r="BI7" s="62">
        <f ca="1">AVERAGE(OFFSET($BH$3,0,0,'Données projet'!$E$11+1,1))-AVERAGE(OFFSET($H$3,0,0,'Données projet'!$E$11+1,1))</f>
        <v>320.67081032419122</v>
      </c>
      <c r="BJ7" s="62">
        <f t="shared" si="38"/>
        <v>290.51177680335746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2">
        <f t="shared" si="11"/>
        <v>267.45541730352721</v>
      </c>
      <c r="CD7" s="62">
        <f ca="1">AVERAGE(OFFSET($CC$3,0,0,'Données projet'!$E$12+1,1))-AVERAGE(OFFSET($H$3,0,0,'Données projet'!$E$12+1,1))</f>
        <v>587.74247372331615</v>
      </c>
      <c r="CE7" s="62">
        <f t="shared" si="40"/>
        <v>306.61893266146666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3.1623931623931623</v>
      </c>
      <c r="CT7" s="13">
        <f>IF('Données projet'!$A$140&gt;35,CT6+CS7-DB6,IF(A7&lt;'Données projet'!$A$140,$CQ$205^A7,IF(A7='Données projet'!$A$140,'Données projet'!$B$140,CT6+CS7-DB6)))</f>
        <v>2.7987357737675902</v>
      </c>
      <c r="CU7" s="18">
        <f>CT7*VLOOKUP('Données projet'!$B$13,Paramètres!$A$1:$I$89,3,0)*VLOOKUP('Données projet'!$B$13,Paramètres!$A$1:$I$89,5,0)</f>
        <v>2.6632769623172385</v>
      </c>
      <c r="CV7" s="14">
        <f t="shared" si="41"/>
        <v>1.0950903102276937</v>
      </c>
      <c r="CW7" s="22">
        <f t="shared" si="13"/>
        <v>6.5458229996824224</v>
      </c>
      <c r="CX7" s="62">
        <f t="shared" si="14"/>
        <v>268.10137855523794</v>
      </c>
      <c r="CY7" s="62">
        <f ca="1">AVERAGE(OFFSET($CX$3,0,0,'Données projet'!$E$13+1,1))-AVERAGE(OFFSET($H$3,0,0,'Données projet'!$E$13+1,1))</f>
        <v>406.24139966722936</v>
      </c>
      <c r="CZ7" s="62">
        <f t="shared" si="42"/>
        <v>295.95724296920577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3.9923076923076919</v>
      </c>
      <c r="DO7" s="13">
        <f>IF('Données projet'!$A$166&gt;35,DO6+DN7-DW6,IF(A7&lt;'Données projet'!$A$166,$DL$205^A7,IF(A7='Données projet'!$A$166,'Données projet'!$B$166,DO6+DN7-DW6)))</f>
        <v>2.978178590321428</v>
      </c>
      <c r="DP7" s="18">
        <f>DO7*VLOOKUP('Données projet'!$B$14,Paramètres!$A$1:$I$89,3,0)*VLOOKUP('Données projet'!$B$14,Paramètres!$A$1:$I$89,5,0)</f>
        <v>1.780950797012214</v>
      </c>
      <c r="DQ7" s="14">
        <f t="shared" si="43"/>
        <v>0.76741114562043289</v>
      </c>
      <c r="DR7" s="22">
        <f t="shared" si="16"/>
        <v>4.438397050085193</v>
      </c>
      <c r="DS7" s="62">
        <f t="shared" si="17"/>
        <v>265.99395260564074</v>
      </c>
      <c r="DT7" s="62">
        <f ca="1">AVERAGE(OFFSET($DS$3,0,0,'Données projet'!$E$14+1,1))-AVERAGE(OFFSET($H$3,0,0,'Données projet'!$E$14+1,1))</f>
        <v>356.42779334565381</v>
      </c>
      <c r="DU7" s="62">
        <f t="shared" si="44"/>
        <v>320.06572891923685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1.1099999999999999</v>
      </c>
      <c r="FE7" s="13">
        <f>IF('Données projet'!$A$218&gt;35,FE6+FD7-FM6,IF(A7&lt;'Données projet'!$A$218,$FB$205^A7,IF(A7='Données projet'!$A$218,'Données projet'!$B$218,FE6+FD7-FM6)))</f>
        <v>2.6189619666389237</v>
      </c>
      <c r="FF7" s="18">
        <f>FE7*VLOOKUP('Données projet'!$B$16,Paramètres!$A$1:$I$89,3,0)*VLOOKUP('Données projet'!$B$16,Paramètres!$A$1:$I$89,5,0)</f>
        <v>2.0836461406579279</v>
      </c>
      <c r="FG7" s="14">
        <f t="shared" si="47"/>
        <v>0.88158647994800687</v>
      </c>
      <c r="FH7" s="22">
        <f t="shared" si="22"/>
        <v>5.1644468142220035</v>
      </c>
      <c r="FI7" s="62">
        <f t="shared" si="23"/>
        <v>266.72000236977755</v>
      </c>
      <c r="FJ7" s="62">
        <f ca="1">AVERAGE(OFFSET($FI$3,0,0,'Données projet'!$E$16+1,1))-AVERAGE(OFFSET($H$3,0,0,'Données projet'!$E$16+1,1))</f>
        <v>370.59298168107364</v>
      </c>
      <c r="FK7" s="62">
        <f t="shared" si="48"/>
        <v>404.61777090709171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3.65</v>
      </c>
      <c r="FZ7" s="13">
        <f>IF('Données projet'!$A$244&gt;35,FZ6+FY7-GH6,IF(A7&lt;'Données projet'!$A$244,$FW$205^A7,IF(A7='Données projet'!$A$244,'Données projet'!$B$244,FZ6+FY7-GH6)))</f>
        <v>2.3586558182407358</v>
      </c>
      <c r="GA7" s="18">
        <f>FZ7*VLOOKUP('Données projet'!$B$17,Paramètres!$A$1:$I$89,3,0)*VLOOKUP('Données projet'!$B$17,Paramètres!$A$1:$I$89,5,0)</f>
        <v>2.2812919074024398</v>
      </c>
      <c r="GB7" s="14">
        <f t="shared" si="49"/>
        <v>0.95508202741684722</v>
      </c>
      <c r="GC7" s="22">
        <f t="shared" si="25"/>
        <v>5.6366846031435918</v>
      </c>
      <c r="GD7" s="62">
        <f t="shared" si="26"/>
        <v>267.19224015869912</v>
      </c>
      <c r="GE7" s="62">
        <f ca="1">AVERAGE(OFFSET($GD$3,0,0,'Données projet'!$E$17+1,1))-AVERAGE(OFFSET($H$3,0,0,'Données projet'!$E$17+1,1))</f>
        <v>562.69380557620775</v>
      </c>
      <c r="GF7" s="62">
        <f t="shared" si="50"/>
        <v>294.45557293177131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3.2692307692307692</v>
      </c>
      <c r="GU7" s="13">
        <f>IF('Données projet'!$A$270&gt;35,GU6+GT7-HC6,IF(A7&lt;'Données projet'!$A$270,$GR$205^A7,IF(A7='Données projet'!$A$270,'Données projet'!$B$270,GU6+GT7-HC6)))</f>
        <v>4.034393273873186</v>
      </c>
      <c r="GV7" s="18">
        <f>GU7*VLOOKUP('Données projet'!$B$18,Paramètres!$A$1:$I$89,3,0)*VLOOKUP('Données projet'!$B$18,Paramètres!$A$1:$I$89,5,0)</f>
        <v>2.7062710081141335</v>
      </c>
      <c r="GW7" s="14">
        <f t="shared" si="51"/>
        <v>1.1106963183986573</v>
      </c>
      <c r="GX7" s="22">
        <f t="shared" si="28"/>
        <v>6.6478847603431106</v>
      </c>
      <c r="GY7" s="62">
        <f t="shared" si="29"/>
        <v>268.20344031589866</v>
      </c>
      <c r="GZ7" s="62">
        <f ca="1">AVERAGE(OFFSET($GY$3,0,0,'Données projet'!$E$18+1,1))-AVERAGE(OFFSET($H$3,0,0,'Données projet'!$E$18+1,1))</f>
        <v>363.53487081291541</v>
      </c>
      <c r="HA7" s="62">
        <f t="shared" si="52"/>
        <v>308.1559670593121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529.25712986118265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268.84592576921818</v>
      </c>
      <c r="AN8" s="62">
        <f ca="1">AVERAGE(OFFSET($AM$3,0,0,'Données projet'!$E$10+1,1))-AVERAGE(OFFSET($H$3,0,0,'Données projet'!$E$10+1,1))</f>
        <v>495.77338291316386</v>
      </c>
      <c r="AO8" s="62">
        <f t="shared" si="36"/>
        <v>261.95434270986397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7.6594017094017097</v>
      </c>
      <c r="BD8" s="13">
        <f>IF('Données projet'!$A$88&gt;35,BD7+BC8-BL7,IF(A8&lt;'Données projet'!$A$88,$BA$205^A8,IF(A8='Données projet'!$A$88,'Données projet'!$B$88,BD7+BC8-BL7)))</f>
        <v>3.9291308015353463</v>
      </c>
      <c r="BE8" s="14">
        <f>BD8*VLOOKUP('Données projet'!$B$11,Paramètres!$A$1:$I$89,3,0)*VLOOKUP('Données projet'!$B$11,Paramètres!$A$1:$I$89,5,0)</f>
        <v>2.2474628184782182</v>
      </c>
      <c r="BF8" s="14">
        <f t="shared" si="37"/>
        <v>0.94255688831633089</v>
      </c>
      <c r="BG8" s="22">
        <f t="shared" si="7"/>
        <v>5.5559509893338399</v>
      </c>
      <c r="BH8" s="62">
        <f t="shared" si="8"/>
        <v>268.33372876711161</v>
      </c>
      <c r="BI8" s="62">
        <f ca="1">AVERAGE(OFFSET($BH$3,0,0,'Données projet'!$E$11+1,1))-AVERAGE(OFFSET($H$3,0,0,'Données projet'!$E$11+1,1))</f>
        <v>320.67081032419122</v>
      </c>
      <c r="BJ8" s="62">
        <f t="shared" si="38"/>
        <v>290.51177680335746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2">
        <f t="shared" si="11"/>
        <v>270.03629746362031</v>
      </c>
      <c r="CD8" s="62">
        <f ca="1">AVERAGE(OFFSET($CC$3,0,0,'Données projet'!$E$12+1,1))-AVERAGE(OFFSET($H$3,0,0,'Données projet'!$E$12+1,1))</f>
        <v>587.74247372331615</v>
      </c>
      <c r="CE8" s="62">
        <f t="shared" si="40"/>
        <v>306.61893266146666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3.1623931623931623</v>
      </c>
      <c r="CT8" s="13">
        <f>IF('Données projet'!$A$140&gt;35,CT7+CS8-DB7,IF(A8&lt;'Données projet'!$A$140,$CQ$205^A8,IF(A8='Données projet'!$A$140,'Données projet'!$B$140,CT7+CS8-DB7)))</f>
        <v>3.6199483483136521</v>
      </c>
      <c r="CU8" s="18">
        <f>CT8*VLOOKUP('Données projet'!$B$13,Paramètres!$A$1:$I$89,3,0)*VLOOKUP('Données projet'!$B$13,Paramètres!$A$1:$I$89,5,0)</f>
        <v>3.4447428482552716</v>
      </c>
      <c r="CV8" s="14">
        <f t="shared" si="41"/>
        <v>1.3746236757212458</v>
      </c>
      <c r="CW8" s="22">
        <f t="shared" si="13"/>
        <v>8.3937300292591015</v>
      </c>
      <c r="CX8" s="62">
        <f t="shared" si="14"/>
        <v>271.17150780703685</v>
      </c>
      <c r="CY8" s="62">
        <f ca="1">AVERAGE(OFFSET($CX$3,0,0,'Données projet'!$E$13+1,1))-AVERAGE(OFFSET($H$3,0,0,'Données projet'!$E$13+1,1))</f>
        <v>406.24139966722936</v>
      </c>
      <c r="CZ8" s="62">
        <f t="shared" si="42"/>
        <v>295.95724296920577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3.9923076923076919</v>
      </c>
      <c r="DO8" s="13">
        <f>IF('Données projet'!$A$166&gt;35,DO7+DN8-DW7,IF(A8&lt;'Données projet'!$A$166,$DL$205^A8,IF(A8='Données projet'!$A$166,'Données projet'!$B$166,DO7+DN8-DW7)))</f>
        <v>3.9123565002353557</v>
      </c>
      <c r="DP8" s="18">
        <f>DO8*VLOOKUP('Données projet'!$B$14,Paramètres!$A$1:$I$89,3,0)*VLOOKUP('Données projet'!$B$14,Paramètres!$A$1:$I$89,5,0)</f>
        <v>2.339589187140743</v>
      </c>
      <c r="DQ8" s="14">
        <f t="shared" si="43"/>
        <v>0.97661596674197404</v>
      </c>
      <c r="DR8" s="22">
        <f t="shared" si="16"/>
        <v>5.7757239763457333</v>
      </c>
      <c r="DS8" s="62">
        <f t="shared" si="17"/>
        <v>268.55350175412349</v>
      </c>
      <c r="DT8" s="62">
        <f ca="1">AVERAGE(OFFSET($DS$3,0,0,'Données projet'!$E$14+1,1))-AVERAGE(OFFSET($H$3,0,0,'Données projet'!$E$14+1,1))</f>
        <v>356.42779334565381</v>
      </c>
      <c r="DU8" s="62">
        <f t="shared" si="44"/>
        <v>320.06572891923685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1.1099999999999999</v>
      </c>
      <c r="FE8" s="13">
        <f>IF('Données projet'!$A$218&gt;35,FE7+FD8-FM7,IF(A8&lt;'Données projet'!$A$218,$FB$205^A8,IF(A8='Données projet'!$A$218,'Données projet'!$B$218,FE7+FD8-FM7)))</f>
        <v>3.331666249791537</v>
      </c>
      <c r="FF8" s="18">
        <f>FE8*VLOOKUP('Données projet'!$B$16,Paramètres!$A$1:$I$89,3,0)*VLOOKUP('Données projet'!$B$16,Paramètres!$A$1:$I$89,5,0)</f>
        <v>2.650673668334147</v>
      </c>
      <c r="FG8" s="14">
        <f t="shared" si="47"/>
        <v>1.0905100180313785</v>
      </c>
      <c r="FH8" s="22">
        <f t="shared" si="22"/>
        <v>6.5158949204199574</v>
      </c>
      <c r="FI8" s="62">
        <f t="shared" si="23"/>
        <v>269.29367269819772</v>
      </c>
      <c r="FJ8" s="62">
        <f ca="1">AVERAGE(OFFSET($FI$3,0,0,'Données projet'!$E$16+1,1))-AVERAGE(OFFSET($H$3,0,0,'Données projet'!$E$16+1,1))</f>
        <v>370.59298168107364</v>
      </c>
      <c r="FK8" s="62">
        <f t="shared" si="48"/>
        <v>404.61777090709171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3.65</v>
      </c>
      <c r="FZ8" s="13">
        <f>IF('Données projet'!$A$244&gt;35,FZ7+FY8-GH7,IF(A8&lt;'Données projet'!$A$244,$FW$205^A8,IF(A8='Données projet'!$A$244,'Données projet'!$B$244,FZ7+FY8-GH7)))</f>
        <v>2.9230127856917649</v>
      </c>
      <c r="GA8" s="18">
        <f>FZ8*VLOOKUP('Données projet'!$B$17,Paramètres!$A$1:$I$89,3,0)*VLOOKUP('Données projet'!$B$17,Paramètres!$A$1:$I$89,5,0)</f>
        <v>2.8271379663210752</v>
      </c>
      <c r="GB8" s="14">
        <f t="shared" si="49"/>
        <v>1.1544158385061292</v>
      </c>
      <c r="GC8" s="22">
        <f t="shared" si="25"/>
        <v>6.9345395434073795</v>
      </c>
      <c r="GD8" s="62">
        <f t="shared" si="26"/>
        <v>269.71231732118514</v>
      </c>
      <c r="GE8" s="62">
        <f ca="1">AVERAGE(OFFSET($GD$3,0,0,'Données projet'!$E$17+1,1))-AVERAGE(OFFSET($H$3,0,0,'Données projet'!$E$17+1,1))</f>
        <v>562.69380557620775</v>
      </c>
      <c r="GF8" s="62">
        <f t="shared" si="50"/>
        <v>294.45557293177131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3.2692307692307692</v>
      </c>
      <c r="GU8" s="13">
        <f>IF('Données projet'!$A$270&gt;35,GU7+GT8-HC7,IF(A8&lt;'Données projet'!$A$270,$GR$205^A8,IF(A8='Données projet'!$A$270,'Données projet'!$B$270,GU7+GT8-HC7)))</f>
        <v>5.7177187489686574</v>
      </c>
      <c r="GV8" s="18">
        <f>GU8*VLOOKUP('Données projet'!$B$18,Paramètres!$A$1:$I$89,3,0)*VLOOKUP('Données projet'!$B$18,Paramètres!$A$1:$I$89,5,0)</f>
        <v>3.8354457368081754</v>
      </c>
      <c r="GW8" s="14">
        <f t="shared" si="51"/>
        <v>1.5115125017003845</v>
      </c>
      <c r="GX8" s="22">
        <f t="shared" si="28"/>
        <v>9.3126189320690731</v>
      </c>
      <c r="GY8" s="62">
        <f t="shared" si="29"/>
        <v>272.09039670984686</v>
      </c>
      <c r="GZ8" s="62">
        <f ca="1">AVERAGE(OFFSET($GY$3,0,0,'Données projet'!$E$18+1,1))-AVERAGE(OFFSET($H$3,0,0,'Données projet'!$E$18+1,1))</f>
        <v>363.53487081291541</v>
      </c>
      <c r="HA8" s="62">
        <f t="shared" si="52"/>
        <v>308.1559670593121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529.25712986118265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271.46569033893184</v>
      </c>
      <c r="AN9" s="62">
        <f ca="1">AVERAGE(OFFSET($AM$3,0,0,'Données projet'!$E$10+1,1))-AVERAGE(OFFSET($H$3,0,0,'Données projet'!$E$10+1,1))</f>
        <v>495.77338291316386</v>
      </c>
      <c r="AO9" s="62">
        <f t="shared" si="36"/>
        <v>261.95434270986397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7.6594017094017097</v>
      </c>
      <c r="BD9" s="13">
        <f>IF('Données projet'!$A$88&gt;35,BD8+BC9-BL8,IF(A9&lt;'Données projet'!$A$88,$BA$205^A9,IF(A9='Données projet'!$A$88,'Données projet'!$B$88,BD8+BC9-BL8)))</f>
        <v>5.1660164429823965</v>
      </c>
      <c r="BE9" s="14">
        <f>BD9*VLOOKUP('Données projet'!$B$11,Paramètres!$A$1:$I$89,3,0)*VLOOKUP('Données projet'!$B$11,Paramètres!$A$1:$I$89,5,0)</f>
        <v>2.954961405385931</v>
      </c>
      <c r="BF9" s="14">
        <f t="shared" si="37"/>
        <v>1.2004156445919905</v>
      </c>
      <c r="BG9" s="22">
        <f t="shared" si="7"/>
        <v>7.237281695378214</v>
      </c>
      <c r="BH9" s="62">
        <f t="shared" si="8"/>
        <v>271.23728169537821</v>
      </c>
      <c r="BI9" s="62">
        <f ca="1">AVERAGE(OFFSET($BH$3,0,0,'Données projet'!$E$11+1,1))-AVERAGE(OFFSET($H$3,0,0,'Données projet'!$E$11+1,1))</f>
        <v>320.67081032419122</v>
      </c>
      <c r="BJ9" s="62">
        <f t="shared" si="38"/>
        <v>290.51177680335746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2">
        <f t="shared" si="11"/>
        <v>272.93120181514973</v>
      </c>
      <c r="CD9" s="62">
        <f ca="1">AVERAGE(OFFSET($CC$3,0,0,'Données projet'!$E$12+1,1))-AVERAGE(OFFSET($H$3,0,0,'Données projet'!$E$12+1,1))</f>
        <v>587.74247372331615</v>
      </c>
      <c r="CE9" s="62">
        <f t="shared" si="40"/>
        <v>306.61893266146666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3.1623931623931623</v>
      </c>
      <c r="CT9" s="13">
        <f>IF('Données projet'!$A$140&gt;35,CT8+CS9-DB8,IF(A9&lt;'Données projet'!$A$140,$CQ$205^A9,IF(A9='Données projet'!$A$140,'Données projet'!$B$140,CT8+CS9-DB8)))</f>
        <v>4.6821233241387468</v>
      </c>
      <c r="CU9" s="18">
        <f>CT9*VLOOKUP('Données projet'!$B$13,Paramètres!$A$1:$I$89,3,0)*VLOOKUP('Données projet'!$B$13,Paramètres!$A$1:$I$89,5,0)</f>
        <v>4.4555085552504314</v>
      </c>
      <c r="CV9" s="14">
        <f t="shared" si="41"/>
        <v>1.7255108845411122</v>
      </c>
      <c r="CW9" s="22">
        <f t="shared" si="13"/>
        <v>10.765275524303604</v>
      </c>
      <c r="CX9" s="62">
        <f t="shared" si="14"/>
        <v>274.7652755243036</v>
      </c>
      <c r="CY9" s="62">
        <f ca="1">AVERAGE(OFFSET($CX$3,0,0,'Données projet'!$E$13+1,1))-AVERAGE(OFFSET($H$3,0,0,'Données projet'!$E$13+1,1))</f>
        <v>406.24139966722936</v>
      </c>
      <c r="CZ9" s="62">
        <f t="shared" si="42"/>
        <v>295.95724296920577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3.9923076923076919</v>
      </c>
      <c r="DO9" s="13">
        <f>IF('Données projet'!$A$166&gt;35,DO8+DN9-DW8,IF(A9&lt;'Données projet'!$A$166,$DL$205^A9,IF(A9='Données projet'!$A$166,'Données projet'!$B$166,DO8+DN9-DW8)))</f>
        <v>5.1395619573243403</v>
      </c>
      <c r="DP9" s="18">
        <f>DO9*VLOOKUP('Données projet'!$B$14,Paramètres!$A$1:$I$89,3,0)*VLOOKUP('Données projet'!$B$14,Paramètres!$A$1:$I$89,5,0)</f>
        <v>3.0734580504799558</v>
      </c>
      <c r="DQ9" s="14">
        <f t="shared" si="43"/>
        <v>1.2428523509705534</v>
      </c>
      <c r="DR9" s="22">
        <f t="shared" si="16"/>
        <v>7.5175739491929692</v>
      </c>
      <c r="DS9" s="62">
        <f t="shared" si="17"/>
        <v>271.51757394919298</v>
      </c>
      <c r="DT9" s="62">
        <f ca="1">AVERAGE(OFFSET($DS$3,0,0,'Données projet'!$E$14+1,1))-AVERAGE(OFFSET($H$3,0,0,'Données projet'!$E$14+1,1))</f>
        <v>356.42779334565381</v>
      </c>
      <c r="DU9" s="62">
        <f t="shared" si="44"/>
        <v>320.06572891923685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1.1099999999999999</v>
      </c>
      <c r="FE9" s="13">
        <f>IF('Données projet'!$A$218&gt;35,FE8+FD9-FM8,IF(A9&lt;'Données projet'!$A$218,$FB$205^A9,IF(A9='Données projet'!$A$218,'Données projet'!$B$218,FE8+FD9-FM8)))</f>
        <v>4.2383204267167436</v>
      </c>
      <c r="FF9" s="18">
        <f>FE9*VLOOKUP('Données projet'!$B$16,Paramètres!$A$1:$I$89,3,0)*VLOOKUP('Données projet'!$B$16,Paramètres!$A$1:$I$89,5,0)</f>
        <v>3.3720077314958417</v>
      </c>
      <c r="FG9" s="14">
        <f t="shared" si="47"/>
        <v>1.3489454823501079</v>
      </c>
      <c r="FH9" s="22">
        <f t="shared" si="22"/>
        <v>8.2223268474483628</v>
      </c>
      <c r="FI9" s="62">
        <f t="shared" si="23"/>
        <v>272.22232684744836</v>
      </c>
      <c r="FJ9" s="62">
        <f ca="1">AVERAGE(OFFSET($FI$3,0,0,'Données projet'!$E$16+1,1))-AVERAGE(OFFSET($H$3,0,0,'Données projet'!$E$16+1,1))</f>
        <v>370.59298168107364</v>
      </c>
      <c r="FK9" s="62">
        <f t="shared" si="48"/>
        <v>404.61777090709171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3.65</v>
      </c>
      <c r="FZ9" s="13">
        <f>IF('Données projet'!$A$244&gt;35,FZ8+FY9-GH8,IF(A9&lt;'Données projet'!$A$244,$FW$205^A9,IF(A9='Données projet'!$A$244,'Données projet'!$B$244,FZ8+FY9-GH8)))</f>
        <v>3.6224037772879885</v>
      </c>
      <c r="GA9" s="18">
        <f>FZ9*VLOOKUP('Données projet'!$B$17,Paramètres!$A$1:$I$89,3,0)*VLOOKUP('Données projet'!$B$17,Paramètres!$A$1:$I$89,5,0)</f>
        <v>3.5035889333929422</v>
      </c>
      <c r="GB9" s="14">
        <f t="shared" si="49"/>
        <v>1.3953523257036018</v>
      </c>
      <c r="GC9" s="22">
        <f t="shared" si="25"/>
        <v>8.5323226929264795</v>
      </c>
      <c r="GD9" s="62">
        <f t="shared" si="26"/>
        <v>272.53232269292647</v>
      </c>
      <c r="GE9" s="62">
        <f ca="1">AVERAGE(OFFSET($GD$3,0,0,'Données projet'!$E$17+1,1))-AVERAGE(OFFSET($H$3,0,0,'Données projet'!$E$17+1,1))</f>
        <v>562.69380557620775</v>
      </c>
      <c r="GF9" s="62">
        <f t="shared" si="50"/>
        <v>294.45557293177131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3.2692307692307692</v>
      </c>
      <c r="GU9" s="13">
        <f>IF('Données projet'!$A$270&gt;35,GU8+GT9-HC8,IF(A9&lt;'Données projet'!$A$270,$GR$205^A9,IF(A9='Données projet'!$A$270,'Données projet'!$B$270,GU8+GT9-HC8)))</f>
        <v>8.1034012980399712</v>
      </c>
      <c r="GV9" s="18">
        <f>GU9*VLOOKUP('Données projet'!$B$18,Paramètres!$A$1:$I$89,3,0)*VLOOKUP('Données projet'!$B$18,Paramètres!$A$1:$I$89,5,0)</f>
        <v>5.435761590725213</v>
      </c>
      <c r="GW9" s="14">
        <f t="shared" si="51"/>
        <v>2.0569709334145188</v>
      </c>
      <c r="GX9" s="22">
        <f t="shared" si="28"/>
        <v>13.049842479543365</v>
      </c>
      <c r="GY9" s="62">
        <f t="shared" si="29"/>
        <v>277.04984247954337</v>
      </c>
      <c r="GZ9" s="62">
        <f ca="1">AVERAGE(OFFSET($GY$3,0,0,'Données projet'!$E$18+1,1))-AVERAGE(OFFSET($H$3,0,0,'Données projet'!$E$18+1,1))</f>
        <v>363.53487081291541</v>
      </c>
      <c r="HA9" s="62">
        <f t="shared" si="52"/>
        <v>308.1559670593121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529.25712986118265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274.40849465664172</v>
      </c>
      <c r="AN10" s="62">
        <f ca="1">AVERAGE(OFFSET($AM$3,0,0,'Données projet'!$E$10+1,1))-AVERAGE(OFFSET($H$3,0,0,'Données projet'!$E$10+1,1))</f>
        <v>495.77338291316386</v>
      </c>
      <c r="AO10" s="62">
        <f t="shared" si="36"/>
        <v>261.95434270986397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7.6594017094017097</v>
      </c>
      <c r="BD10" s="13">
        <f>IF('Données projet'!$A$88&gt;35,BD9+BC10-BL9,IF(A10&lt;'Données projet'!$A$88,$BA$205^A10,IF(A10='Données projet'!$A$88,'Données projet'!$B$88,BD9+BC10-BL9)))</f>
        <v>6.7922721938236332</v>
      </c>
      <c r="BE10" s="14">
        <f>BD10*VLOOKUP('Données projet'!$B$11,Paramètres!$A$1:$I$89,3,0)*VLOOKUP('Données projet'!$B$11,Paramètres!$A$1:$I$89,5,0)</f>
        <v>3.8851796948671184</v>
      </c>
      <c r="BF10" s="14">
        <f t="shared" si="37"/>
        <v>1.5288177696682343</v>
      </c>
      <c r="BG10" s="22">
        <f t="shared" si="7"/>
        <v>9.4293789173990721</v>
      </c>
      <c r="BH10" s="62">
        <f t="shared" si="8"/>
        <v>274.65160113962128</v>
      </c>
      <c r="BI10" s="62">
        <f ca="1">AVERAGE(OFFSET($BH$3,0,0,'Données projet'!$E$11+1,1))-AVERAGE(OFFSET($H$3,0,0,'Données projet'!$E$11+1,1))</f>
        <v>320.67081032419122</v>
      </c>
      <c r="BJ10" s="62">
        <f t="shared" si="38"/>
        <v>290.51177680335746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2">
        <f t="shared" si="11"/>
        <v>276.21295823232487</v>
      </c>
      <c r="CD10" s="62">
        <f ca="1">AVERAGE(OFFSET($CC$3,0,0,'Données projet'!$E$12+1,1))-AVERAGE(OFFSET($H$3,0,0,'Données projet'!$E$12+1,1))</f>
        <v>587.74247372331615</v>
      </c>
      <c r="CE10" s="62">
        <f t="shared" si="40"/>
        <v>306.61893266146666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3.1623931623931623</v>
      </c>
      <c r="CT10" s="13">
        <f>IF('Données projet'!$A$140&gt;35,CT9+CS10-DB9,IF(A10&lt;'Données projet'!$A$140,$CQ$205^A10,IF(A10='Données projet'!$A$140,'Données projet'!$B$140,CT9+CS10-DB9)))</f>
        <v>6.0559645368024464</v>
      </c>
      <c r="CU10" s="18">
        <f>CT10*VLOOKUP('Données projet'!$B$13,Paramètres!$A$1:$I$89,3,0)*VLOOKUP('Données projet'!$B$13,Paramètres!$A$1:$I$89,5,0)</f>
        <v>5.7628558532212084</v>
      </c>
      <c r="CV10" s="14">
        <f t="shared" si="41"/>
        <v>2.1659657586703922</v>
      </c>
      <c r="CW10" s="22">
        <f t="shared" si="13"/>
        <v>13.809364307377871</v>
      </c>
      <c r="CX10" s="62">
        <f t="shared" si="14"/>
        <v>279.03158652960008</v>
      </c>
      <c r="CY10" s="62">
        <f ca="1">AVERAGE(OFFSET($CX$3,0,0,'Données projet'!$E$13+1,1))-AVERAGE(OFFSET($H$3,0,0,'Données projet'!$E$13+1,1))</f>
        <v>406.24139966722936</v>
      </c>
      <c r="CZ10" s="62">
        <f t="shared" si="42"/>
        <v>295.95724296920577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3.9923076923076919</v>
      </c>
      <c r="DO10" s="13">
        <f>IF('Données projet'!$A$166&gt;35,DO9+DN10-DW9,IF(A10&lt;'Données projet'!$A$166,$DL$205^A10,IF(A10='Données projet'!$A$166,'Données projet'!$B$166,DO9+DN10-DW9)))</f>
        <v>6.7517101551421881</v>
      </c>
      <c r="DP10" s="18">
        <f>DO10*VLOOKUP('Données projet'!$B$14,Paramètres!$A$1:$I$89,3,0)*VLOOKUP('Données projet'!$B$14,Paramètres!$A$1:$I$89,5,0)</f>
        <v>4.0375226727750286</v>
      </c>
      <c r="DQ10" s="14">
        <f t="shared" si="43"/>
        <v>1.5816677372848467</v>
      </c>
      <c r="DR10" s="22">
        <f t="shared" si="16"/>
        <v>9.786756630854283</v>
      </c>
      <c r="DS10" s="62">
        <f t="shared" si="17"/>
        <v>275.00897885307648</v>
      </c>
      <c r="DT10" s="62">
        <f ca="1">AVERAGE(OFFSET($DS$3,0,0,'Données projet'!$E$14+1,1))-AVERAGE(OFFSET($H$3,0,0,'Données projet'!$E$14+1,1))</f>
        <v>356.42779334565381</v>
      </c>
      <c r="DU10" s="62">
        <f t="shared" si="44"/>
        <v>320.06572891923685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1.1099999999999999</v>
      </c>
      <c r="FE10" s="13">
        <f>IF('Données projet'!$A$218&gt;35,FE9+FD10-FM9,IF(A10&lt;'Données projet'!$A$218,$FB$205^A10,IF(A10='Données projet'!$A$218,'Données projet'!$B$218,FE9+FD10-FM9)))</f>
        <v>5.3917045384267919</v>
      </c>
      <c r="FF10" s="18">
        <f>FE10*VLOOKUP('Données projet'!$B$16,Paramètres!$A$1:$I$89,3,0)*VLOOKUP('Données projet'!$B$16,Paramètres!$A$1:$I$89,5,0)</f>
        <v>4.289640130772356</v>
      </c>
      <c r="FG10" s="14">
        <f t="shared" si="47"/>
        <v>1.6686264997708673</v>
      </c>
      <c r="FH10" s="22">
        <f t="shared" si="22"/>
        <v>10.377314381529446</v>
      </c>
      <c r="FI10" s="62">
        <f t="shared" si="23"/>
        <v>275.59953660375169</v>
      </c>
      <c r="FJ10" s="62">
        <f ca="1">AVERAGE(OFFSET($FI$3,0,0,'Données projet'!$E$16+1,1))-AVERAGE(OFFSET($H$3,0,0,'Données projet'!$E$16+1,1))</f>
        <v>370.59298168107364</v>
      </c>
      <c r="FK10" s="62">
        <f t="shared" si="48"/>
        <v>404.61777090709171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3.65</v>
      </c>
      <c r="FZ10" s="13">
        <f>IF('Données projet'!$A$244&gt;35,FZ9+FY10-GH9,IF(A10&lt;'Données projet'!$A$244,$FW$205^A10,IF(A10='Données projet'!$A$244,'Données projet'!$B$244,FZ9+FY10-GH9)))</f>
        <v>4.4891384635544309</v>
      </c>
      <c r="GA10" s="18">
        <f>FZ10*VLOOKUP('Données projet'!$B$17,Paramètres!$A$1:$I$89,3,0)*VLOOKUP('Données projet'!$B$17,Paramètres!$A$1:$I$89,5,0)</f>
        <v>4.3418947219498456</v>
      </c>
      <c r="GB10" s="14">
        <f t="shared" si="49"/>
        <v>1.6865743243491664</v>
      </c>
      <c r="GC10" s="22">
        <f t="shared" si="25"/>
        <v>10.499583588970779</v>
      </c>
      <c r="GD10" s="62">
        <f t="shared" si="26"/>
        <v>275.72180581119301</v>
      </c>
      <c r="GE10" s="62">
        <f ca="1">AVERAGE(OFFSET($GD$3,0,0,'Données projet'!$E$17+1,1))-AVERAGE(OFFSET($H$3,0,0,'Données projet'!$E$17+1,1))</f>
        <v>562.69380557620775</v>
      </c>
      <c r="GF10" s="62">
        <f t="shared" si="50"/>
        <v>294.45557293177131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3.2692307692307692</v>
      </c>
      <c r="GU10" s="13">
        <f>IF('Données projet'!$A$270&gt;35,GU9+GT10-HC9,IF(A10&lt;'Données projet'!$A$270,$GR$205^A10,IF(A10='Données projet'!$A$270,'Données projet'!$B$270,GU9+GT10-HC9)))</f>
        <v>11.484495037276947</v>
      </c>
      <c r="GV10" s="18">
        <f>GU10*VLOOKUP('Données projet'!$B$18,Paramètres!$A$1:$I$89,3,0)*VLOOKUP('Données projet'!$B$18,Paramètres!$A$1:$I$89,5,0)</f>
        <v>7.7037992710053755</v>
      </c>
      <c r="GW10" s="14">
        <f t="shared" si="51"/>
        <v>2.7992685579195422</v>
      </c>
      <c r="GX10" s="22">
        <f t="shared" si="28"/>
        <v>18.292843135377566</v>
      </c>
      <c r="GY10" s="62">
        <f t="shared" si="29"/>
        <v>283.51506535759978</v>
      </c>
      <c r="GZ10" s="62">
        <f ca="1">AVERAGE(OFFSET($GY$3,0,0,'Données projet'!$E$18+1,1))-AVERAGE(OFFSET($H$3,0,0,'Données projet'!$E$18+1,1))</f>
        <v>363.53487081291541</v>
      </c>
      <c r="HA10" s="62">
        <f t="shared" si="52"/>
        <v>308.1559670593121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529.25712986118265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277.74926357525624</v>
      </c>
      <c r="AN11" s="62">
        <f ca="1">AVERAGE(OFFSET($AM$3,0,0,'Données projet'!$E$10+1,1))-AVERAGE(OFFSET($H$3,0,0,'Données projet'!$E$10+1,1))</f>
        <v>495.77338291316386</v>
      </c>
      <c r="AO11" s="62">
        <f t="shared" si="36"/>
        <v>261.95434270986397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7.6594017094017097</v>
      </c>
      <c r="BD11" s="13">
        <f>IF('Données projet'!$A$88&gt;35,BD10+BC11-BL10,IF(A11&lt;'Données projet'!$A$88,$BA$205^A11,IF(A11='Données projet'!$A$88,'Données projet'!$B$88,BD10+BC11-BL10)))</f>
        <v>8.9304712952782435</v>
      </c>
      <c r="BE11" s="14">
        <f>BD11*VLOOKUP('Données projet'!$B$11,Paramètres!$A$1:$I$89,3,0)*VLOOKUP('Données projet'!$B$11,Paramètres!$A$1:$I$89,5,0)</f>
        <v>5.1082295808991551</v>
      </c>
      <c r="BF11" s="14">
        <f t="shared" si="37"/>
        <v>1.9470620725271994</v>
      </c>
      <c r="BG11" s="22">
        <f t="shared" si="7"/>
        <v>12.287966296384234</v>
      </c>
      <c r="BH11" s="62">
        <f t="shared" si="8"/>
        <v>278.7324107408287</v>
      </c>
      <c r="BI11" s="62">
        <f ca="1">AVERAGE(OFFSET($BH$3,0,0,'Données projet'!$E$11+1,1))-AVERAGE(OFFSET($H$3,0,0,'Données projet'!$E$11+1,1))</f>
        <v>320.67081032419122</v>
      </c>
      <c r="BJ11" s="62">
        <f t="shared" si="38"/>
        <v>290.51177680335746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2">
        <f t="shared" si="11"/>
        <v>279.97133827485578</v>
      </c>
      <c r="CD11" s="62">
        <f ca="1">AVERAGE(OFFSET($CC$3,0,0,'Données projet'!$E$12+1,1))-AVERAGE(OFFSET($H$3,0,0,'Données projet'!$E$12+1,1))</f>
        <v>587.74247372331615</v>
      </c>
      <c r="CE11" s="62">
        <f t="shared" si="40"/>
        <v>306.61893266146666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3.1623931623931623</v>
      </c>
      <c r="CT11" s="13">
        <f>IF('Données projet'!$A$140&gt;35,CT10+CS11-DB10,IF(A11&lt;'Données projet'!$A$140,$CQ$205^A11,IF(A11='Données projet'!$A$140,'Données projet'!$B$140,CT10+CS11-DB10)))</f>
        <v>7.8329219313664717</v>
      </c>
      <c r="CU11" s="18">
        <f>CT11*VLOOKUP('Données projet'!$B$13,Paramètres!$A$1:$I$89,3,0)*VLOOKUP('Données projet'!$B$13,Paramètres!$A$1:$I$89,5,0)</f>
        <v>7.4538085098883347</v>
      </c>
      <c r="CV11" s="14">
        <f t="shared" si="41"/>
        <v>2.7188513904855807</v>
      </c>
      <c r="CW11" s="22">
        <f t="shared" si="13"/>
        <v>17.717382659817904</v>
      </c>
      <c r="CX11" s="62">
        <f t="shared" si="14"/>
        <v>284.16182710426239</v>
      </c>
      <c r="CY11" s="62">
        <f ca="1">AVERAGE(OFFSET($CX$3,0,0,'Données projet'!$E$13+1,1))-AVERAGE(OFFSET($H$3,0,0,'Données projet'!$E$13+1,1))</f>
        <v>406.24139966722936</v>
      </c>
      <c r="CZ11" s="62">
        <f t="shared" si="42"/>
        <v>295.95724296920577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3.9923076923076919</v>
      </c>
      <c r="DO11" s="13">
        <f>IF('Données projet'!$A$166&gt;35,DO10+DN11-DW10,IF(A11&lt;'Données projet'!$A$166,$DL$205^A11,IF(A11='Données projet'!$A$166,'Données projet'!$B$166,DO10+DN11-DW10)))</f>
        <v>8.8695477158489275</v>
      </c>
      <c r="DP11" s="18">
        <f>DO11*VLOOKUP('Données projet'!$B$14,Paramètres!$A$1:$I$89,3,0)*VLOOKUP('Données projet'!$B$14,Paramètres!$A$1:$I$89,5,0)</f>
        <v>5.3039895340776599</v>
      </c>
      <c r="DQ11" s="14">
        <f t="shared" si="43"/>
        <v>2.0128479696033015</v>
      </c>
      <c r="DR11" s="22">
        <f t="shared" si="16"/>
        <v>12.743491985577675</v>
      </c>
      <c r="DS11" s="62">
        <f t="shared" si="17"/>
        <v>279.18793643002215</v>
      </c>
      <c r="DT11" s="62">
        <f ca="1">AVERAGE(OFFSET($DS$3,0,0,'Données projet'!$E$14+1,1))-AVERAGE(OFFSET($H$3,0,0,'Données projet'!$E$14+1,1))</f>
        <v>356.42779334565381</v>
      </c>
      <c r="DU11" s="62">
        <f t="shared" si="44"/>
        <v>320.06572891923685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1.1099999999999999</v>
      </c>
      <c r="FE11" s="13">
        <f>IF('Données projet'!$A$218&gt;35,FE10+FD11-FM10,IF(A11&lt;'Données projet'!$A$218,$FB$205^A11,IF(A11='Données projet'!$A$218,'Données projet'!$B$218,FE10+FD11-FM10)))</f>
        <v>6.8589617827012184</v>
      </c>
      <c r="FF11" s="18">
        <f>FE11*VLOOKUP('Données projet'!$B$16,Paramètres!$A$1:$I$89,3,0)*VLOOKUP('Données projet'!$B$16,Paramètres!$A$1:$I$89,5,0)</f>
        <v>5.4569899943170901</v>
      </c>
      <c r="FG11" s="14">
        <f t="shared" si="47"/>
        <v>2.0640674009203073</v>
      </c>
      <c r="FH11" s="22">
        <f t="shared" si="22"/>
        <v>13.0991749633718</v>
      </c>
      <c r="FI11" s="62">
        <f t="shared" si="23"/>
        <v>279.54361940781627</v>
      </c>
      <c r="FJ11" s="62">
        <f ca="1">AVERAGE(OFFSET($FI$3,0,0,'Données projet'!$E$16+1,1))-AVERAGE(OFFSET($H$3,0,0,'Données projet'!$E$16+1,1))</f>
        <v>370.59298168107364</v>
      </c>
      <c r="FK11" s="62">
        <f t="shared" si="48"/>
        <v>404.61777090709171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3.65</v>
      </c>
      <c r="FZ11" s="13">
        <f>IF('Données projet'!$A$244&gt;35,FZ10+FY11-GH10,IF(A11&lt;'Données projet'!$A$244,$FW$205^A11,IF(A11='Données projet'!$A$244,'Données projet'!$B$244,FZ10+FY11-GH10)))</f>
        <v>5.563257268920875</v>
      </c>
      <c r="GA11" s="18">
        <f>FZ11*VLOOKUP('Données projet'!$B$17,Paramètres!$A$1:$I$89,3,0)*VLOOKUP('Données projet'!$B$17,Paramètres!$A$1:$I$89,5,0)</f>
        <v>5.3807824305002701</v>
      </c>
      <c r="GB11" s="14">
        <f t="shared" si="49"/>
        <v>2.0385768519929188</v>
      </c>
      <c r="GC11" s="22">
        <f t="shared" si="25"/>
        <v>12.922050750342303</v>
      </c>
      <c r="GD11" s="62">
        <f t="shared" si="26"/>
        <v>279.36649519478675</v>
      </c>
      <c r="GE11" s="62">
        <f ca="1">AVERAGE(OFFSET($GD$3,0,0,'Données projet'!$E$17+1,1))-AVERAGE(OFFSET($H$3,0,0,'Données projet'!$E$17+1,1))</f>
        <v>562.69380557620775</v>
      </c>
      <c r="GF11" s="62">
        <f t="shared" si="50"/>
        <v>294.45557293177131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3.2692307692307692</v>
      </c>
      <c r="GU11" s="13">
        <f>IF('Données projet'!$A$270&gt;35,GU10+GT11-HC10,IF(A11&lt;'Données projet'!$A$270,$GR$205^A11,IF(A11='Données projet'!$A$270,'Données projet'!$B$270,GU10+GT11-HC10)))</f>
        <v>16.276329088273204</v>
      </c>
      <c r="GV11" s="18">
        <f>GU11*VLOOKUP('Données projet'!$B$18,Paramètres!$A$1:$I$89,3,0)*VLOOKUP('Données projet'!$B$18,Paramètres!$A$1:$I$89,5,0)</f>
        <v>10.918161552413665</v>
      </c>
      <c r="GW11" s="14">
        <f t="shared" si="51"/>
        <v>3.8094385934513699</v>
      </c>
      <c r="GX11" s="22">
        <f t="shared" si="28"/>
        <v>25.650570254048265</v>
      </c>
      <c r="GY11" s="62">
        <f t="shared" si="29"/>
        <v>292.09501469849272</v>
      </c>
      <c r="GZ11" s="62">
        <f ca="1">AVERAGE(OFFSET($GY$3,0,0,'Données projet'!$E$18+1,1))-AVERAGE(OFFSET($H$3,0,0,'Données projet'!$E$18+1,1))</f>
        <v>363.53487081291541</v>
      </c>
      <c r="HA11" s="62">
        <f t="shared" si="52"/>
        <v>308.1559670593121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529.25712986118265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281.58035481867557</v>
      </c>
      <c r="AN12" s="62">
        <f ca="1">AVERAGE(OFFSET($AM$3,0,0,'Données projet'!$E$10+1,1))-AVERAGE(OFFSET($H$3,0,0,'Données projet'!$E$10+1,1))</f>
        <v>495.77338291316386</v>
      </c>
      <c r="AO12" s="62">
        <f t="shared" si="36"/>
        <v>261.95434270986397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7.6594017094017097</v>
      </c>
      <c r="BD12" s="13">
        <f>IF('Données projet'!$A$88&gt;35,BD11+BC12-BL11,IF(A12&lt;'Données projet'!$A$88,$BA$205^A12,IF(A12='Données projet'!$A$88,'Données projet'!$B$88,BD11+BC12-BL11)))</f>
        <v>11.741772897191924</v>
      </c>
      <c r="BE12" s="14">
        <f>BD12*VLOOKUP('Données projet'!$B$11,Paramètres!$A$1:$I$89,3,0)*VLOOKUP('Données projet'!$B$11,Paramètres!$A$1:$I$89,5,0)</f>
        <v>6.7162940971937806</v>
      </c>
      <c r="BF12" s="14">
        <f t="shared" si="37"/>
        <v>2.479727008338346</v>
      </c>
      <c r="BG12" s="22">
        <f t="shared" si="7"/>
        <v>16.016403425468454</v>
      </c>
      <c r="BH12" s="62">
        <f t="shared" si="8"/>
        <v>283.68307009213515</v>
      </c>
      <c r="BI12" s="62">
        <f ca="1">AVERAGE(OFFSET($BH$3,0,0,'Données projet'!$E$11+1,1))-AVERAGE(OFFSET($H$3,0,0,'Données projet'!$E$11+1,1))</f>
        <v>320.67081032419122</v>
      </c>
      <c r="BJ12" s="62">
        <f t="shared" si="38"/>
        <v>290.51177680335746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2">
        <f t="shared" si="11"/>
        <v>284.31701074047817</v>
      </c>
      <c r="CD12" s="62">
        <f ca="1">AVERAGE(OFFSET($CC$3,0,0,'Données projet'!$E$12+1,1))-AVERAGE(OFFSET($H$3,0,0,'Données projet'!$E$12+1,1))</f>
        <v>587.74247372331615</v>
      </c>
      <c r="CE12" s="62">
        <f t="shared" si="40"/>
        <v>306.61893266146666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3.1623931623931623</v>
      </c>
      <c r="CT12" s="13">
        <f>IF('Données projet'!$A$140&gt;35,CT11+CS12-DB11,IF(A12&lt;'Données projet'!$A$140,$CQ$205^A12,IF(A12='Données projet'!$A$140,'Données projet'!$B$140,CT11+CS12-DB11)))</f>
        <v>10.131278941616319</v>
      </c>
      <c r="CU12" s="18">
        <f>CT12*VLOOKUP('Données projet'!$B$13,Paramètres!$A$1:$I$89,3,0)*VLOOKUP('Données projet'!$B$13,Paramètres!$A$1:$I$89,5,0)</f>
        <v>9.6409250408420899</v>
      </c>
      <c r="CV12" s="14">
        <f t="shared" si="41"/>
        <v>3.412866918119311</v>
      </c>
      <c r="CW12" s="22">
        <f t="shared" si="13"/>
        <v>22.735354328524441</v>
      </c>
      <c r="CX12" s="62">
        <f t="shared" si="14"/>
        <v>290.40202099519115</v>
      </c>
      <c r="CY12" s="62">
        <f ca="1">AVERAGE(OFFSET($CX$3,0,0,'Données projet'!$E$13+1,1))-AVERAGE(OFFSET($H$3,0,0,'Données projet'!$E$13+1,1))</f>
        <v>406.24139966722936</v>
      </c>
      <c r="CZ12" s="62">
        <f t="shared" si="42"/>
        <v>295.95724296920577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3.9923076923076919</v>
      </c>
      <c r="DO12" s="13">
        <f>IF('Données projet'!$A$166&gt;35,DO11+DN12-DW11,IF(A12&lt;'Données projet'!$A$166,$DL$205^A12,IF(A12='Données projet'!$A$166,'Données projet'!$B$166,DO11+DN12-DW11)))</f>
        <v>11.651696366705808</v>
      </c>
      <c r="DP12" s="18">
        <f>DO12*VLOOKUP('Données projet'!$B$14,Paramètres!$A$1:$I$89,3,0)*VLOOKUP('Données projet'!$B$14,Paramètres!$A$1:$I$89,5,0)</f>
        <v>6.9677144272900744</v>
      </c>
      <c r="DQ12" s="14">
        <f t="shared" si="43"/>
        <v>2.5615727331526612</v>
      </c>
      <c r="DR12" s="22">
        <f t="shared" si="16"/>
        <v>16.596841804437762</v>
      </c>
      <c r="DS12" s="62">
        <f t="shared" si="17"/>
        <v>284.26350847110444</v>
      </c>
      <c r="DT12" s="62">
        <f ca="1">AVERAGE(OFFSET($DS$3,0,0,'Données projet'!$E$14+1,1))-AVERAGE(OFFSET($H$3,0,0,'Données projet'!$E$14+1,1))</f>
        <v>356.42779334565381</v>
      </c>
      <c r="DU12" s="62">
        <f t="shared" si="44"/>
        <v>320.06572891923685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1.1099999999999999</v>
      </c>
      <c r="FE12" s="13">
        <f>IF('Données projet'!$A$218&gt;35,FE11+FD12-FM11,IF(A12&lt;'Données projet'!$A$218,$FB$205^A12,IF(A12='Données projet'!$A$218,'Données projet'!$B$218,FE11+FD12-FM11)))</f>
        <v>8.7255071937385704</v>
      </c>
      <c r="FF12" s="18">
        <f>FE12*VLOOKUP('Données projet'!$B$16,Paramètres!$A$1:$I$89,3,0)*VLOOKUP('Données projet'!$B$16,Paramètres!$A$1:$I$89,5,0)</f>
        <v>6.9420135233384066</v>
      </c>
      <c r="FG12" s="14">
        <f t="shared" si="47"/>
        <v>2.5532222076821487</v>
      </c>
      <c r="FH12" s="22">
        <f t="shared" si="22"/>
        <v>16.5375355648608</v>
      </c>
      <c r="FI12" s="62">
        <f t="shared" si="23"/>
        <v>284.20420223152746</v>
      </c>
      <c r="FJ12" s="62">
        <f ca="1">AVERAGE(OFFSET($FI$3,0,0,'Données projet'!$E$16+1,1))-AVERAGE(OFFSET($H$3,0,0,'Données projet'!$E$16+1,1))</f>
        <v>370.59298168107364</v>
      </c>
      <c r="FK12" s="62">
        <f t="shared" si="48"/>
        <v>404.61777090709171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3.65</v>
      </c>
      <c r="FZ12" s="13">
        <f>IF('Données projet'!$A$244&gt;35,FZ11+FY12-GH11,IF(A12&lt;'Données projet'!$A$244,$FW$205^A12,IF(A12='Données projet'!$A$244,'Données projet'!$B$244,FZ11+FY12-GH11)))</f>
        <v>6.8943811137639424</v>
      </c>
      <c r="GA12" s="18">
        <f>FZ12*VLOOKUP('Données projet'!$B$17,Paramètres!$A$1:$I$89,3,0)*VLOOKUP('Données projet'!$B$17,Paramètres!$A$1:$I$89,5,0)</f>
        <v>6.6682454132324853</v>
      </c>
      <c r="GB12" s="14">
        <f t="shared" si="49"/>
        <v>2.4640453263659414</v>
      </c>
      <c r="GC12" s="22">
        <f t="shared" si="25"/>
        <v>15.905406371467258</v>
      </c>
      <c r="GD12" s="62">
        <f t="shared" si="26"/>
        <v>283.57207303813396</v>
      </c>
      <c r="GE12" s="62">
        <f ca="1">AVERAGE(OFFSET($GD$3,0,0,'Données projet'!$E$17+1,1))-AVERAGE(OFFSET($H$3,0,0,'Données projet'!$E$17+1,1))</f>
        <v>562.69380557620775</v>
      </c>
      <c r="GF12" s="62">
        <f t="shared" si="50"/>
        <v>294.45557293177131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3.2692307692307692</v>
      </c>
      <c r="GU12" s="13">
        <f>IF('Données projet'!$A$270&gt;35,GU11+GT12-HC11,IF(A12&lt;'Données projet'!$A$270,$GR$205^A12,IF(A12='Données projet'!$A$270,'Données projet'!$B$270,GU11+GT12-HC11)))</f>
        <v>23.067526062737759</v>
      </c>
      <c r="GV12" s="18">
        <f>GU12*VLOOKUP('Données projet'!$B$18,Paramètres!$A$1:$I$89,3,0)*VLOOKUP('Données projet'!$B$18,Paramètres!$A$1:$I$89,5,0)</f>
        <v>15.473696482884488</v>
      </c>
      <c r="GW12" s="14">
        <f t="shared" si="51"/>
        <v>5.1841479647319577</v>
      </c>
      <c r="GX12" s="22">
        <f t="shared" si="28"/>
        <v>35.979079079598641</v>
      </c>
      <c r="GY12" s="62">
        <f t="shared" si="29"/>
        <v>303.64574574626533</v>
      </c>
      <c r="GZ12" s="62">
        <f ca="1">AVERAGE(OFFSET($GY$3,0,0,'Données projet'!$E$18+1,1))-AVERAGE(OFFSET($H$3,0,0,'Données projet'!$E$18+1,1))</f>
        <v>363.53487081291541</v>
      </c>
      <c r="HA12" s="62">
        <f t="shared" si="52"/>
        <v>308.1559670593121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529.25712986118265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286.01562696067037</v>
      </c>
      <c r="AN13" s="62">
        <f ca="1">AVERAGE(OFFSET($AM$3,0,0,'Données projet'!$E$10+1,1))-AVERAGE(OFFSET($H$3,0,0,'Données projet'!$E$10+1,1))</f>
        <v>495.77338291316386</v>
      </c>
      <c r="AO13" s="62">
        <f t="shared" si="36"/>
        <v>261.95434270986397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7.6594017094017097</v>
      </c>
      <c r="BD13" s="13">
        <f>IF('Données projet'!$A$88&gt;35,BD12+BC13-BL12,IF(A13&lt;'Données projet'!$A$88,$BA$205^A13,IF(A13='Données projet'!$A$88,'Données projet'!$B$88,BD12+BC13-BL12)))</f>
        <v>15.438068855573794</v>
      </c>
      <c r="BE13" s="14">
        <f>BD13*VLOOKUP('Données projet'!$B$11,Paramètres!$A$1:$I$89,3,0)*VLOOKUP('Données projet'!$B$11,Paramètres!$A$1:$I$89,5,0)</f>
        <v>8.8305753853882099</v>
      </c>
      <c r="BF13" s="14">
        <f t="shared" si="37"/>
        <v>3.1581150506935067</v>
      </c>
      <c r="BG13" s="22">
        <f t="shared" si="7"/>
        <v>20.88030250950899</v>
      </c>
      <c r="BH13" s="62">
        <f t="shared" si="8"/>
        <v>289.76919139839782</v>
      </c>
      <c r="BI13" s="62">
        <f ca="1">AVERAGE(OFFSET($BH$3,0,0,'Données projet'!$E$11+1,1))-AVERAGE(OFFSET($H$3,0,0,'Données projet'!$E$11+1,1))</f>
        <v>320.67081032419122</v>
      </c>
      <c r="BJ13" s="62">
        <f t="shared" si="38"/>
        <v>290.51177680335746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2">
        <f t="shared" si="11"/>
        <v>289.38642019585347</v>
      </c>
      <c r="CD13" s="62">
        <f ca="1">AVERAGE(OFFSET($CC$3,0,0,'Données projet'!$E$12+1,1))-AVERAGE(OFFSET($H$3,0,0,'Données projet'!$E$12+1,1))</f>
        <v>587.74247372331615</v>
      </c>
      <c r="CE13" s="62">
        <f t="shared" si="40"/>
        <v>306.61893266146666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3.1623931623931623</v>
      </c>
      <c r="CT13" s="13">
        <f>IF('Données projet'!$A$140&gt;35,CT12+CS13-DB12,IF(A13&lt;'Données projet'!$A$140,$CQ$205^A13,IF(A13='Données projet'!$A$140,'Données projet'!$B$140,CT12+CS13-DB12)))</f>
        <v>13.104026044458736</v>
      </c>
      <c r="CU13" s="18">
        <f>CT13*VLOOKUP('Données projet'!$B$13,Paramètres!$A$1:$I$89,3,0)*VLOOKUP('Données projet'!$B$13,Paramètres!$A$1:$I$89,5,0)</f>
        <v>12.469791183906933</v>
      </c>
      <c r="CV13" s="14">
        <f t="shared" si="41"/>
        <v>4.2840372377664062</v>
      </c>
      <c r="CW13" s="22">
        <f t="shared" si="13"/>
        <v>29.179584501081067</v>
      </c>
      <c r="CX13" s="62">
        <f t="shared" si="14"/>
        <v>298.06847338996994</v>
      </c>
      <c r="CY13" s="62">
        <f ca="1">AVERAGE(OFFSET($CX$3,0,0,'Données projet'!$E$13+1,1))-AVERAGE(OFFSET($H$3,0,0,'Données projet'!$E$13+1,1))</f>
        <v>406.24139966722936</v>
      </c>
      <c r="CZ13" s="62">
        <f t="shared" si="42"/>
        <v>295.95724296920577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3.9923076923076919</v>
      </c>
      <c r="DO13" s="13">
        <f>IF('Données projet'!$A$166&gt;35,DO12+DN13-DW12,IF(A13&lt;'Données projet'!$A$166,$DL$205^A13,IF(A13='Données projet'!$A$166,'Données projet'!$B$166,DO12+DN13-DW12)))</f>
        <v>15.306533384933841</v>
      </c>
      <c r="DP13" s="18">
        <f>DO13*VLOOKUP('Données projet'!$B$14,Paramètres!$A$1:$I$89,3,0)*VLOOKUP('Données projet'!$B$14,Paramètres!$A$1:$I$89,5,0)</f>
        <v>9.1533069641904365</v>
      </c>
      <c r="DQ13" s="14">
        <f t="shared" si="43"/>
        <v>3.2598859756528897</v>
      </c>
      <c r="DR13" s="22">
        <f t="shared" si="16"/>
        <v>21.619644370227132</v>
      </c>
      <c r="DS13" s="62">
        <f t="shared" si="17"/>
        <v>290.50853325911601</v>
      </c>
      <c r="DT13" s="62">
        <f ca="1">AVERAGE(OFFSET($DS$3,0,0,'Données projet'!$E$14+1,1))-AVERAGE(OFFSET($H$3,0,0,'Données projet'!$E$14+1,1))</f>
        <v>356.42779334565381</v>
      </c>
      <c r="DU13" s="62">
        <f t="shared" si="44"/>
        <v>320.06572891923685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11.1</v>
      </c>
      <c r="FC13" s="13">
        <f>VLOOKUP(A13,'Données projet'!$A$217:$I$237,9,0)</f>
        <v>1.1099999999999999</v>
      </c>
      <c r="FD13" s="13">
        <f t="array" ref="FD13">INDEX(FC:FC,MIN(IF(ISNUMBER(FC13:FC209),ROW(FC13:FC209),"")))</f>
        <v>1.1099999999999999</v>
      </c>
      <c r="FE13" s="13">
        <f>IF('Données projet'!$A$218&gt;35,FE12+FD13-FM12,IF(A13&lt;'Données projet'!$A$218,$FB$205^A13,IF(A13='Données projet'!$A$218,'Données projet'!$B$218,FE12+FD13-FM12)))</f>
        <v>11.1</v>
      </c>
      <c r="FF13" s="18">
        <f>FE13*VLOOKUP('Données projet'!$B$16,Paramètres!$A$1:$I$89,3,0)*VLOOKUP('Données projet'!$B$16,Paramètres!$A$1:$I$89,5,0)</f>
        <v>8.8311599999999988</v>
      </c>
      <c r="FG13" s="14">
        <f t="shared" si="47"/>
        <v>3.1582997914189717</v>
      </c>
      <c r="FH13" s="22">
        <f t="shared" si="22"/>
        <v>20.881642470054704</v>
      </c>
      <c r="FI13" s="62">
        <f t="shared" si="23"/>
        <v>289.77053135894357</v>
      </c>
      <c r="FJ13" s="62">
        <f ca="1">AVERAGE(OFFSET($FI$3,0,0,'Données projet'!$E$16+1,1))-AVERAGE(OFFSET($H$3,0,0,'Données projet'!$E$16+1,1))</f>
        <v>370.59298168107364</v>
      </c>
      <c r="FK13" s="62">
        <f t="shared" si="48"/>
        <v>404.61777090709171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3.65</v>
      </c>
      <c r="FZ13" s="13">
        <f>IF('Données projet'!$A$244&gt;35,FZ12+FY13-GH12,IF(A13&lt;'Données projet'!$A$244,$FW$205^A13,IF(A13='Données projet'!$A$244,'Données projet'!$B$244,FZ12+FY13-GH12)))</f>
        <v>8.5440037453175322</v>
      </c>
      <c r="GA13" s="18">
        <f>FZ13*VLOOKUP('Données projet'!$B$17,Paramètres!$A$1:$I$89,3,0)*VLOOKUP('Données projet'!$B$17,Paramètres!$A$1:$I$89,5,0)</f>
        <v>8.2637604224711172</v>
      </c>
      <c r="GB13" s="14">
        <f t="shared" si="49"/>
        <v>2.9783127206856603</v>
      </c>
      <c r="GC13" s="22">
        <f t="shared" si="25"/>
        <v>19.579944057664719</v>
      </c>
      <c r="GD13" s="62">
        <f t="shared" si="26"/>
        <v>288.46883294655356</v>
      </c>
      <c r="GE13" s="62">
        <f ca="1">AVERAGE(OFFSET($GD$3,0,0,'Données projet'!$E$17+1,1))-AVERAGE(OFFSET($H$3,0,0,'Données projet'!$E$17+1,1))</f>
        <v>562.69380557620775</v>
      </c>
      <c r="GF13" s="62">
        <f t="shared" si="50"/>
        <v>294.45557293177131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32.692307692307693</v>
      </c>
      <c r="GS13" s="13">
        <f>VLOOKUP(A13,'Données projet'!$A$269:$I$289,9,0)</f>
        <v>3.2692307692307692</v>
      </c>
      <c r="GT13" s="13">
        <f t="array" ref="GT13">INDEX(GS:GS,MIN(IF(ISNUMBER(GS13:GS209),ROW(GS13:GS209),"")))</f>
        <v>3.2692307692307692</v>
      </c>
      <c r="GU13" s="13">
        <f>IF('Données projet'!$A$270&gt;35,GU12+GT13-HC12,IF(A13&lt;'Données projet'!$A$270,$GR$205^A13,IF(A13='Données projet'!$A$270,'Données projet'!$B$270,GU12+GT13-HC12)))</f>
        <v>32.692307692307693</v>
      </c>
      <c r="GV13" s="18">
        <f>GU13*VLOOKUP('Données projet'!$B$18,Paramètres!$A$1:$I$89,3,0)*VLOOKUP('Données projet'!$B$18,Paramètres!$A$1:$I$89,5,0)</f>
        <v>21.930000000000003</v>
      </c>
      <c r="GW13" s="14">
        <f t="shared" si="51"/>
        <v>7.0549477202322466</v>
      </c>
      <c r="GX13" s="22">
        <f t="shared" si="28"/>
        <v>50.482117279404498</v>
      </c>
      <c r="GY13" s="62">
        <f t="shared" si="29"/>
        <v>319.37100616829338</v>
      </c>
      <c r="GZ13" s="62">
        <f ca="1">AVERAGE(OFFSET($GY$3,0,0,'Données projet'!$E$18+1,1))-AVERAGE(OFFSET($H$3,0,0,'Données projet'!$E$18+1,1))</f>
        <v>363.53487081291541</v>
      </c>
      <c r="HA13" s="62">
        <f t="shared" si="52"/>
        <v>308.1559670593121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529.25712986118265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291.19545921390153</v>
      </c>
      <c r="AN14" s="62">
        <f ca="1">AVERAGE(OFFSET($AM$3,0,0,'Données projet'!$E$10+1,1))-AVERAGE(OFFSET($H$3,0,0,'Données projet'!$E$10+1,1))</f>
        <v>495.77338291316386</v>
      </c>
      <c r="AO14" s="62">
        <f t="shared" si="36"/>
        <v>261.95434270986397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7.6594017094017097</v>
      </c>
      <c r="BD14" s="13">
        <f>IF('Données projet'!$A$88&gt;35,BD13+BC14-BL13,IF(A14&lt;'Données projet'!$A$88,$BA$205^A14,IF(A14='Données projet'!$A$88,'Données projet'!$B$88,BD13+BC14-BL13)))</f>
        <v>20.297954327360205</v>
      </c>
      <c r="BE14" s="14">
        <f>BD14*VLOOKUP('Données projet'!$B$11,Paramètres!$A$1:$I$89,3,0)*VLOOKUP('Données projet'!$B$11,Paramètres!$A$1:$I$89,5,0)</f>
        <v>11.610429875250038</v>
      </c>
      <c r="BF14" s="14">
        <f t="shared" si="37"/>
        <v>4.0220922060691588</v>
      </c>
      <c r="BG14" s="22">
        <f t="shared" si="7"/>
        <v>27.226642624964267</v>
      </c>
      <c r="BH14" s="62">
        <f t="shared" si="8"/>
        <v>297.3377537360754</v>
      </c>
      <c r="BI14" s="62">
        <f ca="1">AVERAGE(OFFSET($BH$3,0,0,'Données projet'!$E$11+1,1))-AVERAGE(OFFSET($H$3,0,0,'Données projet'!$E$11+1,1))</f>
        <v>320.67081032419122</v>
      </c>
      <c r="BJ14" s="62">
        <f t="shared" si="38"/>
        <v>290.51177680335746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2">
        <f t="shared" si="11"/>
        <v>295.34780742507621</v>
      </c>
      <c r="CD14" s="62">
        <f ca="1">AVERAGE(OFFSET($CC$3,0,0,'Données projet'!$E$12+1,1))-AVERAGE(OFFSET($H$3,0,0,'Données projet'!$E$12+1,1))</f>
        <v>587.74247372331615</v>
      </c>
      <c r="CE14" s="62">
        <f t="shared" si="40"/>
        <v>306.61893266146666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3.1623931623931623</v>
      </c>
      <c r="CT14" s="13">
        <f>IF('Données projet'!$A$140&gt;35,CT13+CS14-DB13,IF(A14&lt;'Données projet'!$A$140,$CQ$205^A14,IF(A14='Données projet'!$A$140,'Données projet'!$B$140,CT13+CS14-DB13)))</f>
        <v>16.949044593816883</v>
      </c>
      <c r="CU14" s="18">
        <f>CT14*VLOOKUP('Données projet'!$B$13,Paramètres!$A$1:$I$89,3,0)*VLOOKUP('Données projet'!$B$13,Paramètres!$A$1:$I$89,5,0)</f>
        <v>16.128710835476145</v>
      </c>
      <c r="CV14" s="14">
        <f t="shared" si="41"/>
        <v>5.3775829807869533</v>
      </c>
      <c r="CW14" s="22">
        <f t="shared" si="13"/>
        <v>37.456795063324897</v>
      </c>
      <c r="CX14" s="62">
        <f t="shared" si="14"/>
        <v>307.56790617443602</v>
      </c>
      <c r="CY14" s="62">
        <f ca="1">AVERAGE(OFFSET($CX$3,0,0,'Données projet'!$E$13+1,1))-AVERAGE(OFFSET($H$3,0,0,'Données projet'!$E$13+1,1))</f>
        <v>406.24139966722936</v>
      </c>
      <c r="CZ14" s="62">
        <f t="shared" si="42"/>
        <v>295.95724296920577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3.9923076923076919</v>
      </c>
      <c r="DO14" s="13">
        <f>IF('Données projet'!$A$166&gt;35,DO13+DN14-DW13,IF(A14&lt;'Données projet'!$A$166,$DL$205^A14,IF(A14='Données projet'!$A$166,'Données projet'!$B$166,DO13+DN14-DW13)))</f>
        <v>20.107798632100231</v>
      </c>
      <c r="DP14" s="18">
        <f>DO14*VLOOKUP('Données projet'!$B$14,Paramètres!$A$1:$I$89,3,0)*VLOOKUP('Données projet'!$B$14,Paramètres!$A$1:$I$89,5,0)</f>
        <v>12.024463581995938</v>
      </c>
      <c r="DQ14" s="14">
        <f t="shared" si="43"/>
        <v>4.1485671816858272</v>
      </c>
      <c r="DR14" s="22">
        <f t="shared" si="16"/>
        <v>28.168028580079078</v>
      </c>
      <c r="DS14" s="62">
        <f t="shared" si="17"/>
        <v>298.27913969119021</v>
      </c>
      <c r="DT14" s="62">
        <f ca="1">AVERAGE(OFFSET($DS$3,0,0,'Données projet'!$E$14+1,1))-AVERAGE(OFFSET($H$3,0,0,'Données projet'!$E$14+1,1))</f>
        <v>356.42779334565381</v>
      </c>
      <c r="DU14" s="62">
        <f t="shared" si="44"/>
        <v>320.06572891923685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10.68</v>
      </c>
      <c r="FE14" s="13">
        <f>IF('Données projet'!$A$218&gt;35,FE13+FD14-FM13,IF(A14&lt;'Données projet'!$A$218,$FB$205^A14,IF(A14='Données projet'!$A$218,'Données projet'!$B$218,FE13+FD14-FM13)))</f>
        <v>21.78</v>
      </c>
      <c r="FF14" s="18">
        <f>FE14*VLOOKUP('Données projet'!$B$16,Paramètres!$A$1:$I$89,3,0)*VLOOKUP('Données projet'!$B$16,Paramètres!$A$1:$I$89,5,0)</f>
        <v>17.328168000000002</v>
      </c>
      <c r="FG14" s="14">
        <f t="shared" si="47"/>
        <v>5.7294628302508057</v>
      </c>
      <c r="FH14" s="22">
        <f t="shared" si="22"/>
        <v>40.158707029353486</v>
      </c>
      <c r="FI14" s="62">
        <f t="shared" si="23"/>
        <v>310.26981814046462</v>
      </c>
      <c r="FJ14" s="62">
        <f ca="1">AVERAGE(OFFSET($FI$3,0,0,'Données projet'!$E$16+1,1))-AVERAGE(OFFSET($H$3,0,0,'Données projet'!$E$16+1,1))</f>
        <v>370.59298168107364</v>
      </c>
      <c r="FK14" s="62">
        <f t="shared" si="48"/>
        <v>404.61777090709171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3.65</v>
      </c>
      <c r="FZ14" s="13">
        <f>IF('Données projet'!$A$244&gt;35,FZ13+FY14-GH13,IF(A14&lt;'Données projet'!$A$244,$FW$205^A14,IF(A14='Données projet'!$A$244,'Données projet'!$B$244,FZ13+FY14-GH13)))</f>
        <v>10.588332555950936</v>
      </c>
      <c r="GA14" s="18">
        <f>FZ14*VLOOKUP('Données projet'!$B$17,Paramètres!$A$1:$I$89,3,0)*VLOOKUP('Données projet'!$B$17,Paramètres!$A$1:$I$89,5,0)</f>
        <v>10.241035248115747</v>
      </c>
      <c r="GB14" s="14">
        <f t="shared" si="49"/>
        <v>3.5999121311945652</v>
      </c>
      <c r="GC14" s="22">
        <f t="shared" si="25"/>
        <v>24.106316685632123</v>
      </c>
      <c r="GD14" s="62">
        <f t="shared" si="26"/>
        <v>294.21742779674327</v>
      </c>
      <c r="GE14" s="62">
        <f ca="1">AVERAGE(OFFSET($GD$3,0,0,'Données projet'!$E$17+1,1))-AVERAGE(OFFSET($H$3,0,0,'Données projet'!$E$17+1,1))</f>
        <v>562.69380557620775</v>
      </c>
      <c r="GF14" s="62">
        <f t="shared" si="50"/>
        <v>294.45557293177131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9.1025641025641022</v>
      </c>
      <c r="GU14" s="13">
        <f>IF('Données projet'!$A$270&gt;35,GU13+GT14-HC13,IF(A14&lt;'Données projet'!$A$270,$GR$205^A14,IF(A14='Données projet'!$A$270,'Données projet'!$B$270,GU13+GT14-HC13)))</f>
        <v>41.794871794871796</v>
      </c>
      <c r="GV14" s="18">
        <f>GU14*VLOOKUP('Données projet'!$B$18,Paramètres!$A$1:$I$89,3,0)*VLOOKUP('Données projet'!$B$18,Paramètres!$A$1:$I$89,5,0)</f>
        <v>28.035999999999998</v>
      </c>
      <c r="GW14" s="14">
        <f t="shared" si="51"/>
        <v>8.7650413206161684</v>
      </c>
      <c r="GX14" s="22">
        <f t="shared" si="28"/>
        <v>64.095146966739819</v>
      </c>
      <c r="GY14" s="62">
        <f t="shared" si="29"/>
        <v>334.20625807785098</v>
      </c>
      <c r="GZ14" s="62">
        <f ca="1">AVERAGE(OFFSET($GY$3,0,0,'Données projet'!$E$18+1,1))-AVERAGE(OFFSET($H$3,0,0,'Données projet'!$E$18+1,1))</f>
        <v>363.53487081291541</v>
      </c>
      <c r="HA14" s="62">
        <f t="shared" si="52"/>
        <v>308.1559670593121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529.25712986118265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297.29294627417653</v>
      </c>
      <c r="AN15" s="62">
        <f ca="1">AVERAGE(OFFSET($AM$3,0,0,'Données projet'!$E$10+1,1))-AVERAGE(OFFSET($H$3,0,0,'Données projet'!$E$10+1,1))</f>
        <v>495.77338291316386</v>
      </c>
      <c r="AO15" s="62">
        <f t="shared" si="36"/>
        <v>261.95434270986397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7.6594017094017097</v>
      </c>
      <c r="BD15" s="13">
        <f>IF('Données projet'!$A$88&gt;35,BD14+BC15-BL14,IF(A15&lt;'Données projet'!$A$88,$BA$205^A15,IF(A15='Données projet'!$A$88,'Données projet'!$B$88,BD14+BC15-BL14)))</f>
        <v>26.687725889164497</v>
      </c>
      <c r="BE15" s="14">
        <f>BD15*VLOOKUP('Données projet'!$B$11,Paramètres!$A$1:$I$89,3,0)*VLOOKUP('Données projet'!$B$11,Paramètres!$A$1:$I$89,5,0)</f>
        <v>15.265379208602091</v>
      </c>
      <c r="BF15" s="14">
        <f t="shared" si="37"/>
        <v>5.1224307710290127</v>
      </c>
      <c r="BG15" s="22">
        <f t="shared" si="7"/>
        <v>35.508769047857506</v>
      </c>
      <c r="BH15" s="62">
        <f t="shared" si="8"/>
        <v>306.84210238119084</v>
      </c>
      <c r="BI15" s="62">
        <f ca="1">AVERAGE(OFFSET($BH$3,0,0,'Données projet'!$E$11+1,1))-AVERAGE(OFFSET($H$3,0,0,'Données projet'!$E$11+1,1))</f>
        <v>320.67081032419122</v>
      </c>
      <c r="BJ15" s="62">
        <f t="shared" si="38"/>
        <v>290.51177680335746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2">
        <f t="shared" si="11"/>
        <v>302.40863972786531</v>
      </c>
      <c r="CD15" s="62">
        <f ca="1">AVERAGE(OFFSET($CC$3,0,0,'Données projet'!$E$12+1,1))-AVERAGE(OFFSET($H$3,0,0,'Données projet'!$E$12+1,1))</f>
        <v>587.74247372331615</v>
      </c>
      <c r="CE15" s="62">
        <f t="shared" si="40"/>
        <v>306.61893266146666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3.1623931623931623</v>
      </c>
      <c r="CT15" s="13">
        <f>IF('Données projet'!$A$140&gt;35,CT14+CS15-DB14,IF(A15&lt;'Données projet'!$A$140,$CQ$205^A15,IF(A15='Données projet'!$A$140,'Données projet'!$B$140,CT14+CS15-DB14)))</f>
        <v>21.922278822444071</v>
      </c>
      <c r="CU15" s="18">
        <f>CT15*VLOOKUP('Données projet'!$B$13,Paramètres!$A$1:$I$89,3,0)*VLOOKUP('Données projet'!$B$13,Paramètres!$A$1:$I$89,5,0)</f>
        <v>20.861240527437776</v>
      </c>
      <c r="CV15" s="14">
        <f t="shared" si="41"/>
        <v>6.750267822211284</v>
      </c>
      <c r="CW15" s="22">
        <f t="shared" si="13"/>
        <v>48.090043708972111</v>
      </c>
      <c r="CX15" s="62">
        <f t="shared" si="14"/>
        <v>319.42337704230545</v>
      </c>
      <c r="CY15" s="62">
        <f ca="1">AVERAGE(OFFSET($CX$3,0,0,'Données projet'!$E$13+1,1))-AVERAGE(OFFSET($H$3,0,0,'Données projet'!$E$13+1,1))</f>
        <v>406.24139966722936</v>
      </c>
      <c r="CZ15" s="62">
        <f t="shared" si="42"/>
        <v>295.95724296920577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3.9923076923076919</v>
      </c>
      <c r="DO15" s="13">
        <f>IF('Données projet'!$A$166&gt;35,DO14+DN15-DW14,IF(A15&lt;'Données projet'!$A$166,$DL$205^A15,IF(A15='Données projet'!$A$166,'Données projet'!$B$166,DO14+DN15-DW14)))</f>
        <v>26.415097113175602</v>
      </c>
      <c r="DP15" s="18">
        <f>DO15*VLOOKUP('Données projet'!$B$14,Paramètres!$A$1:$I$89,3,0)*VLOOKUP('Données projet'!$B$14,Paramètres!$A$1:$I$89,5,0)</f>
        <v>15.796228073679012</v>
      </c>
      <c r="DQ15" s="14">
        <f t="shared" si="43"/>
        <v>5.2795127772877821</v>
      </c>
      <c r="DR15" s="22">
        <f t="shared" si="16"/>
        <v>36.706915315433839</v>
      </c>
      <c r="DS15" s="62">
        <f t="shared" si="17"/>
        <v>308.04024864876715</v>
      </c>
      <c r="DT15" s="62">
        <f ca="1">AVERAGE(OFFSET($DS$3,0,0,'Données projet'!$E$14+1,1))-AVERAGE(OFFSET($H$3,0,0,'Données projet'!$E$14+1,1))</f>
        <v>356.42779334565381</v>
      </c>
      <c r="DU15" s="62">
        <f t="shared" si="44"/>
        <v>320.06572891923685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10.68</v>
      </c>
      <c r="FE15" s="13">
        <f>IF('Données projet'!$A$218&gt;35,FE14+FD15-FM14,IF(A15&lt;'Données projet'!$A$218,$FB$205^A15,IF(A15='Données projet'!$A$218,'Données projet'!$B$218,FE14+FD15-FM14)))</f>
        <v>32.46</v>
      </c>
      <c r="FF15" s="18">
        <f>FE15*VLOOKUP('Données projet'!$B$16,Paramètres!$A$1:$I$89,3,0)*VLOOKUP('Données projet'!$B$16,Paramètres!$A$1:$I$89,5,0)</f>
        <v>25.825176000000003</v>
      </c>
      <c r="FG15" s="14">
        <f t="shared" si="47"/>
        <v>8.1514246027621944</v>
      </c>
      <c r="FH15" s="22">
        <f t="shared" si="22"/>
        <v>59.175912716477491</v>
      </c>
      <c r="FI15" s="62">
        <f t="shared" si="23"/>
        <v>330.50924604981083</v>
      </c>
      <c r="FJ15" s="62">
        <f ca="1">AVERAGE(OFFSET($FI$3,0,0,'Données projet'!$E$16+1,1))-AVERAGE(OFFSET($H$3,0,0,'Données projet'!$E$16+1,1))</f>
        <v>370.59298168107364</v>
      </c>
      <c r="FK15" s="62">
        <f t="shared" si="48"/>
        <v>404.61777090709171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3.65</v>
      </c>
      <c r="FZ15" s="13">
        <f>IF('Données projet'!$A$244&gt;35,FZ14+FY15-GH14,IF(A15&lt;'Données projet'!$A$244,$FW$205^A15,IF(A15='Données projet'!$A$244,'Données projet'!$B$244,FZ14+FY15-GH14)))</f>
        <v>13.121809125710287</v>
      </c>
      <c r="GA15" s="18">
        <f>FZ15*VLOOKUP('Données projet'!$B$17,Paramètres!$A$1:$I$89,3,0)*VLOOKUP('Données projet'!$B$17,Paramètres!$A$1:$I$89,5,0)</f>
        <v>12.69141378638699</v>
      </c>
      <c r="GB15" s="14">
        <f t="shared" si="49"/>
        <v>4.3512446702837533</v>
      </c>
      <c r="GC15" s="22">
        <f t="shared" si="25"/>
        <v>29.682630145368211</v>
      </c>
      <c r="GD15" s="62">
        <f t="shared" si="26"/>
        <v>301.01596347870151</v>
      </c>
      <c r="GE15" s="62">
        <f ca="1">AVERAGE(OFFSET($GD$3,0,0,'Données projet'!$E$17+1,1))-AVERAGE(OFFSET($H$3,0,0,'Données projet'!$E$17+1,1))</f>
        <v>562.69380557620775</v>
      </c>
      <c r="GF15" s="62">
        <f t="shared" si="50"/>
        <v>294.45557293177131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9.1025641025641022</v>
      </c>
      <c r="GU15" s="13">
        <f>IF('Données projet'!$A$270&gt;35,GU14+GT15-HC14,IF(A15&lt;'Données projet'!$A$270,$GR$205^A15,IF(A15='Données projet'!$A$270,'Données projet'!$B$270,GU14+GT15-HC14)))</f>
        <v>50.897435897435898</v>
      </c>
      <c r="GV15" s="18">
        <f>GU15*VLOOKUP('Données projet'!$B$18,Paramètres!$A$1:$I$89,3,0)*VLOOKUP('Données projet'!$B$18,Paramètres!$A$1:$I$89,5,0)</f>
        <v>34.142000000000003</v>
      </c>
      <c r="GW15" s="14">
        <f t="shared" si="51"/>
        <v>10.431966606093619</v>
      </c>
      <c r="GX15" s="22">
        <f t="shared" si="28"/>
        <v>77.632991838946381</v>
      </c>
      <c r="GY15" s="62">
        <f t="shared" si="29"/>
        <v>348.96632517227971</v>
      </c>
      <c r="GZ15" s="62">
        <f ca="1">AVERAGE(OFFSET($GY$3,0,0,'Données projet'!$E$18+1,1))-AVERAGE(OFFSET($H$3,0,0,'Données projet'!$E$18+1,1))</f>
        <v>363.53487081291541</v>
      </c>
      <c r="HA15" s="62">
        <f t="shared" si="52"/>
        <v>308.1559670593121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529.25712986118265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304.52154394287089</v>
      </c>
      <c r="AN16" s="62">
        <f ca="1">AVERAGE(OFFSET($AM$3,0,0,'Données projet'!$E$10+1,1))-AVERAGE(OFFSET($H$3,0,0,'Données projet'!$E$10+1,1))</f>
        <v>495.77338291316386</v>
      </c>
      <c r="AO16" s="62">
        <f t="shared" si="36"/>
        <v>261.95434270986397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7.6594017094017097</v>
      </c>
      <c r="BD16" s="13">
        <f>IF('Données projet'!$A$88&gt;35,BD15+BC16-BL15,IF(A16&lt;'Données projet'!$A$88,$BA$205^A16,IF(A16='Données projet'!$A$88,'Données projet'!$B$88,BD15+BC16-BL15)))</f>
        <v>35.088989838505007</v>
      </c>
      <c r="BE16" s="14">
        <f>BD16*VLOOKUP('Données projet'!$B$11,Paramètres!$A$1:$I$89,3,0)*VLOOKUP('Données projet'!$B$11,Paramètres!$A$1:$I$89,5,0)</f>
        <v>20.070902187624863</v>
      </c>
      <c r="BF16" s="14">
        <f t="shared" si="37"/>
        <v>6.5237930061352039</v>
      </c>
      <c r="BG16" s="22">
        <f t="shared" si="7"/>
        <v>46.319094129132111</v>
      </c>
      <c r="BH16" s="62">
        <f t="shared" si="8"/>
        <v>318.87464968468765</v>
      </c>
      <c r="BI16" s="62">
        <f ca="1">AVERAGE(OFFSET($BH$3,0,0,'Données projet'!$E$11+1,1))-AVERAGE(OFFSET($H$3,0,0,'Données projet'!$E$11+1,1))</f>
        <v>320.67081032419122</v>
      </c>
      <c r="BJ16" s="62">
        <f t="shared" si="38"/>
        <v>290.51177680335746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2">
        <f t="shared" si="11"/>
        <v>310.82478200263</v>
      </c>
      <c r="CD16" s="62">
        <f ca="1">AVERAGE(OFFSET($CC$3,0,0,'Données projet'!$E$12+1,1))-AVERAGE(OFFSET($H$3,0,0,'Données projet'!$E$12+1,1))</f>
        <v>587.74247372331615</v>
      </c>
      <c r="CE16" s="62">
        <f t="shared" si="40"/>
        <v>306.61893266146666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3.1623931623931623</v>
      </c>
      <c r="CT16" s="13">
        <f>IF('Données projet'!$A$140&gt;35,CT15+CS16-DB15,IF(A16&lt;'Données projet'!$A$140,$CQ$205^A16,IF(A16='Données projet'!$A$140,'Données projet'!$B$140,CT15+CS16-DB15)))</f>
        <v>28.35477280791984</v>
      </c>
      <c r="CU16" s="18">
        <f>CT16*VLOOKUP('Données projet'!$B$13,Paramètres!$A$1:$I$89,3,0)*VLOOKUP('Données projet'!$B$13,Paramètres!$A$1:$I$89,5,0)</f>
        <v>26.982401804016519</v>
      </c>
      <c r="CV16" s="14">
        <f t="shared" si="41"/>
        <v>8.4733449645277137</v>
      </c>
      <c r="CW16" s="22">
        <f t="shared" si="13"/>
        <v>61.752092288547864</v>
      </c>
      <c r="CX16" s="62">
        <f t="shared" si="14"/>
        <v>334.30764784410343</v>
      </c>
      <c r="CY16" s="62">
        <f ca="1">AVERAGE(OFFSET($CX$3,0,0,'Données projet'!$E$13+1,1))-AVERAGE(OFFSET($H$3,0,0,'Données projet'!$E$13+1,1))</f>
        <v>406.24139966722936</v>
      </c>
      <c r="CZ16" s="62">
        <f t="shared" si="42"/>
        <v>295.95724296920577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3.9923076923076919</v>
      </c>
      <c r="DO16" s="13">
        <f>IF('Données projet'!$A$166&gt;35,DO15+DN16-DW15,IF(A16&lt;'Données projet'!$A$166,$DL$205^A16,IF(A16='Données projet'!$A$166,'Données projet'!$B$166,DO15+DN16-DW15)))</f>
        <v>34.700832660249205</v>
      </c>
      <c r="DP16" s="18">
        <f>DO16*VLOOKUP('Données projet'!$B$14,Paramètres!$A$1:$I$89,3,0)*VLOOKUP('Données projet'!$B$14,Paramètres!$A$1:$I$89,5,0)</f>
        <v>20.751097930829026</v>
      </c>
      <c r="DQ16" s="14">
        <f t="shared" si="43"/>
        <v>6.7187667319438882</v>
      </c>
      <c r="DR16" s="22">
        <f t="shared" si="16"/>
        <v>47.843347620996155</v>
      </c>
      <c r="DS16" s="62">
        <f t="shared" si="17"/>
        <v>320.3989031765517</v>
      </c>
      <c r="DT16" s="62">
        <f ca="1">AVERAGE(OFFSET($DS$3,0,0,'Données projet'!$E$14+1,1))-AVERAGE(OFFSET($H$3,0,0,'Données projet'!$E$14+1,1))</f>
        <v>356.42779334565381</v>
      </c>
      <c r="DU16" s="62">
        <f t="shared" si="44"/>
        <v>320.06572891923685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10.68</v>
      </c>
      <c r="FE16" s="13">
        <f>IF('Données projet'!$A$218&gt;35,FE15+FD16-FM15,IF(A16&lt;'Données projet'!$A$218,$FB$205^A16,IF(A16='Données projet'!$A$218,'Données projet'!$B$218,FE15+FD16-FM15)))</f>
        <v>43.14</v>
      </c>
      <c r="FF16" s="18">
        <f>FE16*VLOOKUP('Données projet'!$B$16,Paramètres!$A$1:$I$89,3,0)*VLOOKUP('Données projet'!$B$16,Paramètres!$A$1:$I$89,5,0)</f>
        <v>34.322184</v>
      </c>
      <c r="FG16" s="14">
        <f t="shared" si="47"/>
        <v>10.480597920580347</v>
      </c>
      <c r="FH16" s="22">
        <f t="shared" si="22"/>
        <v>78.031511845010769</v>
      </c>
      <c r="FI16" s="62">
        <f t="shared" si="23"/>
        <v>350.5870674005663</v>
      </c>
      <c r="FJ16" s="62">
        <f ca="1">AVERAGE(OFFSET($FI$3,0,0,'Données projet'!$E$16+1,1))-AVERAGE(OFFSET($H$3,0,0,'Données projet'!$E$16+1,1))</f>
        <v>370.59298168107364</v>
      </c>
      <c r="FK16" s="62">
        <f t="shared" si="48"/>
        <v>404.61777090709171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3.65</v>
      </c>
      <c r="FZ16" s="13">
        <f>IF('Données projet'!$A$244&gt;35,FZ15+FY16-GH15,IF(A16&lt;'Données projet'!$A$244,$FW$205^A16,IF(A16='Données projet'!$A$244,'Données projet'!$B$244,FZ15+FY16-GH15)))</f>
        <v>16.261472127148366</v>
      </c>
      <c r="GA16" s="18">
        <f>FZ16*VLOOKUP('Données projet'!$B$17,Paramètres!$A$1:$I$89,3,0)*VLOOKUP('Données projet'!$B$17,Paramètres!$A$1:$I$89,5,0)</f>
        <v>15.728095841377899</v>
      </c>
      <c r="GB16" s="14">
        <f t="shared" si="49"/>
        <v>5.2593867546400634</v>
      </c>
      <c r="GC16" s="22">
        <f t="shared" si="25"/>
        <v>36.553198854731285</v>
      </c>
      <c r="GD16" s="62">
        <f t="shared" si="26"/>
        <v>309.10875441028685</v>
      </c>
      <c r="GE16" s="62">
        <f ca="1">AVERAGE(OFFSET($GD$3,0,0,'Données projet'!$E$17+1,1))-AVERAGE(OFFSET($H$3,0,0,'Données projet'!$E$17+1,1))</f>
        <v>562.69380557620775</v>
      </c>
      <c r="GF16" s="62">
        <f t="shared" si="50"/>
        <v>294.45557293177131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9.1025641025641022</v>
      </c>
      <c r="GU16" s="13">
        <f>IF('Données projet'!$A$270&gt;35,GU15+GT16-HC15,IF(A16&lt;'Données projet'!$A$270,$GR$205^A16,IF(A16='Données projet'!$A$270,'Données projet'!$B$270,GU15+GT16-HC15)))</f>
        <v>60</v>
      </c>
      <c r="GV16" s="18">
        <f>GU16*VLOOKUP('Données projet'!$B$18,Paramètres!$A$1:$I$89,3,0)*VLOOKUP('Données projet'!$B$18,Paramètres!$A$1:$I$89,5,0)</f>
        <v>40.248000000000005</v>
      </c>
      <c r="GW16" s="14">
        <f t="shared" si="51"/>
        <v>12.064355669675363</v>
      </c>
      <c r="GX16" s="22">
        <f t="shared" si="28"/>
        <v>91.110686124684605</v>
      </c>
      <c r="GY16" s="62">
        <f t="shared" si="29"/>
        <v>363.66624168024015</v>
      </c>
      <c r="GZ16" s="62">
        <f ca="1">AVERAGE(OFFSET($GY$3,0,0,'Données projet'!$E$18+1,1))-AVERAGE(OFFSET($H$3,0,0,'Données projet'!$E$18+1,1))</f>
        <v>363.53487081291541</v>
      </c>
      <c r="HA16" s="62">
        <f t="shared" si="52"/>
        <v>308.1559670593121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529.25712986118265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313.14450608885869</v>
      </c>
      <c r="AN17" s="62">
        <f ca="1">AVERAGE(OFFSET($AM$3,0,0,'Données projet'!$E$10+1,1))-AVERAGE(OFFSET($H$3,0,0,'Données projet'!$E$10+1,1))</f>
        <v>495.77338291316386</v>
      </c>
      <c r="AO17" s="62">
        <f t="shared" si="36"/>
        <v>261.95434270986397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7.6594017094017097</v>
      </c>
      <c r="BD17" s="13">
        <f>IF('Données projet'!$A$88&gt;35,BD16+BC17-BL16,IF(A17&lt;'Données projet'!$A$88,$BA$205^A17,IF(A17='Données projet'!$A$88,'Données projet'!$B$88,BD16+BC17-BL16)))</f>
        <v>46.134961554989708</v>
      </c>
      <c r="BE17" s="14">
        <f>BD17*VLOOKUP('Données projet'!$B$11,Paramètres!$A$1:$I$89,3,0)*VLOOKUP('Données projet'!$B$11,Paramètres!$A$1:$I$89,5,0)</f>
        <v>26.389198009454116</v>
      </c>
      <c r="BF17" s="14">
        <f t="shared" si="37"/>
        <v>8.3085310645104116</v>
      </c>
      <c r="BG17" s="22">
        <f t="shared" si="7"/>
        <v>60.431878137154875</v>
      </c>
      <c r="BH17" s="62">
        <f t="shared" si="8"/>
        <v>334.20965591493263</v>
      </c>
      <c r="BI17" s="62">
        <f ca="1">AVERAGE(OFFSET($BH$3,0,0,'Données projet'!$E$11+1,1))-AVERAGE(OFFSET($H$3,0,0,'Données projet'!$E$11+1,1))</f>
        <v>320.67081032419122</v>
      </c>
      <c r="BJ17" s="62">
        <f t="shared" si="38"/>
        <v>290.51177680335746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2">
        <f t="shared" si="11"/>
        <v>320.91181739683748</v>
      </c>
      <c r="CD17" s="62">
        <f ca="1">AVERAGE(OFFSET($CC$3,0,0,'Données projet'!$E$12+1,1))-AVERAGE(OFFSET($H$3,0,0,'Données projet'!$E$12+1,1))</f>
        <v>587.74247372331615</v>
      </c>
      <c r="CE17" s="62">
        <f t="shared" si="40"/>
        <v>306.61893266146666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3.1623931623931623</v>
      </c>
      <c r="CT17" s="13">
        <f>IF('Données projet'!$A$140&gt;35,CT16+CS17-DB16,IF(A17&lt;'Données projet'!$A$140,$CQ$205^A17,IF(A17='Données projet'!$A$140,'Données projet'!$B$140,CT16+CS17-DB16)))</f>
        <v>36.674706471008875</v>
      </c>
      <c r="CU17" s="18">
        <f>CT17*VLOOKUP('Données projet'!$B$13,Paramètres!$A$1:$I$89,3,0)*VLOOKUP('Données projet'!$B$13,Paramètres!$A$1:$I$89,5,0)</f>
        <v>34.899650677812041</v>
      </c>
      <c r="CV17" s="14">
        <f t="shared" si="41"/>
        <v>10.636255742571029</v>
      </c>
      <c r="CW17" s="22">
        <f t="shared" si="13"/>
        <v>79.308370348833833</v>
      </c>
      <c r="CX17" s="62">
        <f t="shared" si="14"/>
        <v>353.08614812661159</v>
      </c>
      <c r="CY17" s="62">
        <f ca="1">AVERAGE(OFFSET($CX$3,0,0,'Données projet'!$E$13+1,1))-AVERAGE(OFFSET($H$3,0,0,'Données projet'!$E$13+1,1))</f>
        <v>406.24139966722936</v>
      </c>
      <c r="CZ17" s="62">
        <f t="shared" si="42"/>
        <v>295.95724296920577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3.9923076923076919</v>
      </c>
      <c r="DO17" s="13">
        <f>IF('Données projet'!$A$166&gt;35,DO16+DN17-DW16,IF(A17&lt;'Données projet'!$A$166,$DL$205^A17,IF(A17='Données projet'!$A$166,'Données projet'!$B$166,DO16+DN17-DW16)))</f>
        <v>45.585590019050144</v>
      </c>
      <c r="DP17" s="18">
        <f>DO17*VLOOKUP('Données projet'!$B$14,Paramètres!$A$1:$I$89,3,0)*VLOOKUP('Données projet'!$B$14,Paramètres!$A$1:$I$89,5,0)</f>
        <v>27.260182831391987</v>
      </c>
      <c r="DQ17" s="14">
        <f t="shared" si="43"/>
        <v>8.5503773364227822</v>
      </c>
      <c r="DR17" s="22">
        <f t="shared" si="16"/>
        <v>62.370058958944064</v>
      </c>
      <c r="DS17" s="62">
        <f t="shared" si="17"/>
        <v>336.14783673672184</v>
      </c>
      <c r="DT17" s="62">
        <f ca="1">AVERAGE(OFFSET($DS$3,0,0,'Données projet'!$E$14+1,1))-AVERAGE(OFFSET($H$3,0,0,'Données projet'!$E$14+1,1))</f>
        <v>356.42779334565381</v>
      </c>
      <c r="DU17" s="62">
        <f t="shared" si="44"/>
        <v>320.06572891923685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10.68</v>
      </c>
      <c r="FE17" s="13">
        <f>IF('Données projet'!$A$218&gt;35,FE16+FD17-FM16,IF(A17&lt;'Données projet'!$A$218,$FB$205^A17,IF(A17='Données projet'!$A$218,'Données projet'!$B$218,FE16+FD17-FM16)))</f>
        <v>53.82</v>
      </c>
      <c r="FF17" s="18">
        <f>FE17*VLOOKUP('Données projet'!$B$16,Paramètres!$A$1:$I$89,3,0)*VLOOKUP('Données projet'!$B$16,Paramètres!$A$1:$I$89,5,0)</f>
        <v>42.819192000000001</v>
      </c>
      <c r="FG17" s="14">
        <f t="shared" si="47"/>
        <v>12.742886505722554</v>
      </c>
      <c r="FH17" s="22">
        <f t="shared" si="22"/>
        <v>96.770620064133439</v>
      </c>
      <c r="FI17" s="62">
        <f t="shared" si="23"/>
        <v>370.5483978419112</v>
      </c>
      <c r="FJ17" s="62">
        <f ca="1">AVERAGE(OFFSET($FI$3,0,0,'Données projet'!$E$16+1,1))-AVERAGE(OFFSET($H$3,0,0,'Données projet'!$E$16+1,1))</f>
        <v>370.59298168107364</v>
      </c>
      <c r="FK17" s="62">
        <f t="shared" si="48"/>
        <v>404.61777090709171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3.65</v>
      </c>
      <c r="FZ17" s="13">
        <f>IF('Données projet'!$A$244&gt;35,FZ16+FY17-GH16,IF(A17&lt;'Données projet'!$A$244,$FW$205^A17,IF(A17='Données projet'!$A$244,'Données projet'!$B$244,FZ16+FY17-GH16)))</f>
        <v>20.152364144963837</v>
      </c>
      <c r="GA17" s="18">
        <f>FZ17*VLOOKUP('Données projet'!$B$17,Paramètres!$A$1:$I$89,3,0)*VLOOKUP('Données projet'!$B$17,Paramètres!$A$1:$I$89,5,0)</f>
        <v>19.491366601009023</v>
      </c>
      <c r="GB17" s="14">
        <f t="shared" si="49"/>
        <v>6.3570658813537859</v>
      </c>
      <c r="GC17" s="22">
        <f t="shared" si="25"/>
        <v>45.01935324011523</v>
      </c>
      <c r="GD17" s="62">
        <f t="shared" si="26"/>
        <v>318.79713101789298</v>
      </c>
      <c r="GE17" s="62">
        <f ca="1">AVERAGE(OFFSET($GD$3,0,0,'Données projet'!$E$17+1,1))-AVERAGE(OFFSET($H$3,0,0,'Données projet'!$E$17+1,1))</f>
        <v>562.69380557620775</v>
      </c>
      <c r="GF17" s="62">
        <f t="shared" si="50"/>
        <v>294.45557293177131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9.1025641025641022</v>
      </c>
      <c r="GU17" s="13">
        <f>IF('Données projet'!$A$270&gt;35,GU16+GT17-HC16,IF(A17&lt;'Données projet'!$A$270,$GR$205^A17,IF(A17='Données projet'!$A$270,'Données projet'!$B$270,GU16+GT17-HC16)))</f>
        <v>69.102564102564102</v>
      </c>
      <c r="GV17" s="18">
        <f>GU17*VLOOKUP('Données projet'!$B$18,Paramètres!$A$1:$I$89,3,0)*VLOOKUP('Données projet'!$B$18,Paramètres!$A$1:$I$89,5,0)</f>
        <v>46.353999999999999</v>
      </c>
      <c r="GW17" s="14">
        <f t="shared" si="51"/>
        <v>13.668055364575761</v>
      </c>
      <c r="GX17" s="22">
        <f t="shared" si="28"/>
        <v>104.53841309330278</v>
      </c>
      <c r="GY17" s="62">
        <f t="shared" si="29"/>
        <v>378.31619087108055</v>
      </c>
      <c r="GZ17" s="62">
        <f ca="1">AVERAGE(OFFSET($GY$3,0,0,'Données projet'!$E$18+1,1))-AVERAGE(OFFSET($H$3,0,0,'Données projet'!$E$18+1,1))</f>
        <v>363.53487081291541</v>
      </c>
      <c r="HA17" s="62">
        <f t="shared" si="52"/>
        <v>308.1559670593121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529.25712986118265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323.48653362698809</v>
      </c>
      <c r="AN18" s="62">
        <f ca="1">AVERAGE(OFFSET($AM$3,0,0,'Données projet'!$E$10+1,1))-AVERAGE(OFFSET($H$3,0,0,'Données projet'!$E$10+1,1))</f>
        <v>495.77338291316386</v>
      </c>
      <c r="AO18" s="62">
        <f t="shared" si="36"/>
        <v>261.95434270986397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7.6594017094017097</v>
      </c>
      <c r="BD18" s="13">
        <f>IF('Données projet'!$A$88&gt;35,BD17+BC18-BL17,IF(A18&lt;'Données projet'!$A$88,$BA$205^A18,IF(A18='Données projet'!$A$88,'Données projet'!$B$88,BD17+BC18-BL17)))</f>
        <v>60.65819185665854</v>
      </c>
      <c r="BE18" s="14">
        <f>BD18*VLOOKUP('Données projet'!$B$11,Paramètres!$A$1:$I$89,3,0)*VLOOKUP('Données projet'!$B$11,Paramètres!$A$1:$I$89,5,0)</f>
        <v>34.696485742008683</v>
      </c>
      <c r="BF18" s="14">
        <f t="shared" si="37"/>
        <v>10.581526480839404</v>
      </c>
      <c r="BG18" s="22">
        <f t="shared" si="7"/>
        <v>78.859204621460421</v>
      </c>
      <c r="BH18" s="62">
        <f t="shared" si="8"/>
        <v>353.85920462146044</v>
      </c>
      <c r="BI18" s="62">
        <f ca="1">AVERAGE(OFFSET($BH$3,0,0,'Données projet'!$E$11+1,1))-AVERAGE(OFFSET($H$3,0,0,'Données projet'!$E$11+1,1))</f>
        <v>320.67081032419122</v>
      </c>
      <c r="BJ18" s="62">
        <f t="shared" si="38"/>
        <v>290.51177680335746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2">
        <f t="shared" si="11"/>
        <v>333.0590225021204</v>
      </c>
      <c r="CD18" s="62">
        <f ca="1">AVERAGE(OFFSET($CC$3,0,0,'Données projet'!$E$12+1,1))-AVERAGE(OFFSET($H$3,0,0,'Données projet'!$E$12+1,1))</f>
        <v>587.74247372331615</v>
      </c>
      <c r="CE18" s="62">
        <f t="shared" si="40"/>
        <v>306.61893266146666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47.435897435897431</v>
      </c>
      <c r="CR18" s="13">
        <f>VLOOKUP(A18,'Données projet'!$A$139:$I$159,9,0)</f>
        <v>3.1623931623931623</v>
      </c>
      <c r="CS18" s="13">
        <f t="array" ref="CS18">INDEX(CR:CR,MIN(IF(ISNUMBER(CR18:CR214),ROW(CR18:CR214),"")))</f>
        <v>3.1623931623931623</v>
      </c>
      <c r="CT18" s="13">
        <f>IF('Données projet'!$A$140&gt;35,CT17+CS18-DB17,IF(A18&lt;'Données projet'!$A$140,$CQ$205^A18,IF(A18='Données projet'!$A$140,'Données projet'!$B$140,CT17+CS18-DB17)))</f>
        <v>47.435897435897431</v>
      </c>
      <c r="CU18" s="18">
        <f>CT18*VLOOKUP('Données projet'!$B$13,Paramètres!$A$1:$I$89,3,0)*VLOOKUP('Données projet'!$B$13,Paramètres!$A$1:$I$89,5,0)</f>
        <v>45.139999999999993</v>
      </c>
      <c r="CV18" s="14">
        <f t="shared" si="41"/>
        <v>13.351272336364824</v>
      </c>
      <c r="CW18" s="22">
        <f t="shared" si="13"/>
        <v>101.87229931916873</v>
      </c>
      <c r="CX18" s="62">
        <f t="shared" si="14"/>
        <v>376.87229931916875</v>
      </c>
      <c r="CY18" s="62">
        <f ca="1">AVERAGE(OFFSET($CX$3,0,0,'Données projet'!$E$13+1,1))-AVERAGE(OFFSET($H$3,0,0,'Données projet'!$E$13+1,1))</f>
        <v>406.24139966722936</v>
      </c>
      <c r="CZ18" s="62">
        <f t="shared" si="42"/>
        <v>295.95724296920577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59.88461538461538</v>
      </c>
      <c r="DM18" s="13">
        <f>VLOOKUP(A18,'Données projet'!$A$165:$I$185,9,0)</f>
        <v>3.9923076923076919</v>
      </c>
      <c r="DN18" s="13">
        <f t="array" ref="DN18">INDEX(DM:DM,MIN(IF(ISNUMBER(DM18:DM214),ROW(DM18:DM214),"")))</f>
        <v>3.9923076923076919</v>
      </c>
      <c r="DO18" s="13">
        <f>IF('Données projet'!$A$166&gt;35,DO17+DN18-DW17,IF(A18&lt;'Données projet'!$A$166,$DL$205^A18,IF(A18='Données projet'!$A$166,'Données projet'!$B$166,DO17+DN18-DW17)))</f>
        <v>59.88461538461538</v>
      </c>
      <c r="DP18" s="18">
        <f>DO18*VLOOKUP('Données projet'!$B$14,Paramètres!$A$1:$I$89,3,0)*VLOOKUP('Données projet'!$B$14,Paramètres!$A$1:$I$89,5,0)</f>
        <v>35.811</v>
      </c>
      <c r="DQ18" s="14">
        <f t="shared" si="43"/>
        <v>10.881305381182697</v>
      </c>
      <c r="DR18" s="22">
        <f t="shared" si="16"/>
        <v>81.322431872226531</v>
      </c>
      <c r="DS18" s="62">
        <f t="shared" si="17"/>
        <v>356.3224318722265</v>
      </c>
      <c r="DT18" s="62">
        <f ca="1">AVERAGE(OFFSET($DS$3,0,0,'Données projet'!$E$14+1,1))-AVERAGE(OFFSET($H$3,0,0,'Données projet'!$E$14+1,1))</f>
        <v>356.42779334565381</v>
      </c>
      <c r="DU18" s="62">
        <f t="shared" si="44"/>
        <v>320.06572891923685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64.5</v>
      </c>
      <c r="FC18" s="13">
        <f>VLOOKUP(A18,'Données projet'!$A$217:$I$237,9,0)</f>
        <v>10.68</v>
      </c>
      <c r="FD18" s="13">
        <f t="array" ref="FD18">INDEX(FC:FC,MIN(IF(ISNUMBER(FC18:FC214),ROW(FC18:FC214),"")))</f>
        <v>10.68</v>
      </c>
      <c r="FE18" s="13">
        <f>IF('Données projet'!$A$218&gt;35,FE17+FD18-FM17,IF(A18&lt;'Données projet'!$A$218,$FB$205^A18,IF(A18='Données projet'!$A$218,'Données projet'!$B$218,FE17+FD18-FM17)))</f>
        <v>64.5</v>
      </c>
      <c r="FF18" s="18">
        <f>FE18*VLOOKUP('Données projet'!$B$16,Paramètres!$A$1:$I$89,3,0)*VLOOKUP('Données projet'!$B$16,Paramètres!$A$1:$I$89,5,0)</f>
        <v>51.316200000000009</v>
      </c>
      <c r="FG18" s="14">
        <f t="shared" si="47"/>
        <v>14.953158316506878</v>
      </c>
      <c r="FH18" s="22">
        <f t="shared" si="22"/>
        <v>115.41913240124948</v>
      </c>
      <c r="FI18" s="62">
        <f t="shared" si="23"/>
        <v>390.4191324012495</v>
      </c>
      <c r="FJ18" s="62">
        <f ca="1">AVERAGE(OFFSET($FI$3,0,0,'Données projet'!$E$16+1,1))-AVERAGE(OFFSET($H$3,0,0,'Données projet'!$E$16+1,1))</f>
        <v>370.59298168107364</v>
      </c>
      <c r="FK18" s="62">
        <f t="shared" si="48"/>
        <v>404.61777090709171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3.65</v>
      </c>
      <c r="FZ18" s="13">
        <f>IF('Données projet'!$A$244&gt;35,FZ17+FY18-GH17,IF(A18&lt;'Données projet'!$A$244,$FW$205^A18,IF(A18='Données projet'!$A$244,'Données projet'!$B$244,FZ17+FY18-GH17)))</f>
        <v>24.974232188561476</v>
      </c>
      <c r="GA18" s="18">
        <f>FZ18*VLOOKUP('Données projet'!$B$17,Paramètres!$A$1:$I$89,3,0)*VLOOKUP('Données projet'!$B$17,Paramètres!$A$1:$I$89,5,0)</f>
        <v>24.155077372776663</v>
      </c>
      <c r="GB18" s="14">
        <f t="shared" si="49"/>
        <v>7.6838400568695304</v>
      </c>
      <c r="GC18" s="22">
        <f t="shared" si="25"/>
        <v>55.452781189967119</v>
      </c>
      <c r="GD18" s="62">
        <f t="shared" si="26"/>
        <v>330.45278118996714</v>
      </c>
      <c r="GE18" s="62">
        <f ca="1">AVERAGE(OFFSET($GD$3,0,0,'Données projet'!$E$17+1,1))-AVERAGE(OFFSET($H$3,0,0,'Données projet'!$E$17+1,1))</f>
        <v>562.69380557620775</v>
      </c>
      <c r="GF18" s="62">
        <f t="shared" si="50"/>
        <v>294.45557293177131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78.205128205128204</v>
      </c>
      <c r="GS18" s="13">
        <f>VLOOKUP(A18,'Données projet'!$A$269:$I$289,9,0)</f>
        <v>9.1025641025641022</v>
      </c>
      <c r="GT18" s="13">
        <f t="array" ref="GT18">INDEX(GS:GS,MIN(IF(ISNUMBER(GS18:GS214),ROW(GS18:GS214),"")))</f>
        <v>9.1025641025641022</v>
      </c>
      <c r="GU18" s="13">
        <f>IF('Données projet'!$A$270&gt;35,GU17+GT18-HC17,IF(A18&lt;'Données projet'!$A$270,$GR$205^A18,IF(A18='Données projet'!$A$270,'Données projet'!$B$270,GU17+GT18-HC17)))</f>
        <v>78.205128205128204</v>
      </c>
      <c r="GV18" s="18">
        <f>GU18*VLOOKUP('Données projet'!$B$18,Paramètres!$A$1:$I$89,3,0)*VLOOKUP('Données projet'!$B$18,Paramètres!$A$1:$I$89,5,0)</f>
        <v>52.459999999999994</v>
      </c>
      <c r="GW18" s="14">
        <f t="shared" si="51"/>
        <v>15.247278696731632</v>
      </c>
      <c r="GX18" s="22">
        <f t="shared" si="28"/>
        <v>117.92351039680756</v>
      </c>
      <c r="GY18" s="62">
        <f t="shared" si="29"/>
        <v>392.92351039680756</v>
      </c>
      <c r="GZ18" s="62">
        <f ca="1">AVERAGE(OFFSET($GY$3,0,0,'Données projet'!$E$18+1,1))-AVERAGE(OFFSET($H$3,0,0,'Données projet'!$E$18+1,1))</f>
        <v>363.53487081291541</v>
      </c>
      <c r="HA18" s="62">
        <f t="shared" si="52"/>
        <v>308.1559670593121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529.25712986118265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335.94815518908104</v>
      </c>
      <c r="AN19" s="62">
        <f ca="1">AVERAGE(OFFSET($AM$3,0,0,'Données projet'!$E$10+1,1))-AVERAGE(OFFSET($H$3,0,0,'Données projet'!$E$10+1,1))</f>
        <v>495.77338291316386</v>
      </c>
      <c r="AO19" s="62">
        <f t="shared" si="36"/>
        <v>261.95434270986397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7.6594017094017097</v>
      </c>
      <c r="BD19" s="13">
        <f>IF('Données projet'!$A$88&gt;35,BD18+BC19-BL18,IF(A19&lt;'Données projet'!$A$88,$BA$205^A19,IF(A19='Données projet'!$A$88,'Données projet'!$B$88,BD18+BC19-BL18)))</f>
        <v>79.753317555788669</v>
      </c>
      <c r="BE19" s="14">
        <f>BD19*VLOOKUP('Données projet'!$B$11,Paramètres!$A$1:$I$89,3,0)*VLOOKUP('Données projet'!$B$11,Paramètres!$A$1:$I$89,5,0)</f>
        <v>45.618897641911119</v>
      </c>
      <c r="BF19" s="14">
        <f t="shared" si="37"/>
        <v>13.476353617184607</v>
      </c>
      <c r="BG19" s="22">
        <f t="shared" si="7"/>
        <v>102.92422927625837</v>
      </c>
      <c r="BH19" s="62">
        <f t="shared" si="8"/>
        <v>379.14645149848059</v>
      </c>
      <c r="BI19" s="62">
        <f ca="1">AVERAGE(OFFSET($BH$3,0,0,'Données projet'!$E$11+1,1))-AVERAGE(OFFSET($H$3,0,0,'Données projet'!$E$11+1,1))</f>
        <v>320.67081032419122</v>
      </c>
      <c r="BJ19" s="62">
        <f t="shared" si="38"/>
        <v>290.51177680335746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2">
        <f t="shared" si="11"/>
        <v>347.74662094621232</v>
      </c>
      <c r="CD19" s="62">
        <f ca="1">AVERAGE(OFFSET($CC$3,0,0,'Données projet'!$E$12+1,1))-AVERAGE(OFFSET($H$3,0,0,'Données projet'!$E$12+1,1))</f>
        <v>587.74247372331615</v>
      </c>
      <c r="CE19" s="62">
        <f t="shared" si="40"/>
        <v>306.61893266146666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7.4358974358974361</v>
      </c>
      <c r="CT19" s="13">
        <f>IF('Données projet'!$A$140&gt;35,CT18+CS19-DB18,IF(A19&lt;'Données projet'!$A$140,$CQ$205^A19,IF(A19='Données projet'!$A$140,'Données projet'!$B$140,CT18+CS19-DB18)))</f>
        <v>54.871794871794869</v>
      </c>
      <c r="CU19" s="18">
        <f>CT19*VLOOKUP('Données projet'!$B$13,Paramètres!$A$1:$I$89,3,0)*VLOOKUP('Données projet'!$B$13,Paramètres!$A$1:$I$89,5,0)</f>
        <v>52.216000000000001</v>
      </c>
      <c r="CV19" s="14">
        <f t="shared" si="41"/>
        <v>15.184598935068502</v>
      </c>
      <c r="CW19" s="22">
        <f t="shared" si="13"/>
        <v>117.38937647857762</v>
      </c>
      <c r="CX19" s="62">
        <f t="shared" si="14"/>
        <v>393.61159870079985</v>
      </c>
      <c r="CY19" s="62">
        <f ca="1">AVERAGE(OFFSET($CX$3,0,0,'Données projet'!$E$13+1,1))-AVERAGE(OFFSET($H$3,0,0,'Données projet'!$E$13+1,1))</f>
        <v>406.24139966722936</v>
      </c>
      <c r="CZ19" s="62">
        <f t="shared" si="42"/>
        <v>295.95724296920577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17.024999999999999</v>
      </c>
      <c r="DO19" s="13">
        <f>IF('Données projet'!$A$166&gt;35,DO18+DN19-DW18,IF(A19&lt;'Données projet'!$A$166,$DL$205^A19,IF(A19='Données projet'!$A$166,'Données projet'!$B$166,DO18+DN19-DW18)))</f>
        <v>76.909615384615378</v>
      </c>
      <c r="DP19" s="18">
        <f>DO19*VLOOKUP('Données projet'!$B$14,Paramètres!$A$1:$I$89,3,0)*VLOOKUP('Données projet'!$B$14,Paramètres!$A$1:$I$89,5,0)</f>
        <v>45.991950000000003</v>
      </c>
      <c r="DQ19" s="14">
        <f t="shared" si="43"/>
        <v>13.573683676879673</v>
      </c>
      <c r="DR19" s="22">
        <f t="shared" si="16"/>
        <v>103.74347865389876</v>
      </c>
      <c r="DS19" s="62">
        <f t="shared" si="17"/>
        <v>379.96570087612099</v>
      </c>
      <c r="DT19" s="62">
        <f ca="1">AVERAGE(OFFSET($DS$3,0,0,'Données projet'!$E$14+1,1))-AVERAGE(OFFSET($H$3,0,0,'Données projet'!$E$14+1,1))</f>
        <v>356.42779334565381</v>
      </c>
      <c r="DU19" s="62">
        <f t="shared" si="44"/>
        <v>320.06572891923685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13.760000000000002</v>
      </c>
      <c r="FE19" s="13">
        <f>IF('Données projet'!$A$218&gt;35,FE18+FD19-FM18,IF(A19&lt;'Données projet'!$A$218,$FB$205^A19,IF(A19='Données projet'!$A$218,'Données projet'!$B$218,FE18+FD19-FM18)))</f>
        <v>78.260000000000005</v>
      </c>
      <c r="FF19" s="18">
        <f>FE19*VLOOKUP('Données projet'!$B$16,Paramètres!$A$1:$I$89,3,0)*VLOOKUP('Données projet'!$B$16,Paramètres!$A$1:$I$89,5,0)</f>
        <v>62.263656000000012</v>
      </c>
      <c r="FG19" s="14">
        <f t="shared" si="47"/>
        <v>17.739352894036266</v>
      </c>
      <c r="FH19" s="22">
        <f t="shared" si="22"/>
        <v>139.33857382377983</v>
      </c>
      <c r="FI19" s="62">
        <f t="shared" si="23"/>
        <v>415.56079604600205</v>
      </c>
      <c r="FJ19" s="62">
        <f ca="1">AVERAGE(OFFSET($FI$3,0,0,'Données projet'!$E$16+1,1))-AVERAGE(OFFSET($H$3,0,0,'Données projet'!$E$16+1,1))</f>
        <v>370.59298168107364</v>
      </c>
      <c r="FK19" s="62">
        <f t="shared" si="48"/>
        <v>404.61777090709171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3.65</v>
      </c>
      <c r="FZ19" s="13">
        <f>IF('Données projet'!$A$244&gt;35,FZ18+FY19-GH18,IF(A19&lt;'Données projet'!$A$244,$FW$205^A19,IF(A19='Données projet'!$A$244,'Données projet'!$B$244,FZ18+FY19-GH18)))</f>
        <v>30.949831440200953</v>
      </c>
      <c r="GA19" s="18">
        <f>FZ19*VLOOKUP('Données projet'!$B$17,Paramètres!$A$1:$I$89,3,0)*VLOOKUP('Données projet'!$B$17,Paramètres!$A$1:$I$89,5,0)</f>
        <v>29.934676968962361</v>
      </c>
      <c r="GB19" s="14">
        <f t="shared" si="49"/>
        <v>9.2875233828754098</v>
      </c>
      <c r="GC19" s="22">
        <f t="shared" si="25"/>
        <v>68.311998946117441</v>
      </c>
      <c r="GD19" s="62">
        <f t="shared" si="26"/>
        <v>344.53422116833968</v>
      </c>
      <c r="GE19" s="62">
        <f ca="1">AVERAGE(OFFSET($GD$3,0,0,'Données projet'!$E$17+1,1))-AVERAGE(OFFSET($H$3,0,0,'Données projet'!$E$17+1,1))</f>
        <v>562.69380557620775</v>
      </c>
      <c r="GF19" s="62">
        <f t="shared" si="50"/>
        <v>294.45557293177131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10</v>
      </c>
      <c r="GU19" s="13">
        <f>IF('Données projet'!$A$270&gt;35,GU18+GT19-HC18,IF(A19&lt;'Données projet'!$A$270,$GR$205^A19,IF(A19='Données projet'!$A$270,'Données projet'!$B$270,GU18+GT19-HC18)))</f>
        <v>88.205128205128204</v>
      </c>
      <c r="GV19" s="18">
        <f>GU19*VLOOKUP('Données projet'!$B$18,Paramètres!$A$1:$I$89,3,0)*VLOOKUP('Données projet'!$B$18,Paramètres!$A$1:$I$89,5,0)</f>
        <v>59.167999999999999</v>
      </c>
      <c r="GW19" s="14">
        <f t="shared" si="51"/>
        <v>16.957742660522214</v>
      </c>
      <c r="GX19" s="22">
        <f t="shared" si="28"/>
        <v>132.58566846707615</v>
      </c>
      <c r="GY19" s="62">
        <f t="shared" si="29"/>
        <v>408.80789068929835</v>
      </c>
      <c r="GZ19" s="62">
        <f ca="1">AVERAGE(OFFSET($GY$3,0,0,'Données projet'!$E$18+1,1))-AVERAGE(OFFSET($H$3,0,0,'Données projet'!$E$18+1,1))</f>
        <v>363.53487081291541</v>
      </c>
      <c r="HA19" s="62">
        <f t="shared" si="52"/>
        <v>308.1559670593121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529.25712986118265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351.02348150415776</v>
      </c>
      <c r="AN20" s="62">
        <f ca="1">AVERAGE(OFFSET($AM$3,0,0,'Données projet'!$E$10+1,1))-AVERAGE(OFFSET($H$3,0,0,'Données projet'!$E$10+1,1))</f>
        <v>495.77338291316386</v>
      </c>
      <c r="AO20" s="62">
        <f t="shared" si="36"/>
        <v>261.95434270986397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7.6594017094017097</v>
      </c>
      <c r="BD20" s="13">
        <f>IF('Données projet'!$A$88&gt;35,BD19+BC20-BL19,IF(A20&lt;'Données projet'!$A$88,$BA$205^A20,IF(A20='Données projet'!$A$88,'Données projet'!$B$88,BD19+BC20-BL19)))</f>
        <v>104.85956581404854</v>
      </c>
      <c r="BE20" s="14">
        <f>BD20*VLOOKUP('Données projet'!$B$11,Paramètres!$A$1:$I$89,3,0)*VLOOKUP('Données projet'!$B$11,Paramètres!$A$1:$I$89,5,0)</f>
        <v>59.979671645635769</v>
      </c>
      <c r="BF20" s="14">
        <f t="shared" si="37"/>
        <v>17.163129265353199</v>
      </c>
      <c r="BG20" s="22">
        <f t="shared" si="7"/>
        <v>134.35704491997242</v>
      </c>
      <c r="BH20" s="62">
        <f t="shared" si="8"/>
        <v>411.80148936441685</v>
      </c>
      <c r="BI20" s="62">
        <f ca="1">AVERAGE(OFFSET($BH$3,0,0,'Données projet'!$E$11+1,1))-AVERAGE(OFFSET($H$3,0,0,'Données projet'!$E$11+1,1))</f>
        <v>320.67081032419122</v>
      </c>
      <c r="BJ20" s="62">
        <f t="shared" si="38"/>
        <v>290.51177680335746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2">
        <f t="shared" si="11"/>
        <v>365.56708614435468</v>
      </c>
      <c r="CD20" s="62">
        <f ca="1">AVERAGE(OFFSET($CC$3,0,0,'Données projet'!$E$12+1,1))-AVERAGE(OFFSET($H$3,0,0,'Données projet'!$E$12+1,1))</f>
        <v>587.74247372331615</v>
      </c>
      <c r="CE20" s="62">
        <f t="shared" si="40"/>
        <v>306.61893266146666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7.4358974358974361</v>
      </c>
      <c r="CT20" s="13">
        <f>IF('Données projet'!$A$140&gt;35,CT19+CS20-DB19,IF(A20&lt;'Données projet'!$A$140,$CQ$205^A20,IF(A20='Données projet'!$A$140,'Données projet'!$B$140,CT19+CS20-DB19)))</f>
        <v>62.307692307692307</v>
      </c>
      <c r="CU20" s="18">
        <f>CT20*VLOOKUP('Données projet'!$B$13,Paramètres!$A$1:$I$89,3,0)*VLOOKUP('Données projet'!$B$13,Paramètres!$A$1:$I$89,5,0)</f>
        <v>59.292000000000002</v>
      </c>
      <c r="CV20" s="14">
        <f t="shared" si="41"/>
        <v>16.98914092257921</v>
      </c>
      <c r="CW20" s="22">
        <f t="shared" si="13"/>
        <v>132.85632044015878</v>
      </c>
      <c r="CX20" s="62">
        <f t="shared" si="14"/>
        <v>410.30076488460327</v>
      </c>
      <c r="CY20" s="62">
        <f ca="1">AVERAGE(OFFSET($CX$3,0,0,'Données projet'!$E$13+1,1))-AVERAGE(OFFSET($H$3,0,0,'Données projet'!$E$13+1,1))</f>
        <v>406.24139966722936</v>
      </c>
      <c r="CZ20" s="62">
        <f t="shared" si="42"/>
        <v>295.95724296920577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17.024999999999999</v>
      </c>
      <c r="DO20" s="13">
        <f>IF('Données projet'!$A$166&gt;35,DO19+DN20-DW19,IF(A20&lt;'Données projet'!$A$166,$DL$205^A20,IF(A20='Données projet'!$A$166,'Données projet'!$B$166,DO19+DN20-DW19)))</f>
        <v>93.93461538461537</v>
      </c>
      <c r="DP20" s="18">
        <f>DO20*VLOOKUP('Données projet'!$B$14,Paramètres!$A$1:$I$89,3,0)*VLOOKUP('Données projet'!$B$14,Paramètres!$A$1:$I$89,5,0)</f>
        <v>56.172899999999991</v>
      </c>
      <c r="DQ20" s="14">
        <f t="shared" si="43"/>
        <v>16.196977747774771</v>
      </c>
      <c r="DR20" s="22">
        <f t="shared" si="16"/>
        <v>126.04420374404106</v>
      </c>
      <c r="DS20" s="62">
        <f t="shared" si="17"/>
        <v>403.48864818848551</v>
      </c>
      <c r="DT20" s="62">
        <f ca="1">AVERAGE(OFFSET($DS$3,0,0,'Données projet'!$E$14+1,1))-AVERAGE(OFFSET($H$3,0,0,'Données projet'!$E$14+1,1))</f>
        <v>356.42779334565381</v>
      </c>
      <c r="DU20" s="62">
        <f t="shared" si="44"/>
        <v>320.06572891923685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13.760000000000002</v>
      </c>
      <c r="FE20" s="13">
        <f>IF('Données projet'!$A$218&gt;35,FE19+FD20-FM19,IF(A20&lt;'Données projet'!$A$218,$FB$205^A20,IF(A20='Données projet'!$A$218,'Données projet'!$B$218,FE19+FD20-FM19)))</f>
        <v>92.02000000000001</v>
      </c>
      <c r="FF20" s="18">
        <f>FE20*VLOOKUP('Données projet'!$B$16,Paramètres!$A$1:$I$89,3,0)*VLOOKUP('Données projet'!$B$16,Paramètres!$A$1:$I$89,5,0)</f>
        <v>73.211112000000014</v>
      </c>
      <c r="FG20" s="14">
        <f t="shared" si="47"/>
        <v>20.468796348022103</v>
      </c>
      <c r="FH20" s="22">
        <f t="shared" si="22"/>
        <v>163.15917370613849</v>
      </c>
      <c r="FI20" s="62">
        <f t="shared" si="23"/>
        <v>440.60361815058297</v>
      </c>
      <c r="FJ20" s="62">
        <f ca="1">AVERAGE(OFFSET($FI$3,0,0,'Données projet'!$E$16+1,1))-AVERAGE(OFFSET($H$3,0,0,'Données projet'!$E$16+1,1))</f>
        <v>370.59298168107364</v>
      </c>
      <c r="FK20" s="62">
        <f t="shared" si="48"/>
        <v>404.61777090709171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3.65</v>
      </c>
      <c r="FZ20" s="13">
        <f>IF('Données projet'!$A$244&gt;35,FZ19+FY20-GH19,IF(A20&lt;'Données projet'!$A$244,$FW$205^A20,IF(A20='Données projet'!$A$244,'Données projet'!$B$244,FZ19+FY20-GH19)))</f>
        <v>38.355215845858055</v>
      </c>
      <c r="GA20" s="18">
        <f>FZ20*VLOOKUP('Données projet'!$B$17,Paramètres!$A$1:$I$89,3,0)*VLOOKUP('Données projet'!$B$17,Paramètres!$A$1:$I$89,5,0)</f>
        <v>37.097164766113913</v>
      </c>
      <c r="GB20" s="14">
        <f t="shared" si="49"/>
        <v>11.225909174194843</v>
      </c>
      <c r="GC20" s="22">
        <f t="shared" si="25"/>
        <v>84.162687112704418</v>
      </c>
      <c r="GD20" s="62">
        <f t="shared" si="26"/>
        <v>361.60713155714888</v>
      </c>
      <c r="GE20" s="62">
        <f ca="1">AVERAGE(OFFSET($GD$3,0,0,'Données projet'!$E$17+1,1))-AVERAGE(OFFSET($H$3,0,0,'Données projet'!$E$17+1,1))</f>
        <v>562.69380557620775</v>
      </c>
      <c r="GF20" s="62">
        <f t="shared" si="50"/>
        <v>294.45557293177131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10</v>
      </c>
      <c r="GU20" s="13">
        <f>IF('Données projet'!$A$270&gt;35,GU19+GT20-HC19,IF(A20&lt;'Données projet'!$A$270,$GR$205^A20,IF(A20='Données projet'!$A$270,'Données projet'!$B$270,GU19+GT20-HC19)))</f>
        <v>98.205128205128204</v>
      </c>
      <c r="GV20" s="18">
        <f>GU20*VLOOKUP('Données projet'!$B$18,Paramètres!$A$1:$I$89,3,0)*VLOOKUP('Données projet'!$B$18,Paramètres!$A$1:$I$89,5,0)</f>
        <v>65.876000000000005</v>
      </c>
      <c r="GW20" s="14">
        <f t="shared" si="51"/>
        <v>18.64573198002007</v>
      </c>
      <c r="GX20" s="22">
        <f t="shared" si="28"/>
        <v>147.20868319853497</v>
      </c>
      <c r="GY20" s="62">
        <f t="shared" si="29"/>
        <v>424.65312764297943</v>
      </c>
      <c r="GZ20" s="62">
        <f ca="1">AVERAGE(OFFSET($GY$3,0,0,'Données projet'!$E$18+1,1))-AVERAGE(OFFSET($H$3,0,0,'Données projet'!$E$18+1,1))</f>
        <v>363.53487081291541</v>
      </c>
      <c r="HA20" s="62">
        <f t="shared" si="52"/>
        <v>308.1559670593121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529.25712986118265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369.32212669991179</v>
      </c>
      <c r="AN21" s="62">
        <f ca="1">AVERAGE(OFFSET($AM$3,0,0,'Données projet'!$E$10+1,1))-AVERAGE(OFFSET($H$3,0,0,'Données projet'!$E$10+1,1))</f>
        <v>495.77338291316386</v>
      </c>
      <c r="AO21" s="62">
        <f t="shared" si="36"/>
        <v>261.95434270986397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137.86923076923077</v>
      </c>
      <c r="BB21" s="13">
        <f>VLOOKUP(A21,'Données projet'!$A$87:$I$107,9,0)</f>
        <v>7.6594017094017097</v>
      </c>
      <c r="BC21" s="13">
        <f t="array" ref="BC21">INDEX(BB:BB,MIN(IF(ISNUMBER(BB21:BB217),ROW(BB21:BB217),"")))</f>
        <v>7.6594017094017097</v>
      </c>
      <c r="BD21" s="13">
        <f>IF('Données projet'!$A$88&gt;35,BD20+BC21-BL20,IF(A21&lt;'Données projet'!$A$88,$BA$205^A21,IF(A21='Données projet'!$A$88,'Données projet'!$B$88,BD20+BC21-BL20)))</f>
        <v>137.86923076923077</v>
      </c>
      <c r="BE21" s="14">
        <f>BD21*VLOOKUP('Données projet'!$B$11,Paramètres!$A$1:$I$89,3,0)*VLOOKUP('Données projet'!$B$11,Paramètres!$A$1:$I$89,5,0)</f>
        <v>78.861199999999997</v>
      </c>
      <c r="BF21" s="14">
        <f t="shared" si="37"/>
        <v>21.858509693868037</v>
      </c>
      <c r="BG21" s="22">
        <f t="shared" si="7"/>
        <v>175.42016105015344</v>
      </c>
      <c r="BH21" s="62">
        <f t="shared" si="8"/>
        <v>454.08682771682015</v>
      </c>
      <c r="BI21" s="62">
        <f ca="1">AVERAGE(OFFSET($BH$3,0,0,'Données projet'!$E$11+1,1))-AVERAGE(OFFSET($H$3,0,0,'Données projet'!$E$11+1,1))</f>
        <v>320.67081032419122</v>
      </c>
      <c r="BJ21" s="62">
        <f t="shared" si="38"/>
        <v>290.51177680335746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52.746153846153838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0.2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6.8320708404422978</v>
      </c>
      <c r="BS21" s="24">
        <f t="shared" si="9"/>
        <v>6.8320708404422978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2">
        <f t="shared" si="11"/>
        <v>387.25144554241666</v>
      </c>
      <c r="CD21" s="62">
        <f ca="1">AVERAGE(OFFSET($CC$3,0,0,'Données projet'!$E$12+1,1))-AVERAGE(OFFSET($H$3,0,0,'Données projet'!$E$12+1,1))</f>
        <v>587.74247372331615</v>
      </c>
      <c r="CE21" s="62">
        <f t="shared" si="40"/>
        <v>306.61893266146666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7.4358974358974361</v>
      </c>
      <c r="CT21" s="13">
        <f>IF('Données projet'!$A$140&gt;35,CT20+CS21-DB20,IF(A21&lt;'Données projet'!$A$140,$CQ$205^A21,IF(A21='Données projet'!$A$140,'Données projet'!$B$140,CT20+CS21-DB20)))</f>
        <v>69.743589743589737</v>
      </c>
      <c r="CU21" s="18">
        <f>CT21*VLOOKUP('Données projet'!$B$13,Paramètres!$A$1:$I$89,3,0)*VLOOKUP('Données projet'!$B$13,Paramètres!$A$1:$I$89,5,0)</f>
        <v>66.367999999999995</v>
      </c>
      <c r="CV21" s="14">
        <f t="shared" si="41"/>
        <v>18.768726208561709</v>
      </c>
      <c r="CW21" s="22">
        <f t="shared" si="13"/>
        <v>148.27979814657829</v>
      </c>
      <c r="CX21" s="62">
        <f t="shared" si="14"/>
        <v>426.94646481324497</v>
      </c>
      <c r="CY21" s="62">
        <f ca="1">AVERAGE(OFFSET($CX$3,0,0,'Données projet'!$E$13+1,1))-AVERAGE(OFFSET($H$3,0,0,'Données projet'!$E$13+1,1))</f>
        <v>406.24139966722936</v>
      </c>
      <c r="CZ21" s="62">
        <f t="shared" si="42"/>
        <v>295.95724296920577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17.024999999999999</v>
      </c>
      <c r="DO21" s="13">
        <f>IF('Données projet'!$A$166&gt;35,DO20+DN21-DW20,IF(A21&lt;'Données projet'!$A$166,$DL$205^A21,IF(A21='Données projet'!$A$166,'Données projet'!$B$166,DO20+DN21-DW20)))</f>
        <v>110.95961538461538</v>
      </c>
      <c r="DP21" s="18">
        <f>DO21*VLOOKUP('Données projet'!$B$14,Paramètres!$A$1:$I$89,3,0)*VLOOKUP('Données projet'!$B$14,Paramètres!$A$1:$I$89,5,0)</f>
        <v>66.353849999999994</v>
      </c>
      <c r="DQ21" s="14">
        <f t="shared" si="43"/>
        <v>18.765190360416003</v>
      </c>
      <c r="DR21" s="22">
        <f t="shared" si="16"/>
        <v>148.24899529439116</v>
      </c>
      <c r="DS21" s="62">
        <f t="shared" si="17"/>
        <v>426.91566196105782</v>
      </c>
      <c r="DT21" s="62">
        <f ca="1">AVERAGE(OFFSET($DS$3,0,0,'Données projet'!$E$14+1,1))-AVERAGE(OFFSET($H$3,0,0,'Données projet'!$E$14+1,1))</f>
        <v>356.42779334565381</v>
      </c>
      <c r="DU21" s="62">
        <f t="shared" si="44"/>
        <v>320.06572891923685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13.760000000000002</v>
      </c>
      <c r="FE21" s="13">
        <f>IF('Données projet'!$A$218&gt;35,FE20+FD21-FM20,IF(A21&lt;'Données projet'!$A$218,$FB$205^A21,IF(A21='Données projet'!$A$218,'Données projet'!$B$218,FE20+FD21-FM20)))</f>
        <v>105.78000000000002</v>
      </c>
      <c r="FF21" s="18">
        <f>FE21*VLOOKUP('Données projet'!$B$16,Paramètres!$A$1:$I$89,3,0)*VLOOKUP('Données projet'!$B$16,Paramètres!$A$1:$I$89,5,0)</f>
        <v>84.158568000000017</v>
      </c>
      <c r="FG21" s="14">
        <f t="shared" si="47"/>
        <v>23.15095738591862</v>
      </c>
      <c r="FH21" s="22">
        <f t="shared" si="22"/>
        <v>186.89742338047495</v>
      </c>
      <c r="FI21" s="62">
        <f t="shared" si="23"/>
        <v>465.56409004714163</v>
      </c>
      <c r="FJ21" s="62">
        <f ca="1">AVERAGE(OFFSET($FI$3,0,0,'Données projet'!$E$16+1,1))-AVERAGE(OFFSET($H$3,0,0,'Données projet'!$E$16+1,1))</f>
        <v>370.59298168107364</v>
      </c>
      <c r="FK21" s="62">
        <f t="shared" si="48"/>
        <v>404.61777090709171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3.65</v>
      </c>
      <c r="FZ21" s="13">
        <f>IF('Données projet'!$A$244&gt;35,FZ20+FY21-GH20,IF(A21&lt;'Données projet'!$A$244,$FW$205^A21,IF(A21='Données projet'!$A$244,'Données projet'!$B$244,FZ20+FY21-GH20)))</f>
        <v>47.532490941824946</v>
      </c>
      <c r="GA21" s="18">
        <f>FZ21*VLOOKUP('Données projet'!$B$17,Paramètres!$A$1:$I$89,3,0)*VLOOKUP('Données projet'!$B$17,Paramètres!$A$1:$I$89,5,0)</f>
        <v>45.973425238933089</v>
      </c>
      <c r="GB21" s="14">
        <f t="shared" si="49"/>
        <v>13.56885270616201</v>
      </c>
      <c r="GC21" s="22">
        <f t="shared" si="25"/>
        <v>103.70280075437397</v>
      </c>
      <c r="GD21" s="62">
        <f t="shared" si="26"/>
        <v>382.36946742104067</v>
      </c>
      <c r="GE21" s="62">
        <f ca="1">AVERAGE(OFFSET($GD$3,0,0,'Données projet'!$E$17+1,1))-AVERAGE(OFFSET($H$3,0,0,'Données projet'!$E$17+1,1))</f>
        <v>562.69380557620775</v>
      </c>
      <c r="GF21" s="62">
        <f t="shared" si="50"/>
        <v>294.45557293177131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10</v>
      </c>
      <c r="GU21" s="13">
        <f>IF('Données projet'!$A$270&gt;35,GU20+GT21-HC20,IF(A21&lt;'Données projet'!$A$270,$GR$205^A21,IF(A21='Données projet'!$A$270,'Données projet'!$B$270,GU20+GT21-HC20)))</f>
        <v>108.2051282051282</v>
      </c>
      <c r="GV21" s="18">
        <f>GU21*VLOOKUP('Données projet'!$B$18,Paramètres!$A$1:$I$89,3,0)*VLOOKUP('Données projet'!$B$18,Paramètres!$A$1:$I$89,5,0)</f>
        <v>72.584000000000003</v>
      </c>
      <c r="GW21" s="14">
        <f t="shared" si="51"/>
        <v>20.313795787810648</v>
      </c>
      <c r="GX21" s="22">
        <f t="shared" si="28"/>
        <v>161.79699433043689</v>
      </c>
      <c r="GY21" s="62">
        <f t="shared" si="29"/>
        <v>440.4636609971036</v>
      </c>
      <c r="GZ21" s="62">
        <f ca="1">AVERAGE(OFFSET($GY$3,0,0,'Données projet'!$E$18+1,1))-AVERAGE(OFFSET($H$3,0,0,'Données projet'!$E$18+1,1))</f>
        <v>363.53487081291541</v>
      </c>
      <c r="HA21" s="62">
        <f t="shared" si="52"/>
        <v>308.1559670593121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529.25712986118265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391.59627660422473</v>
      </c>
      <c r="AN22" s="62">
        <f ca="1">AVERAGE(OFFSET($AM$3,0,0,'Données projet'!$E$10+1,1))-AVERAGE(OFFSET($H$3,0,0,'Données projet'!$E$10+1,1))</f>
        <v>495.77338291316386</v>
      </c>
      <c r="AO22" s="62">
        <f t="shared" si="36"/>
        <v>261.95434270986397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12.217948717948715</v>
      </c>
      <c r="BD22" s="13">
        <f>IF('Données projet'!$A$88&gt;35,BD21+BC22-BL21,IF(A22&lt;'Données projet'!$A$88,$BA$205^A22,IF(A22='Données projet'!$A$88,'Données projet'!$B$88,BD21+BC22-BL21)))</f>
        <v>97.341025641025624</v>
      </c>
      <c r="BE22" s="14">
        <f>BD22*VLOOKUP('Données projet'!$B$11,Paramètres!$A$1:$I$89,3,0)*VLOOKUP('Données projet'!$B$11,Paramètres!$A$1:$I$89,5,0)</f>
        <v>55.679066666666657</v>
      </c>
      <c r="BF22" s="14">
        <f t="shared" si="37"/>
        <v>16.071095024358822</v>
      </c>
      <c r="BG22" s="22">
        <f t="shared" si="7"/>
        <v>124.96486494520271</v>
      </c>
      <c r="BH22" s="62">
        <f t="shared" si="8"/>
        <v>404.85375383409155</v>
      </c>
      <c r="BI22" s="62">
        <f ca="1">AVERAGE(OFFSET($BH$3,0,0,'Données projet'!$E$11+1,1))-AVERAGE(OFFSET($H$3,0,0,'Données projet'!$E$11+1,1))</f>
        <v>320.67081032419122</v>
      </c>
      <c r="BJ22" s="62">
        <f t="shared" si="38"/>
        <v>290.51177680335746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4.8310036208236244</v>
      </c>
      <c r="BS22" s="24">
        <f t="shared" si="9"/>
        <v>4.8310036208236244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2">
        <f t="shared" si="11"/>
        <v>413.70176310276202</v>
      </c>
      <c r="CD22" s="62">
        <f ca="1">AVERAGE(OFFSET($CC$3,0,0,'Données projet'!$E$12+1,1))-AVERAGE(OFFSET($H$3,0,0,'Données projet'!$E$12+1,1))</f>
        <v>587.74247372331615</v>
      </c>
      <c r="CE22" s="62">
        <f t="shared" si="40"/>
        <v>306.61893266146666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7.4358974358974361</v>
      </c>
      <c r="CT22" s="13">
        <f>IF('Données projet'!$A$140&gt;35,CT21+CS22-DB21,IF(A22&lt;'Données projet'!$A$140,$CQ$205^A22,IF(A22='Données projet'!$A$140,'Données projet'!$B$140,CT21+CS22-DB21)))</f>
        <v>77.179487179487168</v>
      </c>
      <c r="CU22" s="18">
        <f>CT22*VLOOKUP('Données projet'!$B$13,Paramètres!$A$1:$I$89,3,0)*VLOOKUP('Données projet'!$B$13,Paramètres!$A$1:$I$89,5,0)</f>
        <v>73.443999999999988</v>
      </c>
      <c r="CV22" s="14">
        <f t="shared" si="41"/>
        <v>20.526318854777685</v>
      </c>
      <c r="CW22" s="22">
        <f t="shared" si="13"/>
        <v>163.66497200540442</v>
      </c>
      <c r="CX22" s="62">
        <f t="shared" si="14"/>
        <v>443.55386089429328</v>
      </c>
      <c r="CY22" s="62">
        <f ca="1">AVERAGE(OFFSET($CX$3,0,0,'Données projet'!$E$13+1,1))-AVERAGE(OFFSET($H$3,0,0,'Données projet'!$E$13+1,1))</f>
        <v>406.24139966722936</v>
      </c>
      <c r="CZ22" s="62">
        <f t="shared" si="42"/>
        <v>295.95724296920577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>
        <f>VLOOKUP(A22,'Données projet'!$A$165:$I$185,2,0)</f>
        <v>127.98461538461538</v>
      </c>
      <c r="DM22" s="13">
        <f>VLOOKUP(A22,'Données projet'!$A$165:$I$185,9,0)</f>
        <v>17.024999999999999</v>
      </c>
      <c r="DN22" s="13">
        <f t="array" ref="DN22">INDEX(DM:DM,MIN(IF(ISNUMBER(DM22:DM218),ROW(DM22:DM218),"")))</f>
        <v>17.024999999999999</v>
      </c>
      <c r="DO22" s="13">
        <f>IF('Données projet'!$A$166&gt;35,DO21+DN22-DW21,IF(A22&lt;'Données projet'!$A$166,$DL$205^A22,IF(A22='Données projet'!$A$166,'Données projet'!$B$166,DO21+DN22-DW21)))</f>
        <v>127.98461538461538</v>
      </c>
      <c r="DP22" s="18">
        <f>DO22*VLOOKUP('Données projet'!$B$14,Paramètres!$A$1:$I$89,3,0)*VLOOKUP('Données projet'!$B$14,Paramètres!$A$1:$I$89,5,0)</f>
        <v>76.534800000000004</v>
      </c>
      <c r="DQ22" s="14">
        <f t="shared" si="43"/>
        <v>21.287753590702248</v>
      </c>
      <c r="DR22" s="22">
        <f t="shared" si="16"/>
        <v>170.37428083713976</v>
      </c>
      <c r="DS22" s="62">
        <f t="shared" si="17"/>
        <v>450.26316972602865</v>
      </c>
      <c r="DT22" s="62">
        <f ca="1">AVERAGE(OFFSET($DS$3,0,0,'Données projet'!$E$14+1,1))-AVERAGE(OFFSET($H$3,0,0,'Données projet'!$E$14+1,1))</f>
        <v>356.42779334565381</v>
      </c>
      <c r="DU22" s="62">
        <f t="shared" si="44"/>
        <v>320.06572891923685</v>
      </c>
      <c r="DV22" s="16">
        <f>IF(ISNA(VLOOKUP(A22,'Données projet'!$A$165:$I$185,3,0)),0,VLOOKUP(A22,'Données projet'!$A$165:$I$185,3,0))</f>
        <v>1</v>
      </c>
      <c r="DW22" s="16">
        <f>IF(ISNA(VLOOKUP(A22,'Données projet'!$A$165:$I$185,4,0)),0,VLOOKUP(A22,'Données projet'!$A$165:$I$185,4,0))</f>
        <v>46.53846153846154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0.2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6.3020049680323096</v>
      </c>
      <c r="ED22" s="24">
        <f t="shared" si="18"/>
        <v>6.3020049680323096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13.760000000000002</v>
      </c>
      <c r="FE22" s="13">
        <f>IF('Données projet'!$A$218&gt;35,FE21+FD22-FM21,IF(A22&lt;'Données projet'!$A$218,$FB$205^A22,IF(A22='Données projet'!$A$218,'Données projet'!$B$218,FE21+FD22-FM21)))</f>
        <v>119.54000000000002</v>
      </c>
      <c r="FF22" s="18">
        <f>FE22*VLOOKUP('Données projet'!$B$16,Paramètres!$A$1:$I$89,3,0)*VLOOKUP('Données projet'!$B$16,Paramètres!$A$1:$I$89,5,0)</f>
        <v>95.106024000000019</v>
      </c>
      <c r="FG22" s="14">
        <f t="shared" si="47"/>
        <v>25.792692267172022</v>
      </c>
      <c r="FH22" s="22">
        <f t="shared" si="22"/>
        <v>210.56526416532461</v>
      </c>
      <c r="FI22" s="62">
        <f t="shared" si="23"/>
        <v>490.45415305421346</v>
      </c>
      <c r="FJ22" s="62">
        <f ca="1">AVERAGE(OFFSET($FI$3,0,0,'Données projet'!$E$16+1,1))-AVERAGE(OFFSET($H$3,0,0,'Données projet'!$E$16+1,1))</f>
        <v>370.59298168107364</v>
      </c>
      <c r="FK22" s="62">
        <f t="shared" si="48"/>
        <v>404.61777090709171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3.65</v>
      </c>
      <c r="FZ22" s="13">
        <f>IF('Données projet'!$A$244&gt;35,FZ21+FY22-GH21,IF(A22&lt;'Données projet'!$A$244,$FW$205^A22,IF(A22='Données projet'!$A$244,'Données projet'!$B$244,FZ21+FY22-GH21)))</f>
        <v>58.90561805764559</v>
      </c>
      <c r="GA22" s="18">
        <f>FZ22*VLOOKUP('Données projet'!$B$17,Paramètres!$A$1:$I$89,3,0)*VLOOKUP('Données projet'!$B$17,Paramètres!$A$1:$I$89,5,0)</f>
        <v>56.973513785354818</v>
      </c>
      <c r="GB22" s="14">
        <f t="shared" si="49"/>
        <v>16.400788649238766</v>
      </c>
      <c r="GC22" s="22">
        <f t="shared" si="25"/>
        <v>127.7935767402505</v>
      </c>
      <c r="GD22" s="62">
        <f t="shared" si="26"/>
        <v>407.68246562913936</v>
      </c>
      <c r="GE22" s="62">
        <f ca="1">AVERAGE(OFFSET($GD$3,0,0,'Données projet'!$E$17+1,1))-AVERAGE(OFFSET($H$3,0,0,'Données projet'!$E$17+1,1))</f>
        <v>562.69380557620775</v>
      </c>
      <c r="GF22" s="62">
        <f t="shared" si="50"/>
        <v>294.45557293177131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10</v>
      </c>
      <c r="GU22" s="13">
        <f>IF('Données projet'!$A$270&gt;35,GU21+GT22-HC21,IF(A22&lt;'Données projet'!$A$270,$GR$205^A22,IF(A22='Données projet'!$A$270,'Données projet'!$B$270,GU21+GT22-HC21)))</f>
        <v>118.2051282051282</v>
      </c>
      <c r="GV22" s="18">
        <f>GU22*VLOOKUP('Données projet'!$B$18,Paramètres!$A$1:$I$89,3,0)*VLOOKUP('Données projet'!$B$18,Paramètres!$A$1:$I$89,5,0)</f>
        <v>79.292000000000002</v>
      </c>
      <c r="GW22" s="14">
        <f t="shared" si="51"/>
        <v>21.96398498934548</v>
      </c>
      <c r="GX22" s="22">
        <f t="shared" si="28"/>
        <v>176.35417385644337</v>
      </c>
      <c r="GY22" s="62">
        <f t="shared" si="29"/>
        <v>456.24306274533222</v>
      </c>
      <c r="GZ22" s="62">
        <f ca="1">AVERAGE(OFFSET($GY$3,0,0,'Données projet'!$E$18+1,1))-AVERAGE(OFFSET($H$3,0,0,'Données projet'!$E$18+1,1))</f>
        <v>363.53487081291541</v>
      </c>
      <c r="HA22" s="62">
        <f t="shared" si="52"/>
        <v>308.1559670593121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529.25712986118265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418.774115093408</v>
      </c>
      <c r="AN23" s="62">
        <f ca="1">AVERAGE(OFFSET($AM$3,0,0,'Données projet'!$E$10+1,1))-AVERAGE(OFFSET($H$3,0,0,'Données projet'!$E$10+1,1))</f>
        <v>495.77338291316386</v>
      </c>
      <c r="AO23" s="62">
        <f t="shared" si="36"/>
        <v>261.95434270986397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12.217948717948715</v>
      </c>
      <c r="BD23" s="13">
        <f>IF('Données projet'!$A$88&gt;35,BD22+BC23-BL22,IF(A23&lt;'Données projet'!$A$88,$BA$205^A23,IF(A23='Données projet'!$A$88,'Données projet'!$B$88,BD22+BC23-BL22)))</f>
        <v>109.55897435897434</v>
      </c>
      <c r="BE23" s="14">
        <f>BD23*VLOOKUP('Données projet'!$B$11,Paramètres!$A$1:$I$89,3,0)*VLOOKUP('Données projet'!$B$11,Paramètres!$A$1:$I$89,5,0)</f>
        <v>62.667733333333324</v>
      </c>
      <c r="BF23" s="14">
        <f t="shared" si="37"/>
        <v>17.841038546750244</v>
      </c>
      <c r="BG23" s="22">
        <f t="shared" si="7"/>
        <v>140.21944435781219</v>
      </c>
      <c r="BH23" s="62">
        <f t="shared" si="8"/>
        <v>421.33055546892331</v>
      </c>
      <c r="BI23" s="62">
        <f ca="1">AVERAGE(OFFSET($BH$3,0,0,'Données projet'!$E$11+1,1))-AVERAGE(OFFSET($H$3,0,0,'Données projet'!$E$11+1,1))</f>
        <v>320.67081032419122</v>
      </c>
      <c r="BJ23" s="62">
        <f t="shared" si="38"/>
        <v>290.51177680335746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3.4160354202211498</v>
      </c>
      <c r="BS23" s="24">
        <f t="shared" si="9"/>
        <v>3.4160354202211498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2">
        <f t="shared" si="11"/>
        <v>446.03125418022853</v>
      </c>
      <c r="CD23" s="62">
        <f ca="1">AVERAGE(OFFSET($CC$3,0,0,'Données projet'!$E$12+1,1))-AVERAGE(OFFSET($H$3,0,0,'Données projet'!$E$12+1,1))</f>
        <v>587.74247372331615</v>
      </c>
      <c r="CE23" s="62">
        <f t="shared" si="40"/>
        <v>306.61893266146666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84.615384615384613</v>
      </c>
      <c r="CR23" s="13">
        <f>VLOOKUP(A23,'Données projet'!$A$139:$I$159,9,0)</f>
        <v>7.4358974358974361</v>
      </c>
      <c r="CS23" s="13">
        <f t="array" ref="CS23">INDEX(CR:CR,MIN(IF(ISNUMBER(CR23:CR219),ROW(CR23:CR219),"")))</f>
        <v>7.4358974358974361</v>
      </c>
      <c r="CT23" s="13">
        <f>IF('Données projet'!$A$140&gt;35,CT22+CS23-DB22,IF(A23&lt;'Données projet'!$A$140,$CQ$205^A23,IF(A23='Données projet'!$A$140,'Données projet'!$B$140,CT22+CS23-DB22)))</f>
        <v>84.615384615384599</v>
      </c>
      <c r="CU23" s="18">
        <f>CT23*VLOOKUP('Données projet'!$B$13,Paramètres!$A$1:$I$89,3,0)*VLOOKUP('Données projet'!$B$13,Paramètres!$A$1:$I$89,5,0)</f>
        <v>80.519999999999982</v>
      </c>
      <c r="CV23" s="14">
        <f t="shared" si="41"/>
        <v>22.264278849845564</v>
      </c>
      <c r="CW23" s="22">
        <f t="shared" si="13"/>
        <v>179.01595233014768</v>
      </c>
      <c r="CX23" s="62">
        <f t="shared" si="14"/>
        <v>460.12706344125883</v>
      </c>
      <c r="CY23" s="62">
        <f ca="1">AVERAGE(OFFSET($CX$3,0,0,'Données projet'!$E$13+1,1))-AVERAGE(OFFSET($H$3,0,0,'Données projet'!$E$13+1,1))</f>
        <v>406.24139966722936</v>
      </c>
      <c r="CZ23" s="62">
        <f t="shared" si="42"/>
        <v>295.95724296920577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15.7</v>
      </c>
      <c r="DO23" s="13">
        <f>IF('Données projet'!$A$166&gt;35,DO22+DN23-DW22,IF(A23&lt;'Données projet'!$A$166,$DL$205^A23,IF(A23='Données projet'!$A$166,'Données projet'!$B$166,DO22+DN23-DW22)))</f>
        <v>97.146153846153823</v>
      </c>
      <c r="DP23" s="18">
        <f>DO23*VLOOKUP('Données projet'!$B$14,Paramètres!$A$1:$I$89,3,0)*VLOOKUP('Données projet'!$B$14,Paramètres!$A$1:$I$89,5,0)</f>
        <v>58.093399999999988</v>
      </c>
      <c r="DQ23" s="14">
        <f t="shared" si="43"/>
        <v>16.68531848887627</v>
      </c>
      <c r="DR23" s="22">
        <f t="shared" si="16"/>
        <v>130.23960136812613</v>
      </c>
      <c r="DS23" s="62">
        <f t="shared" si="17"/>
        <v>411.35071247923725</v>
      </c>
      <c r="DT23" s="62">
        <f ca="1">AVERAGE(OFFSET($DS$3,0,0,'Données projet'!$E$14+1,1))-AVERAGE(OFFSET($H$3,0,0,'Données projet'!$E$14+1,1))</f>
        <v>356.42779334565381</v>
      </c>
      <c r="DU23" s="62">
        <f t="shared" si="44"/>
        <v>320.06572891923685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4.4561904479669581</v>
      </c>
      <c r="ED23" s="24">
        <f t="shared" si="18"/>
        <v>4.4561904479669581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133.30000000000001</v>
      </c>
      <c r="FC23" s="13">
        <f>VLOOKUP(A23,'Données projet'!$A$217:$I$237,9,0)</f>
        <v>13.760000000000002</v>
      </c>
      <c r="FD23" s="13">
        <f t="array" ref="FD23">INDEX(FC:FC,MIN(IF(ISNUMBER(FC23:FC219),ROW(FC23:FC219),"")))</f>
        <v>13.760000000000002</v>
      </c>
      <c r="FE23" s="13">
        <f>IF('Données projet'!$A$218&gt;35,FE22+FD23-FM22,IF(A23&lt;'Données projet'!$A$218,$FB$205^A23,IF(A23='Données projet'!$A$218,'Données projet'!$B$218,FE22+FD23-FM22)))</f>
        <v>133.30000000000001</v>
      </c>
      <c r="FF23" s="18">
        <f>FE23*VLOOKUP('Données projet'!$B$16,Paramètres!$A$1:$I$89,3,0)*VLOOKUP('Données projet'!$B$16,Paramètres!$A$1:$I$89,5,0)</f>
        <v>106.05348000000001</v>
      </c>
      <c r="FG23" s="14">
        <f t="shared" si="47"/>
        <v>28.39918570347135</v>
      </c>
      <c r="FH23" s="22">
        <f t="shared" si="22"/>
        <v>234.1717261002126</v>
      </c>
      <c r="FI23" s="62">
        <f t="shared" si="23"/>
        <v>515.28283721132379</v>
      </c>
      <c r="FJ23" s="62">
        <f ca="1">AVERAGE(OFFSET($FI$3,0,0,'Données projet'!$E$16+1,1))-AVERAGE(OFFSET($H$3,0,0,'Données projet'!$E$16+1,1))</f>
        <v>370.59298168107364</v>
      </c>
      <c r="FK23" s="62">
        <f t="shared" si="48"/>
        <v>404.61777090709171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66.5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73</v>
      </c>
      <c r="FX23" s="13">
        <f>VLOOKUP(A23,'Données projet'!$A$243:$I$263,9,0)</f>
        <v>3.65</v>
      </c>
      <c r="FY23" s="13">
        <f t="array" ref="FY23">INDEX(FX:FX,MIN(IF(ISNUMBER(FX23:FX219),ROW(FX23:FX219),"")))</f>
        <v>3.65</v>
      </c>
      <c r="FZ23" s="13">
        <f>IF('Données projet'!$A$244&gt;35,FZ22+FY23-GH22,IF(A23&lt;'Données projet'!$A$244,$FW$205^A23,IF(A23='Données projet'!$A$244,'Données projet'!$B$244,FZ22+FY23-GH22)))</f>
        <v>73</v>
      </c>
      <c r="GA23" s="18">
        <f>FZ23*VLOOKUP('Données projet'!$B$17,Paramètres!$A$1:$I$89,3,0)*VLOOKUP('Données projet'!$B$17,Paramètres!$A$1:$I$89,5,0)</f>
        <v>70.605599999999995</v>
      </c>
      <c r="GB23" s="14">
        <f t="shared" si="49"/>
        <v>19.823773913828742</v>
      </c>
      <c r="GC23" s="22">
        <f t="shared" si="25"/>
        <v>157.49782623325171</v>
      </c>
      <c r="GD23" s="62">
        <f t="shared" si="26"/>
        <v>438.60893734436286</v>
      </c>
      <c r="GE23" s="62">
        <f ca="1">AVERAGE(OFFSET($GD$3,0,0,'Données projet'!$E$17+1,1))-AVERAGE(OFFSET($H$3,0,0,'Données projet'!$E$17+1,1))</f>
        <v>562.69380557620775</v>
      </c>
      <c r="GF23" s="62">
        <f t="shared" si="50"/>
        <v>294.45557293177131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128.2051282051282</v>
      </c>
      <c r="GS23" s="13">
        <f>VLOOKUP(A23,'Données projet'!$A$269:$I$289,9,0)</f>
        <v>10</v>
      </c>
      <c r="GT23" s="13">
        <f t="array" ref="GT23">INDEX(GS:GS,MIN(IF(ISNUMBER(GS23:GS219),ROW(GS23:GS219),"")))</f>
        <v>10</v>
      </c>
      <c r="GU23" s="13">
        <f>IF('Données projet'!$A$270&gt;35,GU22+GT23-HC22,IF(A23&lt;'Données projet'!$A$270,$GR$205^A23,IF(A23='Données projet'!$A$270,'Données projet'!$B$270,GU22+GT23-HC22)))</f>
        <v>128.2051282051282</v>
      </c>
      <c r="GV23" s="18">
        <f>GU23*VLOOKUP('Données projet'!$B$18,Paramètres!$A$1:$I$89,3,0)*VLOOKUP('Données projet'!$B$18,Paramètres!$A$1:$I$89,5,0)</f>
        <v>86</v>
      </c>
      <c r="GW23" s="14">
        <f t="shared" si="51"/>
        <v>23.597983677077231</v>
      </c>
      <c r="GX23" s="22">
        <f t="shared" si="28"/>
        <v>190.88315490424284</v>
      </c>
      <c r="GY23" s="62">
        <f t="shared" si="29"/>
        <v>471.99426601535401</v>
      </c>
      <c r="GZ23" s="62">
        <f ca="1">AVERAGE(OFFSET($GY$3,0,0,'Données projet'!$E$18+1,1))-AVERAGE(OFFSET($H$3,0,0,'Données projet'!$E$18+1,1))</f>
        <v>363.53487081291541</v>
      </c>
      <c r="HA23" s="62">
        <f t="shared" si="52"/>
        <v>308.1559670593121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39.102564102564102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529.25712986118265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67.560480000000013</v>
      </c>
      <c r="AK24" s="14">
        <f t="shared" si="35"/>
        <v>19.066393765425332</v>
      </c>
      <c r="AL24" s="22">
        <f t="shared" si="4"/>
        <v>150.87513847478246</v>
      </c>
      <c r="AM24" s="62">
        <f t="shared" si="5"/>
        <v>433.20847180811575</v>
      </c>
      <c r="AN24" s="62">
        <f ca="1">AVERAGE(OFFSET($AM$3,0,0,'Données projet'!$E$10+1,1))-AVERAGE(OFFSET($H$3,0,0,'Données projet'!$E$10+1,1))</f>
        <v>495.77338291316386</v>
      </c>
      <c r="AO24" s="62">
        <f t="shared" si="36"/>
        <v>261.95434270986397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121.77692307692307</v>
      </c>
      <c r="BB24" s="13">
        <f>VLOOKUP(A24,'Données projet'!$A$87:$I$107,9,0)</f>
        <v>12.217948717948715</v>
      </c>
      <c r="BC24" s="13">
        <f t="array" ref="BC24">INDEX(BB:BB,MIN(IF(ISNUMBER(BB24:BB220),ROW(BB24:BB220),"")))</f>
        <v>12.217948717948715</v>
      </c>
      <c r="BD24" s="13">
        <f>IF('Données projet'!$A$88&gt;35,BD23+BC24-BL23,IF(A24&lt;'Données projet'!$A$88,$BA$205^A24,IF(A24='Données projet'!$A$88,'Données projet'!$B$88,BD23+BC24-BL23)))</f>
        <v>121.77692307692305</v>
      </c>
      <c r="BE24" s="14">
        <f>BD24*VLOOKUP('Données projet'!$B$11,Paramètres!$A$1:$I$89,3,0)*VLOOKUP('Données projet'!$B$11,Paramètres!$A$1:$I$89,5,0)</f>
        <v>69.656399999999991</v>
      </c>
      <c r="BF24" s="14">
        <f t="shared" si="37"/>
        <v>19.588105160347371</v>
      </c>
      <c r="BG24" s="22">
        <f t="shared" si="7"/>
        <v>155.43417982093831</v>
      </c>
      <c r="BH24" s="62">
        <f t="shared" si="8"/>
        <v>437.76751315427163</v>
      </c>
      <c r="BI24" s="62">
        <f ca="1">AVERAGE(OFFSET($BH$3,0,0,'Données projet'!$E$11+1,1))-AVERAGE(OFFSET($H$3,0,0,'Données projet'!$E$11+1,1))</f>
        <v>320.67081032419122</v>
      </c>
      <c r="BJ24" s="62">
        <f t="shared" si="38"/>
        <v>290.51177680335746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2.4155018104118127</v>
      </c>
      <c r="BS24" s="24">
        <f t="shared" si="9"/>
        <v>2.4155018104118127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81.322800000000001</v>
      </c>
      <c r="CA24" s="14">
        <f t="shared" si="39"/>
        <v>22.460306254032997</v>
      </c>
      <c r="CB24" s="22">
        <f t="shared" si="10"/>
        <v>180.75557672577415</v>
      </c>
      <c r="CC24" s="62">
        <f t="shared" si="11"/>
        <v>463.08891005910743</v>
      </c>
      <c r="CD24" s="62">
        <f ca="1">AVERAGE(OFFSET($CC$3,0,0,'Données projet'!$E$12+1,1))-AVERAGE(OFFSET($H$3,0,0,'Données projet'!$E$12+1,1))</f>
        <v>587.74247372331615</v>
      </c>
      <c r="CE24" s="62">
        <f t="shared" si="40"/>
        <v>306.61893266146666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7.5641025641025639</v>
      </c>
      <c r="CT24" s="13">
        <f>IF('Données projet'!$A$140&gt;35,CT23+CS24-DB23,IF(A24&lt;'Données projet'!$A$140,$CQ$205^A24,IF(A24='Données projet'!$A$140,'Données projet'!$B$140,CT23+CS24-DB23)))</f>
        <v>92.179487179487168</v>
      </c>
      <c r="CU24" s="18">
        <f>CT24*VLOOKUP('Données projet'!$B$13,Paramètres!$A$1:$I$89,3,0)*VLOOKUP('Données projet'!$B$13,Paramètres!$A$1:$I$89,5,0)</f>
        <v>87.717999999999989</v>
      </c>
      <c r="CV24" s="14">
        <f t="shared" si="41"/>
        <v>24.014041608889237</v>
      </c>
      <c r="CW24" s="22">
        <f t="shared" si="13"/>
        <v>194.59997246881539</v>
      </c>
      <c r="CX24" s="62">
        <f t="shared" si="14"/>
        <v>476.93330580214871</v>
      </c>
      <c r="CY24" s="62">
        <f ca="1">AVERAGE(OFFSET($CX$3,0,0,'Données projet'!$E$13+1,1))-AVERAGE(OFFSET($H$3,0,0,'Données projet'!$E$13+1,1))</f>
        <v>406.24139966722936</v>
      </c>
      <c r="CZ24" s="62">
        <f t="shared" si="42"/>
        <v>295.95724296920577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15.7</v>
      </c>
      <c r="DO24" s="13">
        <f>IF('Données projet'!$A$166&gt;35,DO23+DN24-DW23,IF(A24&lt;'Données projet'!$A$166,$DL$205^A24,IF(A24='Données projet'!$A$166,'Données projet'!$B$166,DO23+DN24-DW23)))</f>
        <v>112.84615384615383</v>
      </c>
      <c r="DP24" s="18">
        <f>DO24*VLOOKUP('Données projet'!$B$14,Paramètres!$A$1:$I$89,3,0)*VLOOKUP('Données projet'!$B$14,Paramètres!$A$1:$I$89,5,0)</f>
        <v>67.481999999999985</v>
      </c>
      <c r="DQ24" s="14">
        <f t="shared" si="43"/>
        <v>19.046822454976283</v>
      </c>
      <c r="DR24" s="22">
        <f t="shared" si="16"/>
        <v>150.70436577575032</v>
      </c>
      <c r="DS24" s="62">
        <f t="shared" si="17"/>
        <v>433.03769910908363</v>
      </c>
      <c r="DT24" s="62">
        <f ca="1">AVERAGE(OFFSET($DS$3,0,0,'Données projet'!$E$14+1,1))-AVERAGE(OFFSET($H$3,0,0,'Données projet'!$E$14+1,1))</f>
        <v>356.42779334565381</v>
      </c>
      <c r="DU24" s="62">
        <f t="shared" si="44"/>
        <v>320.06572891923685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3.1510024840161552</v>
      </c>
      <c r="ED24" s="24">
        <f t="shared" si="18"/>
        <v>3.1510024840161552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14.739999999999998</v>
      </c>
      <c r="FE24" s="13">
        <f>IF('Données projet'!$A$218&gt;35,FE23+FD24-FM23,IF(A24&lt;'Données projet'!$A$218,$FB$205^A24,IF(A24='Données projet'!$A$218,'Données projet'!$B$218,FE23+FD24-FM23)))</f>
        <v>81.54000000000002</v>
      </c>
      <c r="FF24" s="18">
        <f>FE24*VLOOKUP('Données projet'!$B$16,Paramètres!$A$1:$I$89,3,0)*VLOOKUP('Données projet'!$B$16,Paramètres!$A$1:$I$89,5,0)</f>
        <v>64.873224000000022</v>
      </c>
      <c r="FG24" s="14">
        <f t="shared" si="47"/>
        <v>18.39471758117234</v>
      </c>
      <c r="FH24" s="22">
        <f t="shared" si="22"/>
        <v>145.0249982538752</v>
      </c>
      <c r="FI24" s="62">
        <f t="shared" si="23"/>
        <v>427.35833158720851</v>
      </c>
      <c r="FJ24" s="62">
        <f ca="1">AVERAGE(OFFSET($FI$3,0,0,'Données projet'!$E$16+1,1))-AVERAGE(OFFSET($H$3,0,0,'Données projet'!$E$16+1,1))</f>
        <v>370.59298168107364</v>
      </c>
      <c r="FK24" s="62">
        <f t="shared" si="48"/>
        <v>404.61777090709171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7.2</v>
      </c>
      <c r="FZ24" s="13">
        <f>IF('Données projet'!$A$244&gt;35,FZ23+FY24-GH23,IF(A24&lt;'Données projet'!$A$244,$FW$205^A24,IF(A24='Données projet'!$A$244,'Données projet'!$B$244,FZ23+FY24-GH23)))</f>
        <v>80.2</v>
      </c>
      <c r="GA24" s="18">
        <f>FZ24*VLOOKUP('Données projet'!$B$17,Paramètres!$A$1:$I$89,3,0)*VLOOKUP('Données projet'!$B$17,Paramètres!$A$1:$I$89,5,0)</f>
        <v>77.569440000000014</v>
      </c>
      <c r="GB24" s="14">
        <f t="shared" si="49"/>
        <v>21.541836664136856</v>
      </c>
      <c r="GC24" s="22">
        <f t="shared" si="25"/>
        <v>172.61880685670505</v>
      </c>
      <c r="GD24" s="62">
        <f t="shared" si="26"/>
        <v>454.95214019003834</v>
      </c>
      <c r="GE24" s="62">
        <f ca="1">AVERAGE(OFFSET($GD$3,0,0,'Données projet'!$E$17+1,1))-AVERAGE(OFFSET($H$3,0,0,'Données projet'!$E$17+1,1))</f>
        <v>562.69380557620775</v>
      </c>
      <c r="GF24" s="62">
        <f t="shared" si="50"/>
        <v>294.45557293177131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9.7435897435897427</v>
      </c>
      <c r="GU24" s="13">
        <f>IF('Données projet'!$A$270&gt;35,GU23+GT24-HC23,IF(A24&lt;'Données projet'!$A$270,$GR$205^A24,IF(A24='Données projet'!$A$270,'Données projet'!$B$270,GU23+GT24-HC23)))</f>
        <v>98.846153846153854</v>
      </c>
      <c r="GV24" s="18">
        <f>GU24*VLOOKUP('Données projet'!$B$18,Paramètres!$A$1:$I$89,3,0)*VLOOKUP('Données projet'!$B$18,Paramètres!$A$1:$I$89,5,0)</f>
        <v>66.305999999999997</v>
      </c>
      <c r="GW24" s="14">
        <f t="shared" si="51"/>
        <v>18.753232796006525</v>
      </c>
      <c r="GX24" s="22">
        <f t="shared" si="28"/>
        <v>148.1448304530447</v>
      </c>
      <c r="GY24" s="62">
        <f t="shared" si="29"/>
        <v>430.47816378637799</v>
      </c>
      <c r="GZ24" s="62">
        <f ca="1">AVERAGE(OFFSET($GY$3,0,0,'Données projet'!$E$18+1,1))-AVERAGE(OFFSET($H$3,0,0,'Données projet'!$E$18+1,1))</f>
        <v>363.53487081291541</v>
      </c>
      <c r="HA24" s="62">
        <f t="shared" si="52"/>
        <v>308.1559670593121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529.25712986118265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73.625760000000014</v>
      </c>
      <c r="AK25" s="14">
        <f t="shared" si="35"/>
        <v>20.571198174996731</v>
      </c>
      <c r="AL25" s="22">
        <f t="shared" si="4"/>
        <v>164.05970215478601</v>
      </c>
      <c r="AM25" s="62">
        <f t="shared" si="5"/>
        <v>447.61525771034155</v>
      </c>
      <c r="AN25" s="62">
        <f ca="1">AVERAGE(OFFSET($AM$3,0,0,'Données projet'!$E$10+1,1))-AVERAGE(OFFSET($H$3,0,0,'Données projet'!$E$10+1,1))</f>
        <v>495.77338291316386</v>
      </c>
      <c r="AO25" s="62">
        <f t="shared" si="36"/>
        <v>261.95434270986397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13.59230769230769</v>
      </c>
      <c r="BD25" s="13">
        <f>IF('Données projet'!$A$88&gt;35,BD24+BC25-BL24,IF(A25&lt;'Données projet'!$A$88,$BA$205^A25,IF(A25='Données projet'!$A$88,'Données projet'!$B$88,BD24+BC25-BL24)))</f>
        <v>135.36923076923074</v>
      </c>
      <c r="BE25" s="14">
        <f>BD25*VLOOKUP('Données projet'!$B$11,Paramètres!$A$1:$I$89,3,0)*VLOOKUP('Données projet'!$B$11,Paramètres!$A$1:$I$89,5,0)</f>
        <v>77.43119999999999</v>
      </c>
      <c r="BF25" s="14">
        <f t="shared" si="37"/>
        <v>21.507911139085202</v>
      </c>
      <c r="BG25" s="22">
        <f t="shared" si="7"/>
        <v>172.31895190057335</v>
      </c>
      <c r="BH25" s="62">
        <f t="shared" si="8"/>
        <v>455.87450745612887</v>
      </c>
      <c r="BI25" s="62">
        <f ca="1">AVERAGE(OFFSET($BH$3,0,0,'Données projet'!$E$11+1,1))-AVERAGE(OFFSET($H$3,0,0,'Données projet'!$E$11+1,1))</f>
        <v>320.67081032419122</v>
      </c>
      <c r="BJ25" s="62">
        <f t="shared" si="38"/>
        <v>290.51177680335746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1.7080177101105751</v>
      </c>
      <c r="BS25" s="24">
        <f t="shared" si="9"/>
        <v>1.7080177101105751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88.62360000000001</v>
      </c>
      <c r="CA25" s="14">
        <f t="shared" si="39"/>
        <v>24.232973298845781</v>
      </c>
      <c r="CB25" s="22">
        <f t="shared" si="10"/>
        <v>196.55853182882308</v>
      </c>
      <c r="CC25" s="62">
        <f t="shared" si="11"/>
        <v>480.11408738437865</v>
      </c>
      <c r="CD25" s="62">
        <f ca="1">AVERAGE(OFFSET($CC$3,0,0,'Données projet'!$E$12+1,1))-AVERAGE(OFFSET($H$3,0,0,'Données projet'!$E$12+1,1))</f>
        <v>587.74247372331615</v>
      </c>
      <c r="CE25" s="62">
        <f t="shared" si="40"/>
        <v>306.61893266146666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7.5641025641025639</v>
      </c>
      <c r="CT25" s="13">
        <f>IF('Données projet'!$A$140&gt;35,CT24+CS25-DB24,IF(A25&lt;'Données projet'!$A$140,$CQ$205^A25,IF(A25='Données projet'!$A$140,'Données projet'!$B$140,CT24+CS25-DB24)))</f>
        <v>99.743589743589737</v>
      </c>
      <c r="CU25" s="18">
        <f>CT25*VLOOKUP('Données projet'!$B$13,Paramètres!$A$1:$I$89,3,0)*VLOOKUP('Données projet'!$B$13,Paramètres!$A$1:$I$89,5,0)</f>
        <v>94.915999999999997</v>
      </c>
      <c r="CV25" s="14">
        <f t="shared" si="41"/>
        <v>25.747151184602235</v>
      </c>
      <c r="CW25" s="22">
        <f t="shared" si="13"/>
        <v>210.1549883131822</v>
      </c>
      <c r="CX25" s="62">
        <f t="shared" si="14"/>
        <v>493.71054386873777</v>
      </c>
      <c r="CY25" s="62">
        <f ca="1">AVERAGE(OFFSET($CX$3,0,0,'Données projet'!$E$13+1,1))-AVERAGE(OFFSET($H$3,0,0,'Données projet'!$E$13+1,1))</f>
        <v>406.24139966722936</v>
      </c>
      <c r="CZ25" s="62">
        <f t="shared" si="42"/>
        <v>295.95724296920577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15.7</v>
      </c>
      <c r="DO25" s="13">
        <f>IF('Données projet'!$A$166&gt;35,DO24+DN25-DW24,IF(A25&lt;'Données projet'!$A$166,$DL$205^A25,IF(A25='Données projet'!$A$166,'Données projet'!$B$166,DO24+DN25-DW24)))</f>
        <v>128.54615384615383</v>
      </c>
      <c r="DP25" s="18">
        <f>DO25*VLOOKUP('Données projet'!$B$14,Paramètres!$A$1:$I$89,3,0)*VLOOKUP('Données projet'!$B$14,Paramètres!$A$1:$I$89,5,0)</f>
        <v>76.870599999999996</v>
      </c>
      <c r="DQ25" s="14">
        <f t="shared" si="43"/>
        <v>21.370261683634599</v>
      </c>
      <c r="DR25" s="22">
        <f t="shared" si="16"/>
        <v>171.10283409899691</v>
      </c>
      <c r="DS25" s="62">
        <f t="shared" si="17"/>
        <v>454.65838965455248</v>
      </c>
      <c r="DT25" s="62">
        <f ca="1">AVERAGE(OFFSET($DS$3,0,0,'Données projet'!$E$14+1,1))-AVERAGE(OFFSET($H$3,0,0,'Données projet'!$E$14+1,1))</f>
        <v>356.42779334565381</v>
      </c>
      <c r="DU25" s="62">
        <f t="shared" si="44"/>
        <v>320.06572891923685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2.2280952239834795</v>
      </c>
      <c r="ED25" s="24">
        <f t="shared" si="18"/>
        <v>2.2280952239834795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14.739999999999998</v>
      </c>
      <c r="FE25" s="13">
        <f>IF('Données projet'!$A$218&gt;35,FE24+FD25-FM24,IF(A25&lt;'Données projet'!$A$218,$FB$205^A25,IF(A25='Données projet'!$A$218,'Données projet'!$B$218,FE24+FD25-FM24)))</f>
        <v>96.280000000000015</v>
      </c>
      <c r="FF25" s="18">
        <f>FE25*VLOOKUP('Données projet'!$B$16,Paramètres!$A$1:$I$89,3,0)*VLOOKUP('Données projet'!$B$16,Paramètres!$A$1:$I$89,5,0)</f>
        <v>76.600368000000017</v>
      </c>
      <c r="FG25" s="14">
        <f t="shared" si="47"/>
        <v>21.30386735026233</v>
      </c>
      <c r="FH25" s="22">
        <f t="shared" si="22"/>
        <v>170.51654323504027</v>
      </c>
      <c r="FI25" s="62">
        <f t="shared" si="23"/>
        <v>454.07209879059582</v>
      </c>
      <c r="FJ25" s="62">
        <f ca="1">AVERAGE(OFFSET($FI$3,0,0,'Données projet'!$E$16+1,1))-AVERAGE(OFFSET($H$3,0,0,'Données projet'!$E$16+1,1))</f>
        <v>370.59298168107364</v>
      </c>
      <c r="FK25" s="62">
        <f t="shared" si="48"/>
        <v>404.61777090709171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7.2</v>
      </c>
      <c r="FZ25" s="13">
        <f>IF('Données projet'!$A$244&gt;35,FZ24+FY25-GH24,IF(A25&lt;'Données projet'!$A$244,$FW$205^A25,IF(A25='Données projet'!$A$244,'Données projet'!$B$244,FZ24+FY25-GH24)))</f>
        <v>87.4</v>
      </c>
      <c r="GA25" s="18">
        <f>FZ25*VLOOKUP('Données projet'!$B$17,Paramètres!$A$1:$I$89,3,0)*VLOOKUP('Données projet'!$B$17,Paramètres!$A$1:$I$89,5,0)</f>
        <v>84.533280000000005</v>
      </c>
      <c r="GB25" s="14">
        <f t="shared" si="49"/>
        <v>23.242014012893971</v>
      </c>
      <c r="GC25" s="22">
        <f t="shared" si="25"/>
        <v>187.70863707245701</v>
      </c>
      <c r="GD25" s="62">
        <f t="shared" si="26"/>
        <v>471.26419262801255</v>
      </c>
      <c r="GE25" s="62">
        <f ca="1">AVERAGE(OFFSET($GD$3,0,0,'Données projet'!$E$17+1,1))-AVERAGE(OFFSET($H$3,0,0,'Données projet'!$E$17+1,1))</f>
        <v>562.69380557620775</v>
      </c>
      <c r="GF25" s="62">
        <f t="shared" si="50"/>
        <v>294.45557293177131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9.7435897435897427</v>
      </c>
      <c r="GU25" s="13">
        <f>IF('Données projet'!$A$270&gt;35,GU24+GT25-HC24,IF(A25&lt;'Données projet'!$A$270,$GR$205^A25,IF(A25='Données projet'!$A$270,'Données projet'!$B$270,GU24+GT25-HC24)))</f>
        <v>108.58974358974359</v>
      </c>
      <c r="GV25" s="18">
        <f>GU25*VLOOKUP('Données projet'!$B$18,Paramètres!$A$1:$I$89,3,0)*VLOOKUP('Données projet'!$B$18,Paramètres!$A$1:$I$89,5,0)</f>
        <v>72.841999999999999</v>
      </c>
      <c r="GW25" s="14">
        <f t="shared" si="51"/>
        <v>20.377583329250708</v>
      </c>
      <c r="GX25" s="22">
        <f t="shared" si="28"/>
        <v>162.35744096511164</v>
      </c>
      <c r="GY25" s="62">
        <f t="shared" si="29"/>
        <v>445.91299652066721</v>
      </c>
      <c r="GZ25" s="62">
        <f ca="1">AVERAGE(OFFSET($GY$3,0,0,'Données projet'!$E$18+1,1))-AVERAGE(OFFSET($H$3,0,0,'Données projet'!$E$18+1,1))</f>
        <v>363.53487081291541</v>
      </c>
      <c r="HA25" s="62">
        <f t="shared" si="52"/>
        <v>308.1559670593121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529.25712986118265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79.691040000000015</v>
      </c>
      <c r="AK26" s="14">
        <f t="shared" si="35"/>
        <v>22.061624798490286</v>
      </c>
      <c r="AL26" s="22">
        <f t="shared" si="4"/>
        <v>177.21922452403726</v>
      </c>
      <c r="AM26" s="62">
        <f t="shared" si="5"/>
        <v>461.99700230181503</v>
      </c>
      <c r="AN26" s="62">
        <f ca="1">AVERAGE(OFFSET($AM$3,0,0,'Données projet'!$E$10+1,1))-AVERAGE(OFFSET($H$3,0,0,'Données projet'!$E$10+1,1))</f>
        <v>495.77338291316386</v>
      </c>
      <c r="AO26" s="62">
        <f t="shared" si="36"/>
        <v>261.95434270986397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13.59230769230769</v>
      </c>
      <c r="BD26" s="13">
        <f>IF('Données projet'!$A$88&gt;35,BD25+BC26-BL25,IF(A26&lt;'Données projet'!$A$88,$BA$205^A26,IF(A26='Données projet'!$A$88,'Données projet'!$B$88,BD25+BC26-BL25)))</f>
        <v>148.96153846153842</v>
      </c>
      <c r="BE26" s="14">
        <f>BD26*VLOOKUP('Données projet'!$B$11,Paramètres!$A$1:$I$89,3,0)*VLOOKUP('Données projet'!$B$11,Paramètres!$A$1:$I$89,5,0)</f>
        <v>85.205999999999989</v>
      </c>
      <c r="BF26" s="14">
        <f t="shared" si="37"/>
        <v>23.405370161100066</v>
      </c>
      <c r="BG26" s="22">
        <f t="shared" si="7"/>
        <v>189.16480303058259</v>
      </c>
      <c r="BH26" s="62">
        <f t="shared" si="8"/>
        <v>473.94258080836039</v>
      </c>
      <c r="BI26" s="62">
        <f ca="1">AVERAGE(OFFSET($BH$3,0,0,'Données projet'!$E$11+1,1))-AVERAGE(OFFSET($H$3,0,0,'Données projet'!$E$11+1,1))</f>
        <v>320.67081032419122</v>
      </c>
      <c r="BJ26" s="62">
        <f t="shared" si="38"/>
        <v>290.51177680335746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1.2077509052059066</v>
      </c>
      <c r="BS26" s="24">
        <f t="shared" si="9"/>
        <v>1.2077509052059066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95.92440000000002</v>
      </c>
      <c r="CA26" s="14">
        <f t="shared" si="39"/>
        <v>25.988703240473907</v>
      </c>
      <c r="CB26" s="22">
        <f t="shared" si="10"/>
        <v>212.33198814382544</v>
      </c>
      <c r="CC26" s="62">
        <f t="shared" si="11"/>
        <v>497.10976592160318</v>
      </c>
      <c r="CD26" s="62">
        <f ca="1">AVERAGE(OFFSET($CC$3,0,0,'Données projet'!$E$12+1,1))-AVERAGE(OFFSET($H$3,0,0,'Données projet'!$E$12+1,1))</f>
        <v>587.74247372331615</v>
      </c>
      <c r="CE26" s="62">
        <f t="shared" si="40"/>
        <v>306.61893266146666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7.5641025641025639</v>
      </c>
      <c r="CT26" s="13">
        <f>IF('Données projet'!$A$140&gt;35,CT25+CS26-DB25,IF(A26&lt;'Données projet'!$A$140,$CQ$205^A26,IF(A26='Données projet'!$A$140,'Données projet'!$B$140,CT25+CS26-DB25)))</f>
        <v>107.30769230769231</v>
      </c>
      <c r="CU26" s="18">
        <f>CT26*VLOOKUP('Données projet'!$B$13,Paramètres!$A$1:$I$89,3,0)*VLOOKUP('Données projet'!$B$13,Paramètres!$A$1:$I$89,5,0)</f>
        <v>102.114</v>
      </c>
      <c r="CV26" s="14">
        <f t="shared" si="41"/>
        <v>27.465014076024996</v>
      </c>
      <c r="CW26" s="22">
        <f t="shared" si="13"/>
        <v>225.68344951574352</v>
      </c>
      <c r="CX26" s="62">
        <f t="shared" si="14"/>
        <v>510.46122729352129</v>
      </c>
      <c r="CY26" s="62">
        <f ca="1">AVERAGE(OFFSET($CX$3,0,0,'Données projet'!$E$13+1,1))-AVERAGE(OFFSET($H$3,0,0,'Données projet'!$E$13+1,1))</f>
        <v>406.24139966722936</v>
      </c>
      <c r="CZ26" s="62">
        <f t="shared" si="42"/>
        <v>295.95724296920577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15.7</v>
      </c>
      <c r="DO26" s="13">
        <f>IF('Données projet'!$A$166&gt;35,DO25+DN26-DW25,IF(A26&lt;'Données projet'!$A$166,$DL$205^A26,IF(A26='Données projet'!$A$166,'Données projet'!$B$166,DO25+DN26-DW25)))</f>
        <v>144.24615384615382</v>
      </c>
      <c r="DP26" s="18">
        <f>DO26*VLOOKUP('Données projet'!$B$14,Paramètres!$A$1:$I$89,3,0)*VLOOKUP('Données projet'!$B$14,Paramètres!$A$1:$I$89,5,0)</f>
        <v>86.259199999999993</v>
      </c>
      <c r="DQ26" s="14">
        <f t="shared" si="43"/>
        <v>23.660817147545782</v>
      </c>
      <c r="DR26" s="22">
        <f t="shared" si="16"/>
        <v>191.44402986530886</v>
      </c>
      <c r="DS26" s="62">
        <f t="shared" si="17"/>
        <v>476.22180764308666</v>
      </c>
      <c r="DT26" s="62">
        <f ca="1">AVERAGE(OFFSET($DS$3,0,0,'Données projet'!$E$14+1,1))-AVERAGE(OFFSET($H$3,0,0,'Données projet'!$E$14+1,1))</f>
        <v>356.42779334565381</v>
      </c>
      <c r="DU26" s="62">
        <f t="shared" si="44"/>
        <v>320.06572891923685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1.5755012420080778</v>
      </c>
      <c r="ED26" s="24">
        <f t="shared" si="18"/>
        <v>1.5755012420080778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14.739999999999998</v>
      </c>
      <c r="FE26" s="13">
        <f>IF('Données projet'!$A$218&gt;35,FE25+FD26-FM25,IF(A26&lt;'Données projet'!$A$218,$FB$205^A26,IF(A26='Données projet'!$A$218,'Données projet'!$B$218,FE25+FD26-FM25)))</f>
        <v>111.02000000000001</v>
      </c>
      <c r="FF26" s="18">
        <f>FE26*VLOOKUP('Données projet'!$B$16,Paramètres!$A$1:$I$89,3,0)*VLOOKUP('Données projet'!$B$16,Paramètres!$A$1:$I$89,5,0)</f>
        <v>88.327512000000013</v>
      </c>
      <c r="FG26" s="14">
        <f t="shared" si="47"/>
        <v>24.161421859810599</v>
      </c>
      <c r="FH26" s="22">
        <f t="shared" si="22"/>
        <v>195.91822647250351</v>
      </c>
      <c r="FI26" s="62">
        <f t="shared" si="23"/>
        <v>480.69600425028125</v>
      </c>
      <c r="FJ26" s="62">
        <f ca="1">AVERAGE(OFFSET($FI$3,0,0,'Données projet'!$E$16+1,1))-AVERAGE(OFFSET($H$3,0,0,'Données projet'!$E$16+1,1))</f>
        <v>370.59298168107364</v>
      </c>
      <c r="FK26" s="62">
        <f t="shared" si="48"/>
        <v>404.61777090709171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7.2</v>
      </c>
      <c r="FZ26" s="13">
        <f>IF('Données projet'!$A$244&gt;35,FZ25+FY26-GH25,IF(A26&lt;'Données projet'!$A$244,$FW$205^A26,IF(A26='Données projet'!$A$244,'Données projet'!$B$244,FZ25+FY26-GH25)))</f>
        <v>94.600000000000009</v>
      </c>
      <c r="GA26" s="18">
        <f>FZ26*VLOOKUP('Données projet'!$B$17,Paramètres!$A$1:$I$89,3,0)*VLOOKUP('Données projet'!$B$17,Paramètres!$A$1:$I$89,5,0)</f>
        <v>91.49712000000001</v>
      </c>
      <c r="GB26" s="14">
        <f t="shared" si="49"/>
        <v>24.925946867642839</v>
      </c>
      <c r="GC26" s="22">
        <f t="shared" si="25"/>
        <v>202.77017479447795</v>
      </c>
      <c r="GD26" s="62">
        <f t="shared" si="26"/>
        <v>487.54795257225572</v>
      </c>
      <c r="GE26" s="62">
        <f ca="1">AVERAGE(OFFSET($GD$3,0,0,'Données projet'!$E$17+1,1))-AVERAGE(OFFSET($H$3,0,0,'Données projet'!$E$17+1,1))</f>
        <v>562.69380557620775</v>
      </c>
      <c r="GF26" s="62">
        <f t="shared" si="50"/>
        <v>294.45557293177131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9.7435897435897427</v>
      </c>
      <c r="GU26" s="13">
        <f>IF('Données projet'!$A$270&gt;35,GU25+GT26-HC25,IF(A26&lt;'Données projet'!$A$270,$GR$205^A26,IF(A26='Données projet'!$A$270,'Données projet'!$B$270,GU25+GT26-HC25)))</f>
        <v>118.33333333333333</v>
      </c>
      <c r="GV26" s="18">
        <f>GU26*VLOOKUP('Données projet'!$B$18,Paramètres!$A$1:$I$89,3,0)*VLOOKUP('Données projet'!$B$18,Paramètres!$A$1:$I$89,5,0)</f>
        <v>79.378</v>
      </c>
      <c r="GW26" s="14">
        <f t="shared" si="51"/>
        <v>21.985032877161519</v>
      </c>
      <c r="GX26" s="22">
        <f t="shared" si="28"/>
        <v>176.54061559438961</v>
      </c>
      <c r="GY26" s="62">
        <f t="shared" si="29"/>
        <v>461.31839337216741</v>
      </c>
      <c r="GZ26" s="62">
        <f ca="1">AVERAGE(OFFSET($GY$3,0,0,'Données projet'!$E$18+1,1))-AVERAGE(OFFSET($H$3,0,0,'Données projet'!$E$18+1,1))</f>
        <v>363.53487081291541</v>
      </c>
      <c r="HA26" s="62">
        <f t="shared" si="52"/>
        <v>308.1559670593121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529.25712986118265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85.756320000000017</v>
      </c>
      <c r="AK27" s="14">
        <f t="shared" si="35"/>
        <v>23.538892352228263</v>
      </c>
      <c r="AL27" s="22">
        <f t="shared" si="4"/>
        <v>190.35582818013089</v>
      </c>
      <c r="AM27" s="62">
        <f t="shared" si="5"/>
        <v>476.35582818013086</v>
      </c>
      <c r="AN27" s="62">
        <f ca="1">AVERAGE(OFFSET($AM$3,0,0,'Données projet'!$E$10+1,1))-AVERAGE(OFFSET($H$3,0,0,'Données projet'!$E$10+1,1))</f>
        <v>495.77338291316386</v>
      </c>
      <c r="AO27" s="62">
        <f t="shared" si="36"/>
        <v>261.95434270986397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162.55384615384614</v>
      </c>
      <c r="BB27" s="13">
        <f>VLOOKUP(A27,'Données projet'!$A$87:$I$107,9,0)</f>
        <v>13.59230769230769</v>
      </c>
      <c r="BC27" s="13">
        <f t="array" ref="BC27">INDEX(BB:BB,MIN(IF(ISNUMBER(BB27:BB223),ROW(BB27:BB223),"")))</f>
        <v>13.59230769230769</v>
      </c>
      <c r="BD27" s="13">
        <f>IF('Données projet'!$A$88&gt;35,BD26+BC27-BL26,IF(A27&lt;'Données projet'!$A$88,$BA$205^A27,IF(A27='Données projet'!$A$88,'Données projet'!$B$88,BD26+BC27-BL26)))</f>
        <v>162.55384615384611</v>
      </c>
      <c r="BE27" s="14">
        <f>BD27*VLOOKUP('Données projet'!$B$11,Paramètres!$A$1:$I$89,3,0)*VLOOKUP('Données projet'!$B$11,Paramètres!$A$1:$I$89,5,0)</f>
        <v>92.980799999999974</v>
      </c>
      <c r="BF27" s="14">
        <f t="shared" si="37"/>
        <v>25.282753227697523</v>
      </c>
      <c r="BG27" s="22">
        <f t="shared" si="7"/>
        <v>205.97568853823978</v>
      </c>
      <c r="BH27" s="62">
        <f t="shared" si="8"/>
        <v>491.97568853823975</v>
      </c>
      <c r="BI27" s="62">
        <f ca="1">AVERAGE(OFFSET($BH$3,0,0,'Données projet'!$E$11+1,1))-AVERAGE(OFFSET($H$3,0,0,'Données projet'!$E$11+1,1))</f>
        <v>320.67081032419122</v>
      </c>
      <c r="BJ27" s="62">
        <f t="shared" si="38"/>
        <v>290.51177680335746</v>
      </c>
      <c r="BK27" s="16">
        <f>IF(ISNA(VLOOKUP(A27,'Données projet'!$A$87:$I$107,3,0)),0,VLOOKUP(A27,'Données projet'!$A$87:$I$107,3,0))</f>
        <v>2</v>
      </c>
      <c r="BL27" s="16">
        <f>IF(ISNA(VLOOKUP(A27,'Données projet'!$A$87:$I$107,4,0)),0,VLOOKUP(A27,'Données projet'!$A$87:$I$107,4,0))</f>
        <v>36.723076923076924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0.5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12.745618229516252</v>
      </c>
      <c r="BS27" s="24">
        <f t="shared" si="9"/>
        <v>12.745618229516252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103.22520000000003</v>
      </c>
      <c r="CA27" s="14">
        <f t="shared" si="39"/>
        <v>27.728931732779014</v>
      </c>
      <c r="CB27" s="22">
        <f t="shared" si="10"/>
        <v>228.07844610125684</v>
      </c>
      <c r="CC27" s="62">
        <f t="shared" si="11"/>
        <v>514.07844610125687</v>
      </c>
      <c r="CD27" s="62">
        <f ca="1">AVERAGE(OFFSET($CC$3,0,0,'Données projet'!$E$12+1,1))-AVERAGE(OFFSET($H$3,0,0,'Données projet'!$E$12+1,1))</f>
        <v>587.74247372331615</v>
      </c>
      <c r="CE27" s="62">
        <f t="shared" si="40"/>
        <v>306.61893266146666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7.5641025641025639</v>
      </c>
      <c r="CT27" s="13">
        <f>IF('Données projet'!$A$140&gt;35,CT26+CS27-DB26,IF(A27&lt;'Données projet'!$A$140,$CQ$205^A27,IF(A27='Données projet'!$A$140,'Données projet'!$B$140,CT26+CS27-DB26)))</f>
        <v>114.87179487179488</v>
      </c>
      <c r="CU27" s="18">
        <f>CT27*VLOOKUP('Données projet'!$B$13,Paramètres!$A$1:$I$89,3,0)*VLOOKUP('Données projet'!$B$13,Paramètres!$A$1:$I$89,5,0)</f>
        <v>109.31200000000001</v>
      </c>
      <c r="CV27" s="14">
        <f t="shared" si="41"/>
        <v>29.168827262472544</v>
      </c>
      <c r="CW27" s="22">
        <f t="shared" si="13"/>
        <v>241.18744081547302</v>
      </c>
      <c r="CX27" s="62">
        <f t="shared" si="14"/>
        <v>527.187440815473</v>
      </c>
      <c r="CY27" s="62">
        <f ca="1">AVERAGE(OFFSET($CX$3,0,0,'Données projet'!$E$13+1,1))-AVERAGE(OFFSET($H$3,0,0,'Données projet'!$E$13+1,1))</f>
        <v>406.24139966722936</v>
      </c>
      <c r="CZ27" s="62">
        <f t="shared" si="42"/>
        <v>295.95724296920577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>
        <f>VLOOKUP(A27,'Données projet'!$A$165:$I$185,2,0)</f>
        <v>159.94615384615383</v>
      </c>
      <c r="DM27" s="13">
        <f>VLOOKUP(A27,'Données projet'!$A$165:$I$185,9,0)</f>
        <v>15.7</v>
      </c>
      <c r="DN27" s="13">
        <f t="array" ref="DN27">INDEX(DM:DM,MIN(IF(ISNUMBER(DM27:DM223),ROW(DM27:DM223),"")))</f>
        <v>15.7</v>
      </c>
      <c r="DO27" s="13">
        <f>IF('Données projet'!$A$166&gt;35,DO26+DN27-DW26,IF(A27&lt;'Données projet'!$A$166,$DL$205^A27,IF(A27='Données projet'!$A$166,'Données projet'!$B$166,DO26+DN27-DW26)))</f>
        <v>159.94615384615381</v>
      </c>
      <c r="DP27" s="18">
        <f>DO27*VLOOKUP('Données projet'!$B$14,Paramètres!$A$1:$I$89,3,0)*VLOOKUP('Données projet'!$B$14,Paramètres!$A$1:$I$89,5,0)</f>
        <v>95.647799999999989</v>
      </c>
      <c r="DQ27" s="14">
        <f t="shared" si="43"/>
        <v>25.922476046044615</v>
      </c>
      <c r="DR27" s="22">
        <f t="shared" si="16"/>
        <v>211.73489744686097</v>
      </c>
      <c r="DS27" s="62">
        <f t="shared" si="17"/>
        <v>497.73489744686094</v>
      </c>
      <c r="DT27" s="62">
        <f ca="1">AVERAGE(OFFSET($DS$3,0,0,'Données projet'!$E$14+1,1))-AVERAGE(OFFSET($H$3,0,0,'Données projet'!$E$14+1,1))</f>
        <v>356.42779334565381</v>
      </c>
      <c r="DU27" s="62">
        <f t="shared" si="44"/>
        <v>320.06572891923685</v>
      </c>
      <c r="DV27" s="16">
        <f>IF(ISNA(VLOOKUP(A27,'Données projet'!$A$165:$I$185,3,0)),0,VLOOKUP(A27,'Données projet'!$A$165:$I$185,3,0))</f>
        <v>2</v>
      </c>
      <c r="DW27" s="16">
        <f>IF(ISNA(VLOOKUP(A27,'Données projet'!$A$165:$I$185,4,0)),0,VLOOKUP(A27,'Données projet'!$A$165:$I$185,4,0))</f>
        <v>40.41538461538461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0.5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14.796169141761059</v>
      </c>
      <c r="ED27" s="24">
        <f t="shared" si="18"/>
        <v>14.796169141761059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14.739999999999998</v>
      </c>
      <c r="FE27" s="13">
        <f>IF('Données projet'!$A$218&gt;35,FE26+FD27-FM26,IF(A27&lt;'Données projet'!$A$218,$FB$205^A27,IF(A27='Données projet'!$A$218,'Données projet'!$B$218,FE26+FD27-FM26)))</f>
        <v>125.76</v>
      </c>
      <c r="FF27" s="18">
        <f>FE27*VLOOKUP('Données projet'!$B$16,Paramètres!$A$1:$I$89,3,0)*VLOOKUP('Données projet'!$B$16,Paramètres!$A$1:$I$89,5,0)</f>
        <v>100.05465600000001</v>
      </c>
      <c r="FG27" s="14">
        <f t="shared" si="47"/>
        <v>26.97501817255089</v>
      </c>
      <c r="FH27" s="22">
        <f t="shared" si="22"/>
        <v>221.24334918385946</v>
      </c>
      <c r="FI27" s="62">
        <f t="shared" si="23"/>
        <v>507.24334918385944</v>
      </c>
      <c r="FJ27" s="62">
        <f ca="1">AVERAGE(OFFSET($FI$3,0,0,'Données projet'!$E$16+1,1))-AVERAGE(OFFSET($H$3,0,0,'Données projet'!$E$16+1,1))</f>
        <v>370.59298168107364</v>
      </c>
      <c r="FK27" s="62">
        <f t="shared" si="48"/>
        <v>404.61777090709171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7.2</v>
      </c>
      <c r="FZ27" s="13">
        <f>IF('Données projet'!$A$244&gt;35,FZ26+FY27-GH26,IF(A27&lt;'Données projet'!$A$244,$FW$205^A27,IF(A27='Données projet'!$A$244,'Données projet'!$B$244,FZ26+FY27-GH26)))</f>
        <v>101.80000000000001</v>
      </c>
      <c r="GA27" s="18">
        <f>FZ27*VLOOKUP('Données projet'!$B$17,Paramètres!$A$1:$I$89,3,0)*VLOOKUP('Données projet'!$B$17,Paramètres!$A$1:$I$89,5,0)</f>
        <v>98.460960000000014</v>
      </c>
      <c r="GB27" s="14">
        <f t="shared" si="49"/>
        <v>26.595012174033403</v>
      </c>
      <c r="GC27" s="22">
        <f t="shared" si="25"/>
        <v>217.80581820310817</v>
      </c>
      <c r="GD27" s="62">
        <f t="shared" si="26"/>
        <v>503.80581820310817</v>
      </c>
      <c r="GE27" s="62">
        <f ca="1">AVERAGE(OFFSET($GD$3,0,0,'Données projet'!$E$17+1,1))-AVERAGE(OFFSET($H$3,0,0,'Données projet'!$E$17+1,1))</f>
        <v>562.69380557620775</v>
      </c>
      <c r="GF27" s="62">
        <f t="shared" si="50"/>
        <v>294.45557293177131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9.7435897435897427</v>
      </c>
      <c r="GU27" s="13">
        <f>IF('Données projet'!$A$270&gt;35,GU26+GT27-HC26,IF(A27&lt;'Données projet'!$A$270,$GR$205^A27,IF(A27='Données projet'!$A$270,'Données projet'!$B$270,GU26+GT27-HC26)))</f>
        <v>128.07692307692307</v>
      </c>
      <c r="GV27" s="18">
        <f>GU27*VLOOKUP('Données projet'!$B$18,Paramètres!$A$1:$I$89,3,0)*VLOOKUP('Données projet'!$B$18,Paramètres!$A$1:$I$89,5,0)</f>
        <v>85.914000000000001</v>
      </c>
      <c r="GW27" s="14">
        <f t="shared" si="51"/>
        <v>23.577131284709758</v>
      </c>
      <c r="GX27" s="22">
        <f t="shared" si="28"/>
        <v>190.69705365420279</v>
      </c>
      <c r="GY27" s="62">
        <f t="shared" si="29"/>
        <v>476.69705365420282</v>
      </c>
      <c r="GZ27" s="62">
        <f ca="1">AVERAGE(OFFSET($GY$3,0,0,'Données projet'!$E$18+1,1))-AVERAGE(OFFSET($H$3,0,0,'Données projet'!$E$18+1,1))</f>
        <v>363.53487081291541</v>
      </c>
      <c r="HA27" s="62">
        <f t="shared" si="52"/>
        <v>308.1559670593121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529.25712986118265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91.821600000000018</v>
      </c>
      <c r="AK28" s="14">
        <f t="shared" si="35"/>
        <v>25.004037394505982</v>
      </c>
      <c r="AL28" s="22">
        <f t="shared" si="4"/>
        <v>203.47131846209797</v>
      </c>
      <c r="AM28" s="62">
        <f t="shared" si="5"/>
        <v>490.69354068432017</v>
      </c>
      <c r="AN28" s="62">
        <f ca="1">AVERAGE(OFFSET($AM$3,0,0,'Données projet'!$E$10+1,1))-AVERAGE(OFFSET($H$3,0,0,'Données projet'!$E$10+1,1))</f>
        <v>495.77338291316386</v>
      </c>
      <c r="AO28" s="62">
        <f t="shared" si="36"/>
        <v>261.95434270986397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12.146153846153842</v>
      </c>
      <c r="BD28" s="13">
        <f>IF('Données projet'!$A$88&gt;35,BD27+BC28-BL27,IF(A28&lt;'Données projet'!$A$88,$BA$205^A28,IF(A28='Données projet'!$A$88,'Données projet'!$B$88,BD27+BC28-BL27)))</f>
        <v>137.97692307692304</v>
      </c>
      <c r="BE28" s="14">
        <f>BD28*VLOOKUP('Données projet'!$B$11,Paramètres!$A$1:$I$89,3,0)*VLOOKUP('Données projet'!$B$11,Paramètres!$A$1:$I$89,5,0)</f>
        <v>78.922799999999981</v>
      </c>
      <c r="BF28" s="14">
        <f t="shared" si="37"/>
        <v>21.873595685011509</v>
      </c>
      <c r="BG28" s="22">
        <f t="shared" si="7"/>
        <v>175.55372248472835</v>
      </c>
      <c r="BH28" s="62">
        <f t="shared" si="8"/>
        <v>462.77594470695055</v>
      </c>
      <c r="BI28" s="62">
        <f ca="1">AVERAGE(OFFSET($BH$3,0,0,'Données projet'!$E$11+1,1))-AVERAGE(OFFSET($H$3,0,0,'Données projet'!$E$11+1,1))</f>
        <v>320.67081032419122</v>
      </c>
      <c r="BJ28" s="62">
        <f t="shared" si="38"/>
        <v>290.51177680335746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9.0125130805058209</v>
      </c>
      <c r="BS28" s="24">
        <f t="shared" si="9"/>
        <v>9.0125130805058209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110.52600000000001</v>
      </c>
      <c r="CA28" s="14">
        <f t="shared" si="39"/>
        <v>29.454879846564946</v>
      </c>
      <c r="CB28" s="22">
        <f t="shared" si="10"/>
        <v>243.80003239943395</v>
      </c>
      <c r="CC28" s="62">
        <f t="shared" si="11"/>
        <v>531.0222546216562</v>
      </c>
      <c r="CD28" s="62">
        <f ca="1">AVERAGE(OFFSET($CC$3,0,0,'Données projet'!$E$12+1,1))-AVERAGE(OFFSET($H$3,0,0,'Données projet'!$E$12+1,1))</f>
        <v>587.74247372331615</v>
      </c>
      <c r="CE28" s="62">
        <f t="shared" si="40"/>
        <v>306.61893266146666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122.43589743589743</v>
      </c>
      <c r="CR28" s="13">
        <f>VLOOKUP(A28,'Données projet'!$A$139:$I$159,9,0)</f>
        <v>7.5641025641025639</v>
      </c>
      <c r="CS28" s="13">
        <f t="array" ref="CS28">INDEX(CR:CR,MIN(IF(ISNUMBER(CR28:CR224),ROW(CR28:CR224),"")))</f>
        <v>7.5641025641025639</v>
      </c>
      <c r="CT28" s="13">
        <f>IF('Données projet'!$A$140&gt;35,CT27+CS28-DB27,IF(A28&lt;'Données projet'!$A$140,$CQ$205^A28,IF(A28='Données projet'!$A$140,'Données projet'!$B$140,CT27+CS28-DB27)))</f>
        <v>122.43589743589745</v>
      </c>
      <c r="CU28" s="18">
        <f>CT28*VLOOKUP('Données projet'!$B$13,Paramètres!$A$1:$I$89,3,0)*VLOOKUP('Données projet'!$B$13,Paramètres!$A$1:$I$89,5,0)</f>
        <v>116.51000000000002</v>
      </c>
      <c r="CV28" s="14">
        <f t="shared" si="41"/>
        <v>30.859621169021747</v>
      </c>
      <c r="CW28" s="22">
        <f t="shared" si="13"/>
        <v>256.66875686937959</v>
      </c>
      <c r="CX28" s="62">
        <f t="shared" si="14"/>
        <v>543.89097909160182</v>
      </c>
      <c r="CY28" s="62">
        <f ca="1">AVERAGE(OFFSET($CX$3,0,0,'Données projet'!$E$13+1,1))-AVERAGE(OFFSET($H$3,0,0,'Données projet'!$E$13+1,1))</f>
        <v>406.24139966722936</v>
      </c>
      <c r="CZ28" s="62">
        <f t="shared" si="42"/>
        <v>295.95724296920577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35.897435897435898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16.020512820512824</v>
      </c>
      <c r="DO28" s="13">
        <f>IF('Données projet'!$A$166&gt;35,DO27+DN28-DW27,IF(A28&lt;'Données projet'!$A$166,$DL$205^A28,IF(A28='Données projet'!$A$166,'Données projet'!$B$166,DO27+DN28-DW27)))</f>
        <v>135.55128205128204</v>
      </c>
      <c r="DP28" s="18">
        <f>DO28*VLOOKUP('Données projet'!$B$14,Paramètres!$A$1:$I$89,3,0)*VLOOKUP('Données projet'!$B$14,Paramètres!$A$1:$I$89,5,0)</f>
        <v>81.059666666666672</v>
      </c>
      <c r="DQ28" s="14">
        <f t="shared" si="43"/>
        <v>22.396079377742645</v>
      </c>
      <c r="DR28" s="22">
        <f t="shared" si="16"/>
        <v>180.18542436067958</v>
      </c>
      <c r="DS28" s="62">
        <f t="shared" si="17"/>
        <v>467.4076465829018</v>
      </c>
      <c r="DT28" s="62">
        <f ca="1">AVERAGE(OFFSET($DS$3,0,0,'Données projet'!$E$14+1,1))-AVERAGE(OFFSET($H$3,0,0,'Données projet'!$E$14+1,1))</f>
        <v>356.42779334565381</v>
      </c>
      <c r="DU28" s="62">
        <f t="shared" si="44"/>
        <v>320.06572891923685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10.462471535722385</v>
      </c>
      <c r="ED28" s="24">
        <f t="shared" si="18"/>
        <v>10.462471535722385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140.5</v>
      </c>
      <c r="FC28" s="13">
        <f>VLOOKUP(A28,'Données projet'!$A$217:$I$237,9,0)</f>
        <v>14.739999999999998</v>
      </c>
      <c r="FD28" s="13">
        <f t="array" ref="FD28">INDEX(FC:FC,MIN(IF(ISNUMBER(FC28:FC224),ROW(FC28:FC224),"")))</f>
        <v>14.739999999999998</v>
      </c>
      <c r="FE28" s="13">
        <f>IF('Données projet'!$A$218&gt;35,FE27+FD28-FM27,IF(A28&lt;'Données projet'!$A$218,$FB$205^A28,IF(A28='Données projet'!$A$218,'Données projet'!$B$218,FE27+FD28-FM27)))</f>
        <v>140.5</v>
      </c>
      <c r="FF28" s="18">
        <f>FE28*VLOOKUP('Données projet'!$B$16,Paramètres!$A$1:$I$89,3,0)*VLOOKUP('Données projet'!$B$16,Paramètres!$A$1:$I$89,5,0)</f>
        <v>111.7818</v>
      </c>
      <c r="FG28" s="14">
        <f t="shared" si="47"/>
        <v>29.750397150027219</v>
      </c>
      <c r="FH28" s="22">
        <f t="shared" si="22"/>
        <v>246.5019100362974</v>
      </c>
      <c r="FI28" s="62">
        <f t="shared" si="23"/>
        <v>533.7241322585196</v>
      </c>
      <c r="FJ28" s="62">
        <f ca="1">AVERAGE(OFFSET($FI$3,0,0,'Données projet'!$E$16+1,1))-AVERAGE(OFFSET($H$3,0,0,'Données projet'!$E$16+1,1))</f>
        <v>370.59298168107364</v>
      </c>
      <c r="FK28" s="62">
        <f t="shared" si="48"/>
        <v>404.61777090709171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109</v>
      </c>
      <c r="FX28" s="13">
        <f>VLOOKUP(A28,'Données projet'!$A$243:$I$263,9,0)</f>
        <v>7.2</v>
      </c>
      <c r="FY28" s="13">
        <f t="array" ref="FY28">INDEX(FX:FX,MIN(IF(ISNUMBER(FX28:FX224),ROW(FX28:FX224),"")))</f>
        <v>7.2</v>
      </c>
      <c r="FZ28" s="13">
        <f>IF('Données projet'!$A$244&gt;35,FZ27+FY28-GH27,IF(A28&lt;'Données projet'!$A$244,$FW$205^A28,IF(A28='Données projet'!$A$244,'Données projet'!$B$244,FZ27+FY28-GH27)))</f>
        <v>109.00000000000001</v>
      </c>
      <c r="GA28" s="18">
        <f>FZ28*VLOOKUP('Données projet'!$B$17,Paramètres!$A$1:$I$89,3,0)*VLOOKUP('Données projet'!$B$17,Paramètres!$A$1:$I$89,5,0)</f>
        <v>105.42480000000002</v>
      </c>
      <c r="GB28" s="14">
        <f t="shared" si="49"/>
        <v>28.250381069605584</v>
      </c>
      <c r="GC28" s="22">
        <f t="shared" si="25"/>
        <v>232.81760702956308</v>
      </c>
      <c r="GD28" s="62">
        <f t="shared" si="26"/>
        <v>520.03982925178525</v>
      </c>
      <c r="GE28" s="62">
        <f ca="1">AVERAGE(OFFSET($GD$3,0,0,'Données projet'!$E$17+1,1))-AVERAGE(OFFSET($H$3,0,0,'Données projet'!$E$17+1,1))</f>
        <v>562.69380557620775</v>
      </c>
      <c r="GF28" s="62">
        <f t="shared" si="50"/>
        <v>294.45557293177131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34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137.82051282051282</v>
      </c>
      <c r="GS28" s="13">
        <f>VLOOKUP(A28,'Données projet'!$A$269:$I$289,9,0)</f>
        <v>9.7435897435897427</v>
      </c>
      <c r="GT28" s="13">
        <f t="array" ref="GT28">INDEX(GS:GS,MIN(IF(ISNUMBER(GS28:GS224),ROW(GS28:GS224),"")))</f>
        <v>9.7435897435897427</v>
      </c>
      <c r="GU28" s="13">
        <f>IF('Données projet'!$A$270&gt;35,GU27+GT28-HC27,IF(A28&lt;'Données projet'!$A$270,$GR$205^A28,IF(A28='Données projet'!$A$270,'Données projet'!$B$270,GU27+GT28-HC27)))</f>
        <v>137.82051282051282</v>
      </c>
      <c r="GV28" s="18">
        <f>GU28*VLOOKUP('Données projet'!$B$18,Paramètres!$A$1:$I$89,3,0)*VLOOKUP('Données projet'!$B$18,Paramètres!$A$1:$I$89,5,0)</f>
        <v>92.45</v>
      </c>
      <c r="GW28" s="14">
        <f t="shared" si="51"/>
        <v>25.155179194747834</v>
      </c>
      <c r="GX28" s="22">
        <f t="shared" si="28"/>
        <v>204.82902043085244</v>
      </c>
      <c r="GY28" s="62">
        <f t="shared" si="29"/>
        <v>492.05124265307467</v>
      </c>
      <c r="GZ28" s="62">
        <f ca="1">AVERAGE(OFFSET($GY$3,0,0,'Données projet'!$E$18+1,1))-AVERAGE(OFFSET($H$3,0,0,'Données projet'!$E$18+1,1))</f>
        <v>363.53487081291541</v>
      </c>
      <c r="HA28" s="62">
        <f t="shared" si="52"/>
        <v>308.1559670593121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529.25712986118265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446.64757177777756</v>
      </c>
      <c r="AN29" s="62">
        <f ca="1">AVERAGE(OFFSET($AM$3,0,0,'Données projet'!$E$10+1,1))-AVERAGE(OFFSET($H$3,0,0,'Données projet'!$E$10+1,1))</f>
        <v>495.77338291316386</v>
      </c>
      <c r="AO29" s="62">
        <f t="shared" si="36"/>
        <v>261.95434270986397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12.146153846153842</v>
      </c>
      <c r="BD29" s="13">
        <f>IF('Données projet'!$A$88&gt;35,BD28+BC29-BL28,IF(A29&lt;'Données projet'!$A$88,$BA$205^A29,IF(A29='Données projet'!$A$88,'Données projet'!$B$88,BD28+BC29-BL28)))</f>
        <v>150.12307692307689</v>
      </c>
      <c r="BE29" s="14">
        <f>BD29*VLOOKUP('Données projet'!$B$11,Paramètres!$A$1:$I$89,3,0)*VLOOKUP('Données projet'!$B$11,Paramètres!$A$1:$I$89,5,0)</f>
        <v>85.870399999999989</v>
      </c>
      <c r="BF29" s="14">
        <f t="shared" si="37"/>
        <v>23.566558678706862</v>
      </c>
      <c r="BG29" s="22">
        <f t="shared" si="7"/>
        <v>190.60270303208108</v>
      </c>
      <c r="BH29" s="62">
        <f t="shared" si="8"/>
        <v>479.04714747652554</v>
      </c>
      <c r="BI29" s="62">
        <f ca="1">AVERAGE(OFFSET($BH$3,0,0,'Données projet'!$E$11+1,1))-AVERAGE(OFFSET($H$3,0,0,'Données projet'!$E$11+1,1))</f>
        <v>320.67081032419122</v>
      </c>
      <c r="BJ29" s="62">
        <f t="shared" si="38"/>
        <v>290.51177680335746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6.3728091147581276</v>
      </c>
      <c r="BS29" s="24">
        <f t="shared" si="9"/>
        <v>6.3728091147581276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2">
        <f t="shared" si="11"/>
        <v>477.98324711048087</v>
      </c>
      <c r="CD29" s="62">
        <f ca="1">AVERAGE(OFFSET($CC$3,0,0,'Données projet'!$E$12+1,1))-AVERAGE(OFFSET($H$3,0,0,'Données projet'!$E$12+1,1))</f>
        <v>587.74247372331615</v>
      </c>
      <c r="CE29" s="62">
        <f t="shared" si="40"/>
        <v>306.61893266146666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7.4358974358974361</v>
      </c>
      <c r="CT29" s="13">
        <f>IF('Données projet'!$A$140&gt;35,CT28+CS29-DB28,IF(A29&lt;'Données projet'!$A$140,$CQ$205^A29,IF(A29='Données projet'!$A$140,'Données projet'!$B$140,CT28+CS29-DB28)))</f>
        <v>93.974358974358992</v>
      </c>
      <c r="CU29" s="18">
        <f>CT29*VLOOKUP('Données projet'!$B$13,Paramètres!$A$1:$I$89,3,0)*VLOOKUP('Données projet'!$B$13,Paramètres!$A$1:$I$89,5,0)</f>
        <v>89.426000000000016</v>
      </c>
      <c r="CV29" s="14">
        <f t="shared" si="41"/>
        <v>24.426738508211891</v>
      </c>
      <c r="CW29" s="22">
        <f t="shared" si="13"/>
        <v>198.29351956846904</v>
      </c>
      <c r="CX29" s="62">
        <f t="shared" si="14"/>
        <v>486.73796401291349</v>
      </c>
      <c r="CY29" s="62">
        <f ca="1">AVERAGE(OFFSET($CX$3,0,0,'Données projet'!$E$13+1,1))-AVERAGE(OFFSET($H$3,0,0,'Données projet'!$E$13+1,1))</f>
        <v>406.24139966722936</v>
      </c>
      <c r="CZ29" s="62">
        <f t="shared" si="42"/>
        <v>295.95724296920577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16.020512820512824</v>
      </c>
      <c r="DO29" s="13">
        <f>IF('Données projet'!$A$166&gt;35,DO28+DN29-DW28,IF(A29&lt;'Données projet'!$A$166,$DL$205^A29,IF(A29='Données projet'!$A$166,'Données projet'!$B$166,DO28+DN29-DW28)))</f>
        <v>151.57179487179488</v>
      </c>
      <c r="DP29" s="18">
        <f>DO29*VLOOKUP('Données projet'!$B$14,Paramètres!$A$1:$I$89,3,0)*VLOOKUP('Données projet'!$B$14,Paramètres!$A$1:$I$89,5,0)</f>
        <v>90.639933333333346</v>
      </c>
      <c r="DQ29" s="14">
        <f t="shared" si="43"/>
        <v>24.719497804626467</v>
      </c>
      <c r="DR29" s="22">
        <f t="shared" si="16"/>
        <v>200.91767589861334</v>
      </c>
      <c r="DS29" s="62">
        <f t="shared" si="17"/>
        <v>489.36212034305777</v>
      </c>
      <c r="DT29" s="62">
        <f ca="1">AVERAGE(OFFSET($DS$3,0,0,'Données projet'!$E$14+1,1))-AVERAGE(OFFSET($H$3,0,0,'Données projet'!$E$14+1,1))</f>
        <v>356.42779334565381</v>
      </c>
      <c r="DU29" s="62">
        <f t="shared" si="44"/>
        <v>320.06572891923685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7.3980845708805303</v>
      </c>
      <c r="ED29" s="24">
        <f t="shared" si="18"/>
        <v>7.3980845708805303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14.260000000000002</v>
      </c>
      <c r="FE29" s="13">
        <f>IF('Données projet'!$A$218&gt;35,FE28+FD29-FM28,IF(A29&lt;'Données projet'!$A$218,$FB$205^A29,IF(A29='Données projet'!$A$218,'Données projet'!$B$218,FE28+FD29-FM28)))</f>
        <v>154.76</v>
      </c>
      <c r="FF29" s="18">
        <f>FE29*VLOOKUP('Données projet'!$B$16,Paramètres!$A$1:$I$89,3,0)*VLOOKUP('Données projet'!$B$16,Paramètres!$A$1:$I$89,5,0)</f>
        <v>123.127056</v>
      </c>
      <c r="FG29" s="14">
        <f t="shared" si="47"/>
        <v>32.403238210173519</v>
      </c>
      <c r="FH29" s="22">
        <f t="shared" si="22"/>
        <v>270.88192908271884</v>
      </c>
      <c r="FI29" s="62">
        <f t="shared" si="23"/>
        <v>559.32637352716324</v>
      </c>
      <c r="FJ29" s="62">
        <f ca="1">AVERAGE(OFFSET($FI$3,0,0,'Données projet'!$E$16+1,1))-AVERAGE(OFFSET($H$3,0,0,'Données projet'!$E$16+1,1))</f>
        <v>370.59298168107364</v>
      </c>
      <c r="FK29" s="62">
        <f t="shared" si="48"/>
        <v>404.61777090709171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9.1999999999999993</v>
      </c>
      <c r="FZ29" s="13">
        <f>IF('Données projet'!$A$244&gt;35,FZ28+FY29-GH28,IF(A29&lt;'Données projet'!$A$244,$FW$205^A29,IF(A29='Données projet'!$A$244,'Données projet'!$B$244,FZ28+FY29-GH28)))</f>
        <v>84.200000000000017</v>
      </c>
      <c r="GA29" s="18">
        <f>FZ29*VLOOKUP('Données projet'!$B$17,Paramètres!$A$1:$I$89,3,0)*VLOOKUP('Données projet'!$B$17,Paramètres!$A$1:$I$89,5,0)</f>
        <v>81.438240000000022</v>
      </c>
      <c r="GB29" s="14">
        <f t="shared" si="49"/>
        <v>22.488475778344696</v>
      </c>
      <c r="GC29" s="22">
        <f t="shared" si="25"/>
        <v>181.00569664728371</v>
      </c>
      <c r="GD29" s="62">
        <f t="shared" si="26"/>
        <v>469.45014109172814</v>
      </c>
      <c r="GE29" s="62">
        <f ca="1">AVERAGE(OFFSET($GD$3,0,0,'Données projet'!$E$17+1,1))-AVERAGE(OFFSET($H$3,0,0,'Données projet'!$E$17+1,1))</f>
        <v>562.69380557620775</v>
      </c>
      <c r="GF29" s="62">
        <f t="shared" si="50"/>
        <v>294.45557293177131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9.2307692307692317</v>
      </c>
      <c r="GU29" s="13">
        <f>IF('Données projet'!$A$270&gt;35,GU28+GT29-HC28,IF(A29&lt;'Données projet'!$A$270,$GR$205^A29,IF(A29='Données projet'!$A$270,'Données projet'!$B$270,GU28+GT29-HC28)))</f>
        <v>147.05128205128204</v>
      </c>
      <c r="GV29" s="18">
        <f>GU29*VLOOKUP('Données projet'!$B$18,Paramètres!$A$1:$I$89,3,0)*VLOOKUP('Données projet'!$B$18,Paramètres!$A$1:$I$89,5,0)</f>
        <v>98.641999999999996</v>
      </c>
      <c r="GW29" s="14">
        <f t="shared" si="51"/>
        <v>26.638215773406319</v>
      </c>
      <c r="GX29" s="22">
        <f t="shared" si="28"/>
        <v>218.19637580534933</v>
      </c>
      <c r="GY29" s="62">
        <f t="shared" si="29"/>
        <v>506.64082024979382</v>
      </c>
      <c r="GZ29" s="62">
        <f ca="1">AVERAGE(OFFSET($GY$3,0,0,'Données projet'!$E$18+1,1))-AVERAGE(OFFSET($H$3,0,0,'Données projet'!$E$18+1,1))</f>
        <v>363.53487081291541</v>
      </c>
      <c r="HA29" s="62">
        <f t="shared" si="52"/>
        <v>308.1559670593121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529.25712986118265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464.69428202801146</v>
      </c>
      <c r="AN30" s="62">
        <f ca="1">AVERAGE(OFFSET($AM$3,0,0,'Données projet'!$E$10+1,1))-AVERAGE(OFFSET($H$3,0,0,'Données projet'!$E$10+1,1))</f>
        <v>495.77338291316386</v>
      </c>
      <c r="AO30" s="62">
        <f t="shared" si="36"/>
        <v>261.95434270986397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162.26923076923075</v>
      </c>
      <c r="BB30" s="13">
        <f>VLOOKUP(A30,'Données projet'!$A$87:$I$107,9,0)</f>
        <v>12.146153846153842</v>
      </c>
      <c r="BC30" s="13">
        <f t="array" ref="BC30">INDEX(BB:BB,MIN(IF(ISNUMBER(BB30:BB226),ROW(BB30:BB226),"")))</f>
        <v>12.146153846153842</v>
      </c>
      <c r="BD30" s="13">
        <f>IF('Données projet'!$A$88&gt;35,BD29+BC30-BL29,IF(A30&lt;'Données projet'!$A$88,$BA$205^A30,IF(A30='Données projet'!$A$88,'Données projet'!$B$88,BD29+BC30-BL29)))</f>
        <v>162.26923076923075</v>
      </c>
      <c r="BE30" s="14">
        <f>BD30*VLOOKUP('Données projet'!$B$11,Paramètres!$A$1:$I$89,3,0)*VLOOKUP('Données projet'!$B$11,Paramètres!$A$1:$I$89,5,0)</f>
        <v>92.817999999999998</v>
      </c>
      <c r="BF30" s="14">
        <f t="shared" si="37"/>
        <v>25.243634431910003</v>
      </c>
      <c r="BG30" s="22">
        <f t="shared" si="7"/>
        <v>205.62401330224324</v>
      </c>
      <c r="BH30" s="62">
        <f t="shared" si="8"/>
        <v>495.2906799689099</v>
      </c>
      <c r="BI30" s="62">
        <f ca="1">AVERAGE(OFFSET($BH$3,0,0,'Données projet'!$E$11+1,1))-AVERAGE(OFFSET($H$3,0,0,'Données projet'!$E$11+1,1))</f>
        <v>320.67081032419122</v>
      </c>
      <c r="BJ30" s="62">
        <f t="shared" si="38"/>
        <v>290.51177680335746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4.5062565402529113</v>
      </c>
      <c r="BS30" s="24">
        <f t="shared" si="9"/>
        <v>4.5062565402529113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2">
        <f t="shared" si="11"/>
        <v>499.37168273097859</v>
      </c>
      <c r="CD30" s="62">
        <f ca="1">AVERAGE(OFFSET($CC$3,0,0,'Données projet'!$E$12+1,1))-AVERAGE(OFFSET($H$3,0,0,'Données projet'!$E$12+1,1))</f>
        <v>587.74247372331615</v>
      </c>
      <c r="CE30" s="62">
        <f t="shared" si="40"/>
        <v>306.61893266146666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7.4358974358974361</v>
      </c>
      <c r="CT30" s="13">
        <f>IF('Données projet'!$A$140&gt;35,CT29+CS30-DB29,IF(A30&lt;'Données projet'!$A$140,$CQ$205^A30,IF(A30='Données projet'!$A$140,'Données projet'!$B$140,CT29+CS30-DB29)))</f>
        <v>101.41025641025642</v>
      </c>
      <c r="CU30" s="18">
        <f>CT30*VLOOKUP('Données projet'!$B$13,Paramètres!$A$1:$I$89,3,0)*VLOOKUP('Données projet'!$B$13,Paramètres!$A$1:$I$89,5,0)</f>
        <v>96.50200000000001</v>
      </c>
      <c r="CV30" s="14">
        <f t="shared" si="41"/>
        <v>26.126928217693919</v>
      </c>
      <c r="CW30" s="22">
        <f t="shared" si="13"/>
        <v>213.57871664581691</v>
      </c>
      <c r="CX30" s="62">
        <f t="shared" si="14"/>
        <v>503.24538331248357</v>
      </c>
      <c r="CY30" s="62">
        <f ca="1">AVERAGE(OFFSET($CX$3,0,0,'Données projet'!$E$13+1,1))-AVERAGE(OFFSET($H$3,0,0,'Données projet'!$E$13+1,1))</f>
        <v>406.24139966722936</v>
      </c>
      <c r="CZ30" s="62">
        <f t="shared" si="42"/>
        <v>295.95724296920577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16.020512820512824</v>
      </c>
      <c r="DO30" s="13">
        <f>IF('Données projet'!$A$166&gt;35,DO29+DN30-DW29,IF(A30&lt;'Données projet'!$A$166,$DL$205^A30,IF(A30='Données projet'!$A$166,'Données projet'!$B$166,DO29+DN30-DW29)))</f>
        <v>167.59230769230771</v>
      </c>
      <c r="DP30" s="18">
        <f>DO30*VLOOKUP('Données projet'!$B$14,Paramètres!$A$1:$I$89,3,0)*VLOOKUP('Données projet'!$B$14,Paramètres!$A$1:$I$89,5,0)</f>
        <v>100.22020000000002</v>
      </c>
      <c r="DQ30" s="14">
        <f t="shared" si="43"/>
        <v>27.014450444334749</v>
      </c>
      <c r="DR30" s="22">
        <f t="shared" si="16"/>
        <v>221.60034952388301</v>
      </c>
      <c r="DS30" s="62">
        <f t="shared" si="17"/>
        <v>511.26701619054973</v>
      </c>
      <c r="DT30" s="62">
        <f ca="1">AVERAGE(OFFSET($DS$3,0,0,'Données projet'!$E$14+1,1))-AVERAGE(OFFSET($H$3,0,0,'Données projet'!$E$14+1,1))</f>
        <v>356.42779334565381</v>
      </c>
      <c r="DU30" s="62">
        <f t="shared" si="44"/>
        <v>320.06572891923685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5.2312357678611932</v>
      </c>
      <c r="ED30" s="24">
        <f t="shared" si="18"/>
        <v>5.2312357678611932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14.260000000000002</v>
      </c>
      <c r="FE30" s="13">
        <f>IF('Données projet'!$A$218&gt;35,FE29+FD30-FM29,IF(A30&lt;'Données projet'!$A$218,$FB$205^A30,IF(A30='Données projet'!$A$218,'Données projet'!$B$218,FE29+FD30-FM29)))</f>
        <v>169.01999999999998</v>
      </c>
      <c r="FF30" s="18">
        <f>FE30*VLOOKUP('Données projet'!$B$16,Paramètres!$A$1:$I$89,3,0)*VLOOKUP('Données projet'!$B$16,Paramètres!$A$1:$I$89,5,0)</f>
        <v>134.47231199999999</v>
      </c>
      <c r="FG30" s="14">
        <f t="shared" si="47"/>
        <v>35.027736208949172</v>
      </c>
      <c r="FH30" s="22">
        <f t="shared" si="22"/>
        <v>295.21258396391971</v>
      </c>
      <c r="FI30" s="62">
        <f t="shared" si="23"/>
        <v>584.8792506305864</v>
      </c>
      <c r="FJ30" s="62">
        <f ca="1">AVERAGE(OFFSET($FI$3,0,0,'Données projet'!$E$16+1,1))-AVERAGE(OFFSET($H$3,0,0,'Données projet'!$E$16+1,1))</f>
        <v>370.59298168107364</v>
      </c>
      <c r="FK30" s="62">
        <f t="shared" si="48"/>
        <v>404.61777090709171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9.1999999999999993</v>
      </c>
      <c r="FZ30" s="13">
        <f>IF('Données projet'!$A$244&gt;35,FZ29+FY30-GH29,IF(A30&lt;'Données projet'!$A$244,$FW$205^A30,IF(A30='Données projet'!$A$244,'Données projet'!$B$244,FZ29+FY30-GH29)))</f>
        <v>93.40000000000002</v>
      </c>
      <c r="GA30" s="18">
        <f>FZ30*VLOOKUP('Données projet'!$B$17,Paramètres!$A$1:$I$89,3,0)*VLOOKUP('Données projet'!$B$17,Paramètres!$A$1:$I$89,5,0)</f>
        <v>90.336480000000023</v>
      </c>
      <c r="GB30" s="14">
        <f t="shared" si="49"/>
        <v>24.646358234355564</v>
      </c>
      <c r="GC30" s="22">
        <f t="shared" si="25"/>
        <v>200.26177659150264</v>
      </c>
      <c r="GD30" s="62">
        <f t="shared" si="26"/>
        <v>489.9284432581693</v>
      </c>
      <c r="GE30" s="62">
        <f ca="1">AVERAGE(OFFSET($GD$3,0,0,'Données projet'!$E$17+1,1))-AVERAGE(OFFSET($H$3,0,0,'Données projet'!$E$17+1,1))</f>
        <v>562.69380557620775</v>
      </c>
      <c r="GF30" s="62">
        <f t="shared" si="50"/>
        <v>294.45557293177131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9.2307692307692317</v>
      </c>
      <c r="GU30" s="13">
        <f>IF('Données projet'!$A$270&gt;35,GU29+GT30-HC29,IF(A30&lt;'Données projet'!$A$270,$GR$205^A30,IF(A30='Données projet'!$A$270,'Données projet'!$B$270,GU29+GT30-HC29)))</f>
        <v>156.28205128205127</v>
      </c>
      <c r="GV30" s="18">
        <f>GU30*VLOOKUP('Données projet'!$B$18,Paramètres!$A$1:$I$89,3,0)*VLOOKUP('Données projet'!$B$18,Paramètres!$A$1:$I$89,5,0)</f>
        <v>104.834</v>
      </c>
      <c r="GW30" s="14">
        <f t="shared" si="51"/>
        <v>28.110448233045847</v>
      </c>
      <c r="GX30" s="22">
        <f t="shared" si="28"/>
        <v>231.54491400588816</v>
      </c>
      <c r="GY30" s="62">
        <f t="shared" si="29"/>
        <v>521.21158067255487</v>
      </c>
      <c r="GZ30" s="62">
        <f ca="1">AVERAGE(OFFSET($GY$3,0,0,'Données projet'!$E$18+1,1))-AVERAGE(OFFSET($H$3,0,0,'Données projet'!$E$18+1,1))</f>
        <v>363.53487081291541</v>
      </c>
      <c r="HA30" s="62">
        <f t="shared" si="52"/>
        <v>308.1559670593121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529.25712986118265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482.70300601765291</v>
      </c>
      <c r="AN31" s="62">
        <f ca="1">AVERAGE(OFFSET($AM$3,0,0,'Données projet'!$E$10+1,1))-AVERAGE(OFFSET($H$3,0,0,'Données projet'!$E$10+1,1))</f>
        <v>495.77338291316386</v>
      </c>
      <c r="AO31" s="62">
        <f t="shared" si="36"/>
        <v>261.95434270986397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13.04102564102565</v>
      </c>
      <c r="BD31" s="13">
        <f>IF('Données projet'!$A$88&gt;35,BD30+BC31-BL30,IF(A31&lt;'Données projet'!$A$88,$BA$205^A31,IF(A31='Données projet'!$A$88,'Données projet'!$B$88,BD30+BC31-BL30)))</f>
        <v>175.31025641025639</v>
      </c>
      <c r="BE31" s="14">
        <f>BD31*VLOOKUP('Données projet'!$B$11,Paramètres!$A$1:$I$89,3,0)*VLOOKUP('Données projet'!$B$11,Paramètres!$A$1:$I$89,5,0)</f>
        <v>100.27746666666665</v>
      </c>
      <c r="BF31" s="14">
        <f t="shared" si="37"/>
        <v>27.028089491899259</v>
      </c>
      <c r="BG31" s="22">
        <f t="shared" si="7"/>
        <v>221.72384364283562</v>
      </c>
      <c r="BH31" s="62">
        <f t="shared" si="8"/>
        <v>512.61273253172453</v>
      </c>
      <c r="BI31" s="62">
        <f ca="1">AVERAGE(OFFSET($BH$3,0,0,'Données projet'!$E$11+1,1))-AVERAGE(OFFSET($H$3,0,0,'Données projet'!$E$11+1,1))</f>
        <v>320.67081032419122</v>
      </c>
      <c r="BJ31" s="62">
        <f t="shared" si="38"/>
        <v>290.51177680335746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3.1864045573790643</v>
      </c>
      <c r="BS31" s="24">
        <f t="shared" si="9"/>
        <v>3.1864045573790643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2">
        <f t="shared" si="11"/>
        <v>520.71537034842709</v>
      </c>
      <c r="CD31" s="62">
        <f ca="1">AVERAGE(OFFSET($CC$3,0,0,'Données projet'!$E$12+1,1))-AVERAGE(OFFSET($H$3,0,0,'Données projet'!$E$12+1,1))</f>
        <v>587.74247372331615</v>
      </c>
      <c r="CE31" s="62">
        <f t="shared" si="40"/>
        <v>306.61893266146666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7.4358974358974361</v>
      </c>
      <c r="CT31" s="13">
        <f>IF('Données projet'!$A$140&gt;35,CT30+CS31-DB30,IF(A31&lt;'Données projet'!$A$140,$CQ$205^A31,IF(A31='Données projet'!$A$140,'Données projet'!$B$140,CT30+CS31-DB30)))</f>
        <v>108.84615384615385</v>
      </c>
      <c r="CU31" s="18">
        <f>CT31*VLOOKUP('Données projet'!$B$13,Paramètres!$A$1:$I$89,3,0)*VLOOKUP('Données projet'!$B$13,Paramètres!$A$1:$I$89,5,0)</f>
        <v>103.57800000000002</v>
      </c>
      <c r="CV31" s="14">
        <f t="shared" si="41"/>
        <v>27.812654852530578</v>
      </c>
      <c r="CW31" s="22">
        <f t="shared" si="13"/>
        <v>228.83872386815744</v>
      </c>
      <c r="CX31" s="62">
        <f t="shared" si="14"/>
        <v>519.72761275704624</v>
      </c>
      <c r="CY31" s="62">
        <f ca="1">AVERAGE(OFFSET($CX$3,0,0,'Données projet'!$E$13+1,1))-AVERAGE(OFFSET($H$3,0,0,'Données projet'!$E$13+1,1))</f>
        <v>406.24139966722936</v>
      </c>
      <c r="CZ31" s="62">
        <f t="shared" si="42"/>
        <v>295.95724296920577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16.020512820512824</v>
      </c>
      <c r="DO31" s="13">
        <f>IF('Données projet'!$A$166&gt;35,DO30+DN31-DW30,IF(A31&lt;'Données projet'!$A$166,$DL$205^A31,IF(A31='Données projet'!$A$166,'Données projet'!$B$166,DO30+DN31-DW30)))</f>
        <v>183.61282051282055</v>
      </c>
      <c r="DP31" s="18">
        <f>DO31*VLOOKUP('Données projet'!$B$14,Paramètres!$A$1:$I$89,3,0)*VLOOKUP('Données projet'!$B$14,Paramètres!$A$1:$I$89,5,0)</f>
        <v>109.80046666666669</v>
      </c>
      <c r="DQ31" s="14">
        <f t="shared" si="43"/>
        <v>29.283967996494283</v>
      </c>
      <c r="DR31" s="22">
        <f t="shared" si="16"/>
        <v>242.23872370500536</v>
      </c>
      <c r="DS31" s="62">
        <f t="shared" si="17"/>
        <v>533.12761259389424</v>
      </c>
      <c r="DT31" s="62">
        <f ca="1">AVERAGE(OFFSET($DS$3,0,0,'Données projet'!$E$14+1,1))-AVERAGE(OFFSET($H$3,0,0,'Données projet'!$E$14+1,1))</f>
        <v>356.42779334565381</v>
      </c>
      <c r="DU31" s="62">
        <f t="shared" si="44"/>
        <v>320.06572891923685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3.699042285440266</v>
      </c>
      <c r="ED31" s="24">
        <f t="shared" si="18"/>
        <v>3.699042285440266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14.260000000000002</v>
      </c>
      <c r="FE31" s="13">
        <f>IF('Données projet'!$A$218&gt;35,FE30+FD31-FM30,IF(A31&lt;'Données projet'!$A$218,$FB$205^A31,IF(A31='Données projet'!$A$218,'Données projet'!$B$218,FE30+FD31-FM30)))</f>
        <v>183.27999999999997</v>
      </c>
      <c r="FF31" s="18">
        <f>FE31*VLOOKUP('Données projet'!$B$16,Paramètres!$A$1:$I$89,3,0)*VLOOKUP('Données projet'!$B$16,Paramètres!$A$1:$I$89,5,0)</f>
        <v>145.81756799999999</v>
      </c>
      <c r="FG31" s="14">
        <f t="shared" si="47"/>
        <v>37.626554284689291</v>
      </c>
      <c r="FH31" s="22">
        <f t="shared" si="22"/>
        <v>319.49851297916712</v>
      </c>
      <c r="FI31" s="62">
        <f t="shared" si="23"/>
        <v>610.38740186805603</v>
      </c>
      <c r="FJ31" s="62">
        <f ca="1">AVERAGE(OFFSET($FI$3,0,0,'Données projet'!$E$16+1,1))-AVERAGE(OFFSET($H$3,0,0,'Données projet'!$E$16+1,1))</f>
        <v>370.59298168107364</v>
      </c>
      <c r="FK31" s="62">
        <f t="shared" si="48"/>
        <v>404.61777090709171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9.1999999999999993</v>
      </c>
      <c r="FZ31" s="13">
        <f>IF('Données projet'!$A$244&gt;35,FZ30+FY31-GH30,IF(A31&lt;'Données projet'!$A$244,$FW$205^A31,IF(A31='Données projet'!$A$244,'Données projet'!$B$244,FZ30+FY31-GH30)))</f>
        <v>102.60000000000002</v>
      </c>
      <c r="GA31" s="18">
        <f>FZ31*VLOOKUP('Données projet'!$B$17,Paramètres!$A$1:$I$89,3,0)*VLOOKUP('Données projet'!$B$17,Paramètres!$A$1:$I$89,5,0)</f>
        <v>99.234720000000024</v>
      </c>
      <c r="GB31" s="14">
        <f t="shared" si="49"/>
        <v>26.779598706219044</v>
      </c>
      <c r="GC31" s="22">
        <f t="shared" si="25"/>
        <v>219.47493841333153</v>
      </c>
      <c r="GD31" s="62">
        <f t="shared" si="26"/>
        <v>510.36382730222039</v>
      </c>
      <c r="GE31" s="62">
        <f ca="1">AVERAGE(OFFSET($GD$3,0,0,'Données projet'!$E$17+1,1))-AVERAGE(OFFSET($H$3,0,0,'Données projet'!$E$17+1,1))</f>
        <v>562.69380557620775</v>
      </c>
      <c r="GF31" s="62">
        <f t="shared" si="50"/>
        <v>294.45557293177131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9.2307692307692317</v>
      </c>
      <c r="GU31" s="13">
        <f>IF('Données projet'!$A$270&gt;35,GU30+GT31-HC30,IF(A31&lt;'Données projet'!$A$270,$GR$205^A31,IF(A31='Données projet'!$A$270,'Données projet'!$B$270,GU30+GT31-HC30)))</f>
        <v>165.5128205128205</v>
      </c>
      <c r="GV31" s="18">
        <f>GU31*VLOOKUP('Données projet'!$B$18,Paramètres!$A$1:$I$89,3,0)*VLOOKUP('Données projet'!$B$18,Paramètres!$A$1:$I$89,5,0)</f>
        <v>111.026</v>
      </c>
      <c r="GW31" s="14">
        <f t="shared" si="51"/>
        <v>29.572587403880362</v>
      </c>
      <c r="GX31" s="22">
        <f t="shared" si="28"/>
        <v>244.87587306175826</v>
      </c>
      <c r="GY31" s="62">
        <f t="shared" si="29"/>
        <v>535.76476195064708</v>
      </c>
      <c r="GZ31" s="62">
        <f ca="1">AVERAGE(OFFSET($GY$3,0,0,'Données projet'!$E$18+1,1))-AVERAGE(OFFSET($H$3,0,0,'Données projet'!$E$18+1,1))</f>
        <v>363.53487081291541</v>
      </c>
      <c r="HA31" s="62">
        <f t="shared" si="52"/>
        <v>308.1559670593121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529.25712986118265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500.67753726542043</v>
      </c>
      <c r="AN32" s="62">
        <f ca="1">AVERAGE(OFFSET($AM$3,0,0,'Données projet'!$E$10+1,1))-AVERAGE(OFFSET($H$3,0,0,'Données projet'!$E$10+1,1))</f>
        <v>495.77338291316386</v>
      </c>
      <c r="AO32" s="62">
        <f t="shared" si="36"/>
        <v>261.95434270986397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13.04102564102565</v>
      </c>
      <c r="BD32" s="13">
        <f>IF('Données projet'!$A$88&gt;35,BD31+BC32-BL31,IF(A32&lt;'Données projet'!$A$88,$BA$205^A32,IF(A32='Données projet'!$A$88,'Données projet'!$B$88,BD31+BC32-BL31)))</f>
        <v>188.35128205128203</v>
      </c>
      <c r="BE32" s="14">
        <f>BD32*VLOOKUP('Données projet'!$B$11,Paramètres!$A$1:$I$89,3,0)*VLOOKUP('Données projet'!$B$11,Paramètres!$A$1:$I$89,5,0)</f>
        <v>107.73693333333333</v>
      </c>
      <c r="BF32" s="14">
        <f t="shared" si="37"/>
        <v>28.797145040858751</v>
      </c>
      <c r="BG32" s="22">
        <f t="shared" si="7"/>
        <v>237.7968531683845</v>
      </c>
      <c r="BH32" s="62">
        <f t="shared" si="8"/>
        <v>529.90796427949567</v>
      </c>
      <c r="BI32" s="62">
        <f ca="1">AVERAGE(OFFSET($BH$3,0,0,'Données projet'!$E$11+1,1))-AVERAGE(OFFSET($H$3,0,0,'Données projet'!$E$11+1,1))</f>
        <v>320.67081032419122</v>
      </c>
      <c r="BJ32" s="62">
        <f t="shared" si="38"/>
        <v>290.51177680335746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2.2531282701264561</v>
      </c>
      <c r="BS32" s="24">
        <f t="shared" si="9"/>
        <v>2.2531282701264561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2">
        <f t="shared" si="11"/>
        <v>542.01877874665877</v>
      </c>
      <c r="CD32" s="62">
        <f ca="1">AVERAGE(OFFSET($CC$3,0,0,'Données projet'!$E$12+1,1))-AVERAGE(OFFSET($H$3,0,0,'Données projet'!$E$12+1,1))</f>
        <v>587.74247372331615</v>
      </c>
      <c r="CE32" s="62">
        <f t="shared" si="40"/>
        <v>306.61893266146666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7.4358974358974361</v>
      </c>
      <c r="CT32" s="13">
        <f>IF('Données projet'!$A$140&gt;35,CT31+CS32-DB31,IF(A32&lt;'Données projet'!$A$140,$CQ$205^A32,IF(A32='Données projet'!$A$140,'Données projet'!$B$140,CT31+CS32-DB31)))</f>
        <v>116.28205128205128</v>
      </c>
      <c r="CU32" s="18">
        <f>CT32*VLOOKUP('Données projet'!$B$13,Paramètres!$A$1:$I$89,3,0)*VLOOKUP('Données projet'!$B$13,Paramètres!$A$1:$I$89,5,0)</f>
        <v>110.654</v>
      </c>
      <c r="CV32" s="14">
        <f t="shared" si="41"/>
        <v>29.48501887296996</v>
      </c>
      <c r="CW32" s="22">
        <f t="shared" si="13"/>
        <v>244.0754578704227</v>
      </c>
      <c r="CX32" s="62">
        <f t="shared" si="14"/>
        <v>536.18656898153381</v>
      </c>
      <c r="CY32" s="62">
        <f ca="1">AVERAGE(OFFSET($CX$3,0,0,'Données projet'!$E$13+1,1))-AVERAGE(OFFSET($H$3,0,0,'Données projet'!$E$13+1,1))</f>
        <v>406.24139966722936</v>
      </c>
      <c r="CZ32" s="62">
        <f t="shared" si="42"/>
        <v>295.95724296920577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16.020512820512824</v>
      </c>
      <c r="DO32" s="13">
        <f>IF('Données projet'!$A$166&gt;35,DO31+DN32-DW31,IF(A32&lt;'Données projet'!$A$166,$DL$205^A32,IF(A32='Données projet'!$A$166,'Données projet'!$B$166,DO31+DN32-DW31)))</f>
        <v>199.63333333333338</v>
      </c>
      <c r="DP32" s="18">
        <f>DO32*VLOOKUP('Données projet'!$B$14,Paramètres!$A$1:$I$89,3,0)*VLOOKUP('Données projet'!$B$14,Paramètres!$A$1:$I$89,5,0)</f>
        <v>119.38073333333337</v>
      </c>
      <c r="DQ32" s="14">
        <f t="shared" si="43"/>
        <v>31.530522050233152</v>
      </c>
      <c r="DR32" s="22">
        <f t="shared" si="16"/>
        <v>262.83710312637839</v>
      </c>
      <c r="DS32" s="62">
        <f t="shared" si="17"/>
        <v>554.94821423748954</v>
      </c>
      <c r="DT32" s="62">
        <f ca="1">AVERAGE(OFFSET($DS$3,0,0,'Données projet'!$E$14+1,1))-AVERAGE(OFFSET($H$3,0,0,'Données projet'!$E$14+1,1))</f>
        <v>356.42779334565381</v>
      </c>
      <c r="DU32" s="62">
        <f t="shared" si="44"/>
        <v>320.06572891923685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2.615617883930597</v>
      </c>
      <c r="ED32" s="24">
        <f t="shared" si="18"/>
        <v>2.615617883930597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14.260000000000002</v>
      </c>
      <c r="FE32" s="13">
        <f>IF('Données projet'!$A$218&gt;35,FE31+FD32-FM31,IF(A32&lt;'Données projet'!$A$218,$FB$205^A32,IF(A32='Données projet'!$A$218,'Données projet'!$B$218,FE31+FD32-FM31)))</f>
        <v>197.53999999999996</v>
      </c>
      <c r="FF32" s="18">
        <f>FE32*VLOOKUP('Données projet'!$B$16,Paramètres!$A$1:$I$89,3,0)*VLOOKUP('Données projet'!$B$16,Paramètres!$A$1:$I$89,5,0)</f>
        <v>157.162824</v>
      </c>
      <c r="FG32" s="14">
        <f t="shared" si="47"/>
        <v>40.201917615639708</v>
      </c>
      <c r="FH32" s="22">
        <f t="shared" si="22"/>
        <v>343.7435916472391</v>
      </c>
      <c r="FI32" s="62">
        <f t="shared" si="23"/>
        <v>635.85470275835019</v>
      </c>
      <c r="FJ32" s="62">
        <f ca="1">AVERAGE(OFFSET($FI$3,0,0,'Données projet'!$E$16+1,1))-AVERAGE(OFFSET($H$3,0,0,'Données projet'!$E$16+1,1))</f>
        <v>370.59298168107364</v>
      </c>
      <c r="FK32" s="62">
        <f t="shared" si="48"/>
        <v>404.61777090709171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9.1999999999999993</v>
      </c>
      <c r="FZ32" s="13">
        <f>IF('Données projet'!$A$244&gt;35,FZ31+FY32-GH31,IF(A32&lt;'Données projet'!$A$244,$FW$205^A32,IF(A32='Données projet'!$A$244,'Données projet'!$B$244,FZ31+FY32-GH31)))</f>
        <v>111.80000000000003</v>
      </c>
      <c r="GA32" s="18">
        <f>FZ32*VLOOKUP('Données projet'!$B$17,Paramètres!$A$1:$I$89,3,0)*VLOOKUP('Données projet'!$B$17,Paramètres!$A$1:$I$89,5,0)</f>
        <v>108.13296000000003</v>
      </c>
      <c r="GB32" s="14">
        <f t="shared" si="49"/>
        <v>28.890658079177882</v>
      </c>
      <c r="GC32" s="22">
        <f t="shared" si="25"/>
        <v>238.64946815456821</v>
      </c>
      <c r="GD32" s="62">
        <f t="shared" si="26"/>
        <v>530.76057926567933</v>
      </c>
      <c r="GE32" s="62">
        <f ca="1">AVERAGE(OFFSET($GD$3,0,0,'Données projet'!$E$17+1,1))-AVERAGE(OFFSET($H$3,0,0,'Données projet'!$E$17+1,1))</f>
        <v>562.69380557620775</v>
      </c>
      <c r="GF32" s="62">
        <f t="shared" si="50"/>
        <v>294.45557293177131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9.2307692307692317</v>
      </c>
      <c r="GU32" s="13">
        <f>IF('Données projet'!$A$270&gt;35,GU31+GT32-HC31,IF(A32&lt;'Données projet'!$A$270,$GR$205^A32,IF(A32='Données projet'!$A$270,'Données projet'!$B$270,GU31+GT32-HC31)))</f>
        <v>174.74358974358972</v>
      </c>
      <c r="GV32" s="18">
        <f>GU32*VLOOKUP('Données projet'!$B$18,Paramètres!$A$1:$I$89,3,0)*VLOOKUP('Données projet'!$B$18,Paramètres!$A$1:$I$89,5,0)</f>
        <v>117.21799999999998</v>
      </c>
      <c r="GW32" s="14">
        <f t="shared" si="51"/>
        <v>31.025260351021213</v>
      </c>
      <c r="GX32" s="22">
        <f t="shared" si="28"/>
        <v>258.19034511136186</v>
      </c>
      <c r="GY32" s="62">
        <f t="shared" si="29"/>
        <v>550.30145622247301</v>
      </c>
      <c r="GZ32" s="62">
        <f ca="1">AVERAGE(OFFSET($GY$3,0,0,'Données projet'!$E$18+1,1))-AVERAGE(OFFSET($H$3,0,0,'Données projet'!$E$18+1,1))</f>
        <v>363.53487081291541</v>
      </c>
      <c r="HA32" s="62">
        <f t="shared" si="52"/>
        <v>308.1559670593121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529.25712986118265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518.62100937653065</v>
      </c>
      <c r="AN33" s="62">
        <f ca="1">AVERAGE(OFFSET($AM$3,0,0,'Données projet'!$E$10+1,1))-AVERAGE(OFFSET($H$3,0,0,'Données projet'!$E$10+1,1))</f>
        <v>495.77338291316386</v>
      </c>
      <c r="AO33" s="62">
        <f t="shared" si="36"/>
        <v>261.95434270986397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201.3923076923077</v>
      </c>
      <c r="BB33" s="13">
        <f>VLOOKUP(A33,'Données projet'!$A$87:$I$107,9,0)</f>
        <v>13.04102564102565</v>
      </c>
      <c r="BC33" s="13">
        <f t="array" ref="BC33">INDEX(BB:BB,MIN(IF(ISNUMBER(BB33:BB229),ROW(BB33:BB229),"")))</f>
        <v>13.04102564102565</v>
      </c>
      <c r="BD33" s="13">
        <f>IF('Données projet'!$A$88&gt;35,BD32+BC33-BL32,IF(A33&lt;'Données projet'!$A$88,$BA$205^A33,IF(A33='Données projet'!$A$88,'Données projet'!$B$88,BD32+BC33-BL32)))</f>
        <v>201.39230769230767</v>
      </c>
      <c r="BE33" s="14">
        <f>BD33*VLOOKUP('Données projet'!$B$11,Paramètres!$A$1:$I$89,3,0)*VLOOKUP('Données projet'!$B$11,Paramètres!$A$1:$I$89,5,0)</f>
        <v>115.1964</v>
      </c>
      <c r="BF33" s="14">
        <f t="shared" si="37"/>
        <v>30.551988595229211</v>
      </c>
      <c r="BG33" s="22">
        <f t="shared" si="7"/>
        <v>253.84511013669089</v>
      </c>
      <c r="BH33" s="62">
        <f t="shared" si="8"/>
        <v>547.17844347002415</v>
      </c>
      <c r="BI33" s="62">
        <f ca="1">AVERAGE(OFFSET($BH$3,0,0,'Données projet'!$E$11+1,1))-AVERAGE(OFFSET($H$3,0,0,'Données projet'!$E$11+1,1))</f>
        <v>320.67081032419122</v>
      </c>
      <c r="BJ33" s="62">
        <f t="shared" si="38"/>
        <v>290.51177680335746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35.430769230769229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9.0000000000000011E-2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2.4100947564788711</v>
      </c>
      <c r="BR33" s="23">
        <f>EXP(-LN(2)/2)*BR32+(1-EXP(-LN(2)/2))/(LN(2)/2)*BL33*BO33*VLOOKUP('Données projet'!$B$11,Paramètres!$A$1:$I$89,3,0)*0.475*44/12</f>
        <v>10.771711332525678</v>
      </c>
      <c r="BS33" s="24">
        <f t="shared" si="9"/>
        <v>13.181806089004549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2">
        <f t="shared" si="11"/>
        <v>563.28559932813334</v>
      </c>
      <c r="CD33" s="62">
        <f ca="1">AVERAGE(OFFSET($CC$3,0,0,'Données projet'!$E$12+1,1))-AVERAGE(OFFSET($H$3,0,0,'Données projet'!$E$12+1,1))</f>
        <v>587.74247372331615</v>
      </c>
      <c r="CE33" s="62">
        <f t="shared" si="40"/>
        <v>306.61893266146666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123.71794871794872</v>
      </c>
      <c r="CR33" s="13">
        <f>VLOOKUP(A33,'Données projet'!$A$139:$I$159,9,0)</f>
        <v>7.4358974358974361</v>
      </c>
      <c r="CS33" s="13">
        <f t="array" ref="CS33">INDEX(CR:CR,MIN(IF(ISNUMBER(CR33:CR229),ROW(CR33:CR229),"")))</f>
        <v>7.4358974358974361</v>
      </c>
      <c r="CT33" s="13">
        <f>IF('Données projet'!$A$140&gt;35,CT32+CS33-DB32,IF(A33&lt;'Données projet'!$A$140,$CQ$205^A33,IF(A33='Données projet'!$A$140,'Données projet'!$B$140,CT32+CS33-DB32)))</f>
        <v>123.71794871794872</v>
      </c>
      <c r="CU33" s="18">
        <f>CT33*VLOOKUP('Données projet'!$B$13,Paramètres!$A$1:$I$89,3,0)*VLOOKUP('Données projet'!$B$13,Paramètres!$A$1:$I$89,5,0)</f>
        <v>117.73</v>
      </c>
      <c r="CV33" s="14">
        <f t="shared" si="41"/>
        <v>31.144972039735432</v>
      </c>
      <c r="CW33" s="22">
        <f t="shared" si="13"/>
        <v>259.29057630253919</v>
      </c>
      <c r="CX33" s="62">
        <f t="shared" si="14"/>
        <v>552.62390963587245</v>
      </c>
      <c r="CY33" s="62">
        <f ca="1">AVERAGE(OFFSET($CX$3,0,0,'Données projet'!$E$13+1,1))-AVERAGE(OFFSET($H$3,0,0,'Données projet'!$E$13+1,1))</f>
        <v>406.24139966722936</v>
      </c>
      <c r="CZ33" s="62">
        <f t="shared" si="42"/>
        <v>295.95724296920577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215.65384615384616</v>
      </c>
      <c r="DM33" s="13">
        <f>VLOOKUP(A33,'Données projet'!$A$165:$I$185,9,0)</f>
        <v>16.020512820512824</v>
      </c>
      <c r="DN33" s="13">
        <f t="array" ref="DN33">INDEX(DM:DM,MIN(IF(ISNUMBER(DM33:DM229),ROW(DM33:DM229),"")))</f>
        <v>16.020512820512824</v>
      </c>
      <c r="DO33" s="13">
        <f>IF('Données projet'!$A$166&gt;35,DO32+DN33-DW32,IF(A33&lt;'Données projet'!$A$166,$DL$205^A33,IF(A33='Données projet'!$A$166,'Données projet'!$B$166,DO32+DN33-DW32)))</f>
        <v>215.65384615384622</v>
      </c>
      <c r="DP33" s="18">
        <f>DO33*VLOOKUP('Données projet'!$B$14,Paramètres!$A$1:$I$89,3,0)*VLOOKUP('Données projet'!$B$14,Paramètres!$A$1:$I$89,5,0)</f>
        <v>128.96100000000004</v>
      </c>
      <c r="DQ33" s="14">
        <f t="shared" si="43"/>
        <v>33.756164929705356</v>
      </c>
      <c r="DR33" s="22">
        <f t="shared" si="16"/>
        <v>283.39906225257022</v>
      </c>
      <c r="DS33" s="62">
        <f t="shared" si="17"/>
        <v>576.73239558590353</v>
      </c>
      <c r="DT33" s="62">
        <f ca="1">AVERAGE(OFFSET($DS$3,0,0,'Données projet'!$E$14+1,1))-AVERAGE(OFFSET($H$3,0,0,'Données projet'!$E$14+1,1))</f>
        <v>356.42779334565381</v>
      </c>
      <c r="DU33" s="62">
        <f t="shared" si="44"/>
        <v>320.06572891923685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55.869230769230761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9.0000000000000011E-2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3.9731172677440387</v>
      </c>
      <c r="EC33" s="23">
        <f>EXP(-LN(2)/2)*EC32+(1-EXP(-LN(2)/2))/(LN(2)/2)*DW33*DZ33*VLOOKUP('Données projet'!$B$14,Paramètres!$A$1:$I$89,3,0)*0.475*44/12</f>
        <v>16.98058298828002</v>
      </c>
      <c r="ED33" s="24">
        <f t="shared" si="18"/>
        <v>20.953700256024057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211.8</v>
      </c>
      <c r="FC33" s="13">
        <f>VLOOKUP(A33,'Données projet'!$A$217:$I$237,9,0)</f>
        <v>14.260000000000002</v>
      </c>
      <c r="FD33" s="13">
        <f t="array" ref="FD33">INDEX(FC:FC,MIN(IF(ISNUMBER(FC33:FC229),ROW(FC33:FC229),"")))</f>
        <v>14.260000000000002</v>
      </c>
      <c r="FE33" s="13">
        <f>IF('Données projet'!$A$218&gt;35,FE32+FD33-FM32,IF(A33&lt;'Données projet'!$A$218,$FB$205^A33,IF(A33='Données projet'!$A$218,'Données projet'!$B$218,FE32+FD33-FM32)))</f>
        <v>211.79999999999995</v>
      </c>
      <c r="FF33" s="18">
        <f>FE33*VLOOKUP('Données projet'!$B$16,Paramètres!$A$1:$I$89,3,0)*VLOOKUP('Données projet'!$B$16,Paramètres!$A$1:$I$89,5,0)</f>
        <v>168.50807999999995</v>
      </c>
      <c r="FG33" s="14">
        <f t="shared" si="47"/>
        <v>42.755711908378117</v>
      </c>
      <c r="FH33" s="22">
        <f t="shared" si="22"/>
        <v>367.95110424042514</v>
      </c>
      <c r="FI33" s="62">
        <f t="shared" si="23"/>
        <v>661.2844375737584</v>
      </c>
      <c r="FJ33" s="62">
        <f ca="1">AVERAGE(OFFSET($FI$3,0,0,'Données projet'!$E$16+1,1))-AVERAGE(OFFSET($H$3,0,0,'Données projet'!$E$16+1,1))</f>
        <v>370.59298168107364</v>
      </c>
      <c r="FK33" s="62">
        <f t="shared" si="48"/>
        <v>404.61777090709171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70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121</v>
      </c>
      <c r="FX33" s="13">
        <f>VLOOKUP(A33,'Données projet'!$A$243:$I$263,9,0)</f>
        <v>9.1999999999999993</v>
      </c>
      <c r="FY33" s="13">
        <f t="array" ref="FY33">INDEX(FX:FX,MIN(IF(ISNUMBER(FX33:FX229),ROW(FX33:FX229),"")))</f>
        <v>9.1999999999999993</v>
      </c>
      <c r="FZ33" s="13">
        <f>IF('Données projet'!$A$244&gt;35,FZ32+FY33-GH32,IF(A33&lt;'Données projet'!$A$244,$FW$205^A33,IF(A33='Données projet'!$A$244,'Données projet'!$B$244,FZ32+FY33-GH32)))</f>
        <v>121.00000000000003</v>
      </c>
      <c r="GA33" s="18">
        <f>FZ33*VLOOKUP('Données projet'!$B$17,Paramètres!$A$1:$I$89,3,0)*VLOOKUP('Données projet'!$B$17,Paramètres!$A$1:$I$89,5,0)</f>
        <v>117.03120000000003</v>
      </c>
      <c r="GB33" s="14">
        <f t="shared" si="49"/>
        <v>30.981569147428555</v>
      </c>
      <c r="GC33" s="22">
        <f t="shared" si="25"/>
        <v>257.78890626510474</v>
      </c>
      <c r="GD33" s="62">
        <f t="shared" si="26"/>
        <v>551.122239598438</v>
      </c>
      <c r="GE33" s="62">
        <f ca="1">AVERAGE(OFFSET($GD$3,0,0,'Données projet'!$E$17+1,1))-AVERAGE(OFFSET($H$3,0,0,'Données projet'!$E$17+1,1))</f>
        <v>562.69380557620775</v>
      </c>
      <c r="GF33" s="62">
        <f t="shared" si="50"/>
        <v>294.45557293177131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183.97435897435898</v>
      </c>
      <c r="GS33" s="13">
        <f>VLOOKUP(A33,'Données projet'!$A$269:$I$289,9,0)</f>
        <v>9.2307692307692317</v>
      </c>
      <c r="GT33" s="13">
        <f t="array" ref="GT33">INDEX(GS:GS,MIN(IF(ISNUMBER(GS33:GS229),ROW(GS33:GS229),"")))</f>
        <v>9.2307692307692317</v>
      </c>
      <c r="GU33" s="13">
        <f>IF('Données projet'!$A$270&gt;35,GU32+GT33-HC32,IF(A33&lt;'Données projet'!$A$270,$GR$205^A33,IF(A33='Données projet'!$A$270,'Données projet'!$B$270,GU32+GT33-HC32)))</f>
        <v>183.97435897435895</v>
      </c>
      <c r="GV33" s="18">
        <f>GU33*VLOOKUP('Données projet'!$B$18,Paramètres!$A$1:$I$89,3,0)*VLOOKUP('Données projet'!$B$18,Paramètres!$A$1:$I$89,5,0)</f>
        <v>123.41</v>
      </c>
      <c r="GW33" s="14">
        <f t="shared" si="51"/>
        <v>32.469024148887371</v>
      </c>
      <c r="GX33" s="22">
        <f t="shared" si="28"/>
        <v>271.48930039264548</v>
      </c>
      <c r="GY33" s="62">
        <f t="shared" si="29"/>
        <v>564.82263372597879</v>
      </c>
      <c r="GZ33" s="62">
        <f ca="1">AVERAGE(OFFSET($GY$3,0,0,'Données projet'!$E$18+1,1))-AVERAGE(OFFSET($H$3,0,0,'Données projet'!$E$18+1,1))</f>
        <v>363.53487081291541</v>
      </c>
      <c r="HA33" s="62">
        <f t="shared" si="52"/>
        <v>308.1559670593121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39.102564102564102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529.25712986118265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111.02832000000005</v>
      </c>
      <c r="AK34" s="14">
        <f t="shared" si="35"/>
        <v>29.573133422929669</v>
      </c>
      <c r="AL34" s="22">
        <f t="shared" si="4"/>
        <v>244.88086471160261</v>
      </c>
      <c r="AM34" s="62">
        <f t="shared" si="5"/>
        <v>538.21419804493598</v>
      </c>
      <c r="AN34" s="62">
        <f ca="1">AVERAGE(OFFSET($AM$3,0,0,'Données projet'!$E$10+1,1))-AVERAGE(OFFSET($H$3,0,0,'Données projet'!$E$10+1,1))</f>
        <v>495.77338291316386</v>
      </c>
      <c r="AO34" s="62">
        <f t="shared" si="36"/>
        <v>261.95434270986397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11.874358974358975</v>
      </c>
      <c r="BD34" s="13">
        <f>IF('Données projet'!$A$88&gt;35,BD33+BC34-BL33,IF(A34&lt;'Données projet'!$A$88,$BA$205^A34,IF(A34='Données projet'!$A$88,'Données projet'!$B$88,BD33+BC34-BL33)))</f>
        <v>177.83589743589744</v>
      </c>
      <c r="BE34" s="14">
        <f>BD34*VLOOKUP('Données projet'!$B$11,Paramètres!$A$1:$I$89,3,0)*VLOOKUP('Données projet'!$B$11,Paramètres!$A$1:$I$89,5,0)</f>
        <v>101.72213333333333</v>
      </c>
      <c r="BF34" s="14">
        <f t="shared" si="37"/>
        <v>27.371863468318278</v>
      </c>
      <c r="BG34" s="22">
        <f t="shared" si="7"/>
        <v>224.83871109620986</v>
      </c>
      <c r="BH34" s="62">
        <f t="shared" si="8"/>
        <v>518.17204442954312</v>
      </c>
      <c r="BI34" s="62">
        <f ca="1">AVERAGE(OFFSET($BH$3,0,0,'Données projet'!$E$11+1,1))-AVERAGE(OFFSET($H$3,0,0,'Données projet'!$E$11+1,1))</f>
        <v>320.67081032419122</v>
      </c>
      <c r="BJ34" s="62">
        <f t="shared" si="38"/>
        <v>290.51177680335746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2.3441905886215815</v>
      </c>
      <c r="BR34" s="23">
        <f>EXP(-LN(2)/2)*BR33+(1-EXP(-LN(2)/2))/(LN(2)/2)*BL34*BO34*VLOOKUP('Données projet'!$B$11,Paramètres!$A$1:$I$89,3,0)*0.475*44/12</f>
        <v>7.6167501282128889</v>
      </c>
      <c r="BS34" s="24">
        <f t="shared" si="9"/>
        <v>9.9609407168344699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133.64520000000005</v>
      </c>
      <c r="CA34" s="14">
        <f t="shared" si="39"/>
        <v>34.837297589797402</v>
      </c>
      <c r="CB34" s="22">
        <f t="shared" si="10"/>
        <v>293.44034996889724</v>
      </c>
      <c r="CC34" s="62">
        <f t="shared" si="11"/>
        <v>586.77368330223055</v>
      </c>
      <c r="CD34" s="62">
        <f ca="1">AVERAGE(OFFSET($CC$3,0,0,'Données projet'!$E$12+1,1))-AVERAGE(OFFSET($H$3,0,0,'Données projet'!$E$12+1,1))</f>
        <v>587.74247372331615</v>
      </c>
      <c r="CE34" s="62">
        <f t="shared" si="40"/>
        <v>306.61893266146666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7.1794871794871797</v>
      </c>
      <c r="CT34" s="13">
        <f>IF('Données projet'!$A$140&gt;35,CT33+CS34-DB33,IF(A34&lt;'Données projet'!$A$140,$CQ$205^A34,IF(A34='Données projet'!$A$140,'Données projet'!$B$140,CT33+CS34-DB33)))</f>
        <v>130.89743589743588</v>
      </c>
      <c r="CU34" s="18">
        <f>CT34*VLOOKUP('Données projet'!$B$13,Paramètres!$A$1:$I$89,3,0)*VLOOKUP('Données projet'!$B$13,Paramètres!$A$1:$I$89,5,0)</f>
        <v>124.56199999999998</v>
      </c>
      <c r="CV34" s="14">
        <f t="shared" si="41"/>
        <v>32.736689328514629</v>
      </c>
      <c r="CW34" s="22">
        <f t="shared" si="13"/>
        <v>273.96188391382958</v>
      </c>
      <c r="CX34" s="62">
        <f t="shared" si="14"/>
        <v>567.2952172471629</v>
      </c>
      <c r="CY34" s="62">
        <f ca="1">AVERAGE(OFFSET($CX$3,0,0,'Données projet'!$E$13+1,1))-AVERAGE(OFFSET($H$3,0,0,'Données projet'!$E$13+1,1))</f>
        <v>406.24139966722936</v>
      </c>
      <c r="CZ34" s="62">
        <f t="shared" si="42"/>
        <v>295.95724296920577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14.08846153846153</v>
      </c>
      <c r="DO34" s="13">
        <f>IF('Données projet'!$A$166&gt;35,DO33+DN34-DW33,IF(A34&lt;'Données projet'!$A$166,$DL$205^A34,IF(A34='Données projet'!$A$166,'Données projet'!$B$166,DO33+DN34-DW33)))</f>
        <v>173.87307692307698</v>
      </c>
      <c r="DP34" s="18">
        <f>DO34*VLOOKUP('Données projet'!$B$14,Paramètres!$A$1:$I$89,3,0)*VLOOKUP('Données projet'!$B$14,Paramètres!$A$1:$I$89,5,0)</f>
        <v>103.97610000000003</v>
      </c>
      <c r="DQ34" s="14">
        <f t="shared" si="43"/>
        <v>27.907088288208097</v>
      </c>
      <c r="DR34" s="22">
        <f t="shared" si="16"/>
        <v>229.69655293529578</v>
      </c>
      <c r="DS34" s="62">
        <f t="shared" si="17"/>
        <v>523.02988626862907</v>
      </c>
      <c r="DT34" s="62">
        <f ca="1">AVERAGE(OFFSET($DS$3,0,0,'Données projet'!$E$14+1,1))-AVERAGE(OFFSET($H$3,0,0,'Données projet'!$E$14+1,1))</f>
        <v>356.42779334565381</v>
      </c>
      <c r="DU34" s="62">
        <f t="shared" si="44"/>
        <v>320.06572891923685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3.8644721671204216</v>
      </c>
      <c r="EC34" s="23">
        <f>EXP(-LN(2)/2)*EC33+(1-EXP(-LN(2)/2))/(LN(2)/2)*DW34*DZ34*VLOOKUP('Données projet'!$B$14,Paramètres!$A$1:$I$89,3,0)*0.475*44/12</f>
        <v>12.007085379513732</v>
      </c>
      <c r="ED34" s="24">
        <f t="shared" si="18"/>
        <v>15.871557546634154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12.919999999999998</v>
      </c>
      <c r="FE34" s="13">
        <f>IF('Données projet'!$A$218&gt;35,FE33+FD34-FM33,IF(A34&lt;'Données projet'!$A$218,$FB$205^A34,IF(A34='Données projet'!$A$218,'Données projet'!$B$218,FE33+FD34-FM33)))</f>
        <v>154.71999999999994</v>
      </c>
      <c r="FF34" s="18">
        <f>FE34*VLOOKUP('Données projet'!$B$16,Paramètres!$A$1:$I$89,3,0)*VLOOKUP('Données projet'!$B$16,Paramètres!$A$1:$I$89,5,0)</f>
        <v>123.09523199999997</v>
      </c>
      <c r="FG34" s="14">
        <f t="shared" si="47"/>
        <v>32.395837865893974</v>
      </c>
      <c r="FH34" s="22">
        <f t="shared" si="22"/>
        <v>270.81361334976526</v>
      </c>
      <c r="FI34" s="62">
        <f t="shared" si="23"/>
        <v>564.14694668309858</v>
      </c>
      <c r="FJ34" s="62">
        <f ca="1">AVERAGE(OFFSET($FI$3,0,0,'Données projet'!$E$16+1,1))-AVERAGE(OFFSET($H$3,0,0,'Données projet'!$E$16+1,1))</f>
        <v>370.59298168107364</v>
      </c>
      <c r="FK34" s="62">
        <f t="shared" si="48"/>
        <v>404.61777090709171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10.8</v>
      </c>
      <c r="FZ34" s="13">
        <f>IF('Données projet'!$A$244&gt;35,FZ33+FY34-GH33,IF(A34&lt;'Données projet'!$A$244,$FW$205^A34,IF(A34='Données projet'!$A$244,'Données projet'!$B$244,FZ33+FY34-GH33)))</f>
        <v>131.80000000000004</v>
      </c>
      <c r="GA34" s="18">
        <f>FZ34*VLOOKUP('Données projet'!$B$17,Paramètres!$A$1:$I$89,3,0)*VLOOKUP('Données projet'!$B$17,Paramètres!$A$1:$I$89,5,0)</f>
        <v>127.47696000000003</v>
      </c>
      <c r="GB34" s="14">
        <f t="shared" si="49"/>
        <v>33.412695535466739</v>
      </c>
      <c r="GC34" s="22">
        <f t="shared" si="25"/>
        <v>280.21615005760458</v>
      </c>
      <c r="GD34" s="62">
        <f t="shared" si="26"/>
        <v>573.54948339093789</v>
      </c>
      <c r="GE34" s="62">
        <f ca="1">AVERAGE(OFFSET($GD$3,0,0,'Données projet'!$E$17+1,1))-AVERAGE(OFFSET($H$3,0,0,'Données projet'!$E$17+1,1))</f>
        <v>562.69380557620775</v>
      </c>
      <c r="GF34" s="62">
        <f t="shared" si="50"/>
        <v>294.45557293177131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8.717948717948719</v>
      </c>
      <c r="GU34" s="13">
        <f>IF('Données projet'!$A$270&gt;35,GU33+GT34-HC33,IF(A34&lt;'Données projet'!$A$270,$GR$205^A34,IF(A34='Données projet'!$A$270,'Données projet'!$B$270,GU33+GT34-HC33)))</f>
        <v>153.58974358974359</v>
      </c>
      <c r="GV34" s="18">
        <f>GU34*VLOOKUP('Données projet'!$B$18,Paramètres!$A$1:$I$89,3,0)*VLOOKUP('Données projet'!$B$18,Paramètres!$A$1:$I$89,5,0)</f>
        <v>103.02800000000001</v>
      </c>
      <c r="GW34" s="14">
        <f t="shared" si="51"/>
        <v>27.682119609309797</v>
      </c>
      <c r="GX34" s="22">
        <f t="shared" si="28"/>
        <v>227.65345831954789</v>
      </c>
      <c r="GY34" s="62">
        <f t="shared" si="29"/>
        <v>520.98679165288127</v>
      </c>
      <c r="GZ34" s="62">
        <f ca="1">AVERAGE(OFFSET($GY$3,0,0,'Données projet'!$E$18+1,1))-AVERAGE(OFFSET($H$3,0,0,'Données projet'!$E$18+1,1))</f>
        <v>363.53487081291541</v>
      </c>
      <c r="HA34" s="62">
        <f t="shared" si="52"/>
        <v>308.1559670593121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529.25712986118265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120.12624000000005</v>
      </c>
      <c r="AK35" s="14">
        <f t="shared" si="35"/>
        <v>31.704440899018444</v>
      </c>
      <c r="AL35" s="22">
        <f t="shared" si="4"/>
        <v>264.43843589912387</v>
      </c>
      <c r="AM35" s="62">
        <f t="shared" si="5"/>
        <v>557.77176923245725</v>
      </c>
      <c r="AN35" s="62">
        <f ca="1">AVERAGE(OFFSET($AM$3,0,0,'Données projet'!$E$10+1,1))-AVERAGE(OFFSET($H$3,0,0,'Données projet'!$E$10+1,1))</f>
        <v>495.77338291316386</v>
      </c>
      <c r="AO35" s="62">
        <f t="shared" si="36"/>
        <v>261.95434270986397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11.874358974358975</v>
      </c>
      <c r="BD35" s="13">
        <f>IF('Données projet'!$A$88&gt;35,BD34+BC35-BL34,IF(A35&lt;'Données projet'!$A$88,$BA$205^A35,IF(A35='Données projet'!$A$88,'Données projet'!$B$88,BD34+BC35-BL34)))</f>
        <v>189.71025641025642</v>
      </c>
      <c r="BE35" s="14">
        <f>BD35*VLOOKUP('Données projet'!$B$11,Paramètres!$A$1:$I$89,3,0)*VLOOKUP('Données projet'!$B$11,Paramètres!$A$1:$I$89,5,0)</f>
        <v>108.51426666666667</v>
      </c>
      <c r="BF35" s="14">
        <f t="shared" si="37"/>
        <v>28.980657647493345</v>
      </c>
      <c r="BG35" s="22">
        <f t="shared" si="7"/>
        <v>239.4703265138287</v>
      </c>
      <c r="BH35" s="62">
        <f t="shared" si="8"/>
        <v>532.80365984716195</v>
      </c>
      <c r="BI35" s="62">
        <f ca="1">AVERAGE(OFFSET($BH$3,0,0,'Données projet'!$E$11+1,1))-AVERAGE(OFFSET($H$3,0,0,'Données projet'!$E$11+1,1))</f>
        <v>320.67081032419122</v>
      </c>
      <c r="BJ35" s="62">
        <f t="shared" si="38"/>
        <v>290.51177680335746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2.2800885737000991</v>
      </c>
      <c r="BR35" s="23">
        <f>EXP(-LN(2)/2)*BR34+(1-EXP(-LN(2)/2))/(LN(2)/2)*BL35*BO35*VLOOKUP('Données projet'!$B$11,Paramètres!$A$1:$I$89,3,0)*0.475*44/12</f>
        <v>5.385855666262839</v>
      </c>
      <c r="BS35" s="24">
        <f t="shared" si="9"/>
        <v>7.6659442399629381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144.59640000000007</v>
      </c>
      <c r="CA35" s="14">
        <f t="shared" si="39"/>
        <v>37.347988348805558</v>
      </c>
      <c r="CB35" s="22">
        <f t="shared" si="10"/>
        <v>316.88647637416977</v>
      </c>
      <c r="CC35" s="62">
        <f t="shared" si="11"/>
        <v>610.21980970750315</v>
      </c>
      <c r="CD35" s="62">
        <f ca="1">AVERAGE(OFFSET($CC$3,0,0,'Données projet'!$E$12+1,1))-AVERAGE(OFFSET($H$3,0,0,'Données projet'!$E$12+1,1))</f>
        <v>587.74247372331615</v>
      </c>
      <c r="CE35" s="62">
        <f t="shared" si="40"/>
        <v>306.61893266146666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7.1794871794871797</v>
      </c>
      <c r="CT35" s="13">
        <f>IF('Données projet'!$A$140&gt;35,CT34+CS35-DB34,IF(A35&lt;'Données projet'!$A$140,$CQ$205^A35,IF(A35='Données projet'!$A$140,'Données projet'!$B$140,CT34+CS35-DB34)))</f>
        <v>138.07692307692307</v>
      </c>
      <c r="CU35" s="18">
        <f>CT35*VLOOKUP('Données projet'!$B$13,Paramètres!$A$1:$I$89,3,0)*VLOOKUP('Données projet'!$B$13,Paramètres!$A$1:$I$89,5,0)</f>
        <v>131.39400000000001</v>
      </c>
      <c r="CV35" s="14">
        <f t="shared" si="41"/>
        <v>34.318271576212204</v>
      </c>
      <c r="CW35" s="22">
        <f t="shared" si="13"/>
        <v>288.61553966190291</v>
      </c>
      <c r="CX35" s="62">
        <f t="shared" si="14"/>
        <v>581.94887299523623</v>
      </c>
      <c r="CY35" s="62">
        <f ca="1">AVERAGE(OFFSET($CX$3,0,0,'Données projet'!$E$13+1,1))-AVERAGE(OFFSET($H$3,0,0,'Données projet'!$E$13+1,1))</f>
        <v>406.24139966722936</v>
      </c>
      <c r="CZ35" s="62">
        <f t="shared" si="42"/>
        <v>295.95724296920577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>
        <f>VLOOKUP(A35,'Données projet'!$A$165:$I$185,2,0)</f>
        <v>187.96153846153845</v>
      </c>
      <c r="DM35" s="13">
        <f>VLOOKUP(A35,'Données projet'!$A$165:$I$185,9,0)</f>
        <v>14.08846153846153</v>
      </c>
      <c r="DN35" s="13">
        <f t="array" ref="DN35">INDEX(DM:DM,MIN(IF(ISNUMBER(DM35:DM231),ROW(DM35:DM231),"")))</f>
        <v>14.08846153846153</v>
      </c>
      <c r="DO35" s="13">
        <f>IF('Données projet'!$A$166&gt;35,DO34+DN35-DW34,IF(A35&lt;'Données projet'!$A$166,$DL$205^A35,IF(A35='Données projet'!$A$166,'Données projet'!$B$166,DO34+DN35-DW34)))</f>
        <v>187.96153846153851</v>
      </c>
      <c r="DP35" s="18">
        <f>DO35*VLOOKUP('Données projet'!$B$14,Paramètres!$A$1:$I$89,3,0)*VLOOKUP('Données projet'!$B$14,Paramètres!$A$1:$I$89,5,0)</f>
        <v>112.40100000000004</v>
      </c>
      <c r="DQ35" s="14">
        <f t="shared" si="43"/>
        <v>29.895966042082861</v>
      </c>
      <c r="DR35" s="22">
        <f t="shared" si="16"/>
        <v>247.83388252329436</v>
      </c>
      <c r="DS35" s="62">
        <f t="shared" si="17"/>
        <v>541.16721585662765</v>
      </c>
      <c r="DT35" s="62">
        <f ca="1">AVERAGE(OFFSET($DS$3,0,0,'Données projet'!$E$14+1,1))-AVERAGE(OFFSET($H$3,0,0,'Données projet'!$E$14+1,1))</f>
        <v>356.42779334565381</v>
      </c>
      <c r="DU35" s="62">
        <f t="shared" si="44"/>
        <v>320.06572891923685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3.7587979724867546</v>
      </c>
      <c r="EC35" s="23">
        <f>EXP(-LN(2)/2)*EC34+(1-EXP(-LN(2)/2))/(LN(2)/2)*DW35*DZ35*VLOOKUP('Données projet'!$B$14,Paramètres!$A$1:$I$89,3,0)*0.475*44/12</f>
        <v>8.4902914941400116</v>
      </c>
      <c r="ED35" s="24">
        <f t="shared" si="18"/>
        <v>12.249089466626767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12.919999999999998</v>
      </c>
      <c r="FE35" s="13">
        <f>IF('Données projet'!$A$218&gt;35,FE34+FD35-FM34,IF(A35&lt;'Données projet'!$A$218,$FB$205^A35,IF(A35='Données projet'!$A$218,'Données projet'!$B$218,FE34+FD35-FM34)))</f>
        <v>167.63999999999993</v>
      </c>
      <c r="FF35" s="18">
        <f>FE35*VLOOKUP('Données projet'!$B$16,Paramètres!$A$1:$I$89,3,0)*VLOOKUP('Données projet'!$B$16,Paramètres!$A$1:$I$89,5,0)</f>
        <v>133.37438399999996</v>
      </c>
      <c r="FG35" s="14">
        <f t="shared" si="47"/>
        <v>34.774913711031935</v>
      </c>
      <c r="FH35" s="22">
        <f t="shared" si="22"/>
        <v>292.86002684671388</v>
      </c>
      <c r="FI35" s="62">
        <f t="shared" si="23"/>
        <v>586.19336018004719</v>
      </c>
      <c r="FJ35" s="62">
        <f ca="1">AVERAGE(OFFSET($FI$3,0,0,'Données projet'!$E$16+1,1))-AVERAGE(OFFSET($H$3,0,0,'Données projet'!$E$16+1,1))</f>
        <v>370.59298168107364</v>
      </c>
      <c r="FK35" s="62">
        <f t="shared" si="48"/>
        <v>404.61777090709171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10.8</v>
      </c>
      <c r="FZ35" s="13">
        <f>IF('Données projet'!$A$244&gt;35,FZ34+FY35-GH34,IF(A35&lt;'Données projet'!$A$244,$FW$205^A35,IF(A35='Données projet'!$A$244,'Données projet'!$B$244,FZ34+FY35-GH34)))</f>
        <v>142.60000000000005</v>
      </c>
      <c r="GA35" s="18">
        <f>FZ35*VLOOKUP('Données projet'!$B$17,Paramètres!$A$1:$I$89,3,0)*VLOOKUP('Données projet'!$B$17,Paramètres!$A$1:$I$89,5,0)</f>
        <v>137.92272000000006</v>
      </c>
      <c r="GB35" s="14">
        <f t="shared" si="49"/>
        <v>35.82071658526872</v>
      </c>
      <c r="GC35" s="22">
        <f t="shared" si="25"/>
        <v>302.60315205267642</v>
      </c>
      <c r="GD35" s="62">
        <f t="shared" si="26"/>
        <v>595.93648538600974</v>
      </c>
      <c r="GE35" s="62">
        <f ca="1">AVERAGE(OFFSET($GD$3,0,0,'Données projet'!$E$17+1,1))-AVERAGE(OFFSET($H$3,0,0,'Données projet'!$E$17+1,1))</f>
        <v>562.69380557620775</v>
      </c>
      <c r="GF35" s="62">
        <f t="shared" si="50"/>
        <v>294.45557293177131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8.717948717948719</v>
      </c>
      <c r="GU35" s="13">
        <f>IF('Données projet'!$A$270&gt;35,GU34+GT35-HC34,IF(A35&lt;'Données projet'!$A$270,$GR$205^A35,IF(A35='Données projet'!$A$270,'Données projet'!$B$270,GU34+GT35-HC34)))</f>
        <v>162.30769230769232</v>
      </c>
      <c r="GV35" s="18">
        <f>GU35*VLOOKUP('Données projet'!$B$18,Paramètres!$A$1:$I$89,3,0)*VLOOKUP('Données projet'!$B$18,Paramètres!$A$1:$I$89,5,0)</f>
        <v>108.87600000000002</v>
      </c>
      <c r="GW35" s="14">
        <f t="shared" si="51"/>
        <v>29.066003313709242</v>
      </c>
      <c r="GX35" s="22">
        <f t="shared" si="28"/>
        <v>240.24898910471029</v>
      </c>
      <c r="GY35" s="62">
        <f t="shared" si="29"/>
        <v>533.58232243804355</v>
      </c>
      <c r="GZ35" s="62">
        <f ca="1">AVERAGE(OFFSET($GY$3,0,0,'Données projet'!$E$18+1,1))-AVERAGE(OFFSET($H$3,0,0,'Données projet'!$E$18+1,1))</f>
        <v>363.53487081291541</v>
      </c>
      <c r="HA35" s="62">
        <f t="shared" si="52"/>
        <v>308.1559670593121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529.25712986118265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129.22416000000007</v>
      </c>
      <c r="AK36" s="14">
        <f t="shared" si="35"/>
        <v>33.81702308029579</v>
      </c>
      <c r="AL36" s="22">
        <f t="shared" si="4"/>
        <v>283.96339386484857</v>
      </c>
      <c r="AM36" s="62">
        <f t="shared" si="5"/>
        <v>577.29672719818188</v>
      </c>
      <c r="AN36" s="62">
        <f ca="1">AVERAGE(OFFSET($AM$3,0,0,'Données projet'!$E$10+1,1))-AVERAGE(OFFSET($H$3,0,0,'Données projet'!$E$10+1,1))</f>
        <v>495.77338291316386</v>
      </c>
      <c r="AO36" s="62">
        <f t="shared" si="36"/>
        <v>261.95434270986397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>
        <f>VLOOKUP(A36,'Données projet'!$A$87:$I$107,2,0)</f>
        <v>201.58461538461538</v>
      </c>
      <c r="BB36" s="13">
        <f>VLOOKUP(A36,'Données projet'!$A$87:$I$107,9,0)</f>
        <v>11.874358974358975</v>
      </c>
      <c r="BC36" s="13">
        <f t="array" ref="BC36">INDEX(BB:BB,MIN(IF(ISNUMBER(BB36:BB232),ROW(BB36:BB232),"")))</f>
        <v>11.874358974358975</v>
      </c>
      <c r="BD36" s="13">
        <f>IF('Données projet'!$A$88&gt;35,BD35+BC36-BL35,IF(A36&lt;'Données projet'!$A$88,$BA$205^A36,IF(A36='Données projet'!$A$88,'Données projet'!$B$88,BD35+BC36-BL35)))</f>
        <v>201.5846153846154</v>
      </c>
      <c r="BE36" s="14">
        <f>BD36*VLOOKUP('Données projet'!$B$11,Paramètres!$A$1:$I$89,3,0)*VLOOKUP('Données projet'!$B$11,Paramètres!$A$1:$I$89,5,0)</f>
        <v>115.30640000000002</v>
      </c>
      <c r="BF36" s="14">
        <f t="shared" si="37"/>
        <v>30.57776514824177</v>
      </c>
      <c r="BG36" s="22">
        <f t="shared" si="7"/>
        <v>254.08158763318781</v>
      </c>
      <c r="BH36" s="62">
        <f t="shared" si="8"/>
        <v>547.41492096652109</v>
      </c>
      <c r="BI36" s="62">
        <f ca="1">AVERAGE(OFFSET($BH$3,0,0,'Données projet'!$E$11+1,1))-AVERAGE(OFFSET($H$3,0,0,'Données projet'!$E$11+1,1))</f>
        <v>320.67081032419122</v>
      </c>
      <c r="BJ36" s="62">
        <f t="shared" si="38"/>
        <v>290.51177680335746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2.2177394317476229</v>
      </c>
      <c r="BR36" s="23">
        <f>EXP(-LN(2)/2)*BR35+(1-EXP(-LN(2)/2))/(LN(2)/2)*BL36*BO36*VLOOKUP('Données projet'!$B$11,Paramètres!$A$1:$I$89,3,0)*0.475*44/12</f>
        <v>3.8083750641064444</v>
      </c>
      <c r="BS36" s="24">
        <f t="shared" si="9"/>
        <v>6.0261144958540669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155.54760000000007</v>
      </c>
      <c r="CA36" s="14">
        <f t="shared" si="39"/>
        <v>39.836620617816237</v>
      </c>
      <c r="CB36" s="22">
        <f t="shared" si="10"/>
        <v>340.2941842426967</v>
      </c>
      <c r="CC36" s="62">
        <f t="shared" si="11"/>
        <v>633.62751757602996</v>
      </c>
      <c r="CD36" s="62">
        <f ca="1">AVERAGE(OFFSET($CC$3,0,0,'Données projet'!$E$12+1,1))-AVERAGE(OFFSET($H$3,0,0,'Données projet'!$E$12+1,1))</f>
        <v>587.74247372331615</v>
      </c>
      <c r="CE36" s="62">
        <f t="shared" si="40"/>
        <v>306.61893266146666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7.1794871794871797</v>
      </c>
      <c r="CT36" s="13">
        <f>IF('Données projet'!$A$140&gt;35,CT35+CS36-DB35,IF(A36&lt;'Données projet'!$A$140,$CQ$205^A36,IF(A36='Données projet'!$A$140,'Données projet'!$B$140,CT35+CS36-DB35)))</f>
        <v>145.25641025641025</v>
      </c>
      <c r="CU36" s="18">
        <f>CT36*VLOOKUP('Données projet'!$B$13,Paramètres!$A$1:$I$89,3,0)*VLOOKUP('Données projet'!$B$13,Paramètres!$A$1:$I$89,5,0)</f>
        <v>138.22599999999997</v>
      </c>
      <c r="CV36" s="14">
        <f t="shared" si="41"/>
        <v>35.890305873918834</v>
      </c>
      <c r="CW36" s="22">
        <f t="shared" si="13"/>
        <v>303.25256606374194</v>
      </c>
      <c r="CX36" s="62">
        <f t="shared" si="14"/>
        <v>596.58589939707531</v>
      </c>
      <c r="CY36" s="62">
        <f ca="1">AVERAGE(OFFSET($CX$3,0,0,'Données projet'!$E$13+1,1))-AVERAGE(OFFSET($H$3,0,0,'Données projet'!$E$13+1,1))</f>
        <v>406.24139966722936</v>
      </c>
      <c r="CZ36" s="62">
        <f t="shared" si="42"/>
        <v>295.95724296920577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16.041538461538458</v>
      </c>
      <c r="DO36" s="13">
        <f>IF('Données projet'!$A$166&gt;35,DO35+DN36-DW35,IF(A36&lt;'Données projet'!$A$166,$DL$205^A36,IF(A36='Données projet'!$A$166,'Données projet'!$B$166,DO35+DN36-DW35)))</f>
        <v>204.00307692307697</v>
      </c>
      <c r="DP36" s="18">
        <f>DO36*VLOOKUP('Données projet'!$B$14,Paramètres!$A$1:$I$89,3,0)*VLOOKUP('Données projet'!$B$14,Paramètres!$A$1:$I$89,5,0)</f>
        <v>121.99384000000005</v>
      </c>
      <c r="DQ36" s="14">
        <f t="shared" si="43"/>
        <v>32.139582797648544</v>
      </c>
      <c r="DR36" s="22">
        <f t="shared" si="16"/>
        <v>268.44904470590461</v>
      </c>
      <c r="DS36" s="62">
        <f t="shared" si="17"/>
        <v>561.78237803923798</v>
      </c>
      <c r="DT36" s="62">
        <f ca="1">AVERAGE(OFFSET($DS$3,0,0,'Données projet'!$E$14+1,1))-AVERAGE(OFFSET($H$3,0,0,'Données projet'!$E$14+1,1))</f>
        <v>356.42779334565381</v>
      </c>
      <c r="DU36" s="62">
        <f t="shared" si="44"/>
        <v>320.06572891923685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3.6560134442625096</v>
      </c>
      <c r="EC36" s="23">
        <f>EXP(-LN(2)/2)*EC35+(1-EXP(-LN(2)/2))/(LN(2)/2)*DW36*DZ36*VLOOKUP('Données projet'!$B$14,Paramètres!$A$1:$I$89,3,0)*0.475*44/12</f>
        <v>6.0035426897568671</v>
      </c>
      <c r="ED36" s="24">
        <f t="shared" si="18"/>
        <v>9.6595561340193772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12.919999999999998</v>
      </c>
      <c r="FE36" s="13">
        <f>IF('Données projet'!$A$218&gt;35,FE35+FD36-FM35,IF(A36&lt;'Données projet'!$A$218,$FB$205^A36,IF(A36='Données projet'!$A$218,'Données projet'!$B$218,FE35+FD36-FM35)))</f>
        <v>180.55999999999992</v>
      </c>
      <c r="FF36" s="18">
        <f>FE36*VLOOKUP('Données projet'!$B$16,Paramètres!$A$1:$I$89,3,0)*VLOOKUP('Données projet'!$B$16,Paramètres!$A$1:$I$89,5,0)</f>
        <v>143.65353599999995</v>
      </c>
      <c r="FG36" s="14">
        <f t="shared" si="47"/>
        <v>37.132720247116019</v>
      </c>
      <c r="FH36" s="22">
        <f t="shared" si="22"/>
        <v>314.86939629706029</v>
      </c>
      <c r="FI36" s="62">
        <f t="shared" si="23"/>
        <v>608.20272963039361</v>
      </c>
      <c r="FJ36" s="62">
        <f ca="1">AVERAGE(OFFSET($FI$3,0,0,'Données projet'!$E$16+1,1))-AVERAGE(OFFSET($H$3,0,0,'Données projet'!$E$16+1,1))</f>
        <v>370.59298168107364</v>
      </c>
      <c r="FK36" s="62">
        <f t="shared" si="48"/>
        <v>404.61777090709171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10.8</v>
      </c>
      <c r="FZ36" s="13">
        <f>IF('Données projet'!$A$244&gt;35,FZ35+FY36-GH35,IF(A36&lt;'Données projet'!$A$244,$FW$205^A36,IF(A36='Données projet'!$A$244,'Données projet'!$B$244,FZ35+FY36-GH35)))</f>
        <v>153.40000000000006</v>
      </c>
      <c r="GA36" s="18">
        <f>FZ36*VLOOKUP('Données projet'!$B$17,Paramètres!$A$1:$I$89,3,0)*VLOOKUP('Données projet'!$B$17,Paramètres!$A$1:$I$89,5,0)</f>
        <v>148.36848000000006</v>
      </c>
      <c r="GB36" s="14">
        <f t="shared" si="49"/>
        <v>38.207581183185937</v>
      </c>
      <c r="GC36" s="22">
        <f t="shared" si="25"/>
        <v>324.95330656071559</v>
      </c>
      <c r="GD36" s="62">
        <f t="shared" si="26"/>
        <v>618.2866398940489</v>
      </c>
      <c r="GE36" s="62">
        <f ca="1">AVERAGE(OFFSET($GD$3,0,0,'Données projet'!$E$17+1,1))-AVERAGE(OFFSET($H$3,0,0,'Données projet'!$E$17+1,1))</f>
        <v>562.69380557620775</v>
      </c>
      <c r="GF36" s="62">
        <f t="shared" si="50"/>
        <v>294.45557293177131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8.717948717948719</v>
      </c>
      <c r="GU36" s="13">
        <f>IF('Données projet'!$A$270&gt;35,GU35+GT36-HC35,IF(A36&lt;'Données projet'!$A$270,$GR$205^A36,IF(A36='Données projet'!$A$270,'Données projet'!$B$270,GU35+GT36-HC35)))</f>
        <v>171.02564102564105</v>
      </c>
      <c r="GV36" s="18">
        <f>GU36*VLOOKUP('Données projet'!$B$18,Paramètres!$A$1:$I$89,3,0)*VLOOKUP('Données projet'!$B$18,Paramètres!$A$1:$I$89,5,0)</f>
        <v>114.72400000000003</v>
      </c>
      <c r="GW36" s="14">
        <f t="shared" si="51"/>
        <v>30.441257404392591</v>
      </c>
      <c r="GX36" s="22">
        <f t="shared" si="28"/>
        <v>252.82948997931717</v>
      </c>
      <c r="GY36" s="62">
        <f t="shared" si="29"/>
        <v>546.16282331265052</v>
      </c>
      <c r="GZ36" s="62">
        <f ca="1">AVERAGE(OFFSET($GY$3,0,0,'Données projet'!$E$18+1,1))-AVERAGE(OFFSET($H$3,0,0,'Données projet'!$E$18+1,1))</f>
        <v>363.53487081291541</v>
      </c>
      <c r="HA36" s="62">
        <f t="shared" si="52"/>
        <v>308.1559670593121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529.25712986118265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138.32208000000008</v>
      </c>
      <c r="AK37" s="14">
        <f t="shared" si="35"/>
        <v>35.912348257500334</v>
      </c>
      <c r="AL37" s="22">
        <f t="shared" si="4"/>
        <v>303.45829588181323</v>
      </c>
      <c r="AM37" s="62">
        <f t="shared" si="5"/>
        <v>596.79162921514649</v>
      </c>
      <c r="AN37" s="62">
        <f ca="1">AVERAGE(OFFSET($AM$3,0,0,'Données projet'!$E$10+1,1))-AVERAGE(OFFSET($H$3,0,0,'Données projet'!$E$10+1,1))</f>
        <v>495.77338291316386</v>
      </c>
      <c r="AO37" s="62">
        <f t="shared" si="36"/>
        <v>261.95434270986397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12.39487179487179</v>
      </c>
      <c r="BD37" s="13">
        <f>IF('Données projet'!$A$88&gt;35,BD36+BC37-BL36,IF(A37&lt;'Données projet'!$A$88,$BA$205^A37,IF(A37='Données projet'!$A$88,'Données projet'!$B$88,BD36+BC37-BL36)))</f>
        <v>213.97948717948719</v>
      </c>
      <c r="BE37" s="14">
        <f>BD37*VLOOKUP('Données projet'!$B$11,Paramètres!$A$1:$I$89,3,0)*VLOOKUP('Données projet'!$B$11,Paramètres!$A$1:$I$89,5,0)</f>
        <v>122.39626666666668</v>
      </c>
      <c r="BF37" s="14">
        <f t="shared" si="37"/>
        <v>32.233244383523733</v>
      </c>
      <c r="BG37" s="22">
        <f t="shared" si="7"/>
        <v>269.31306507908164</v>
      </c>
      <c r="BH37" s="62">
        <f t="shared" si="8"/>
        <v>562.64639841241501</v>
      </c>
      <c r="BI37" s="62">
        <f ca="1">AVERAGE(OFFSET($BH$3,0,0,'Données projet'!$E$11+1,1))-AVERAGE(OFFSET($H$3,0,0,'Données projet'!$E$11+1,1))</f>
        <v>320.67081032419122</v>
      </c>
      <c r="BJ37" s="62">
        <f t="shared" si="38"/>
        <v>290.51177680335746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2.1570952303606363</v>
      </c>
      <c r="BR37" s="23">
        <f>EXP(-LN(2)/2)*BR36+(1-EXP(-LN(2)/2))/(LN(2)/2)*BL37*BO37*VLOOKUP('Données projet'!$B$11,Paramètres!$A$1:$I$89,3,0)*0.475*44/12</f>
        <v>2.6929278331314195</v>
      </c>
      <c r="BS37" s="24">
        <f t="shared" si="9"/>
        <v>4.8500230634920563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166.49880000000007</v>
      </c>
      <c r="CA37" s="14">
        <f t="shared" si="39"/>
        <v>42.304924050589179</v>
      </c>
      <c r="CB37" s="22">
        <f t="shared" si="10"/>
        <v>363.66648605477627</v>
      </c>
      <c r="CC37" s="62">
        <f t="shared" si="11"/>
        <v>656.99981938810959</v>
      </c>
      <c r="CD37" s="62">
        <f ca="1">AVERAGE(OFFSET($CC$3,0,0,'Données projet'!$E$12+1,1))-AVERAGE(OFFSET($H$3,0,0,'Données projet'!$E$12+1,1))</f>
        <v>587.74247372331615</v>
      </c>
      <c r="CE37" s="62">
        <f t="shared" si="40"/>
        <v>306.61893266146666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7.1794871794871797</v>
      </c>
      <c r="CT37" s="13">
        <f>IF('Données projet'!$A$140&gt;35,CT36+CS37-DB36,IF(A37&lt;'Données projet'!$A$140,$CQ$205^A37,IF(A37='Données projet'!$A$140,'Données projet'!$B$140,CT36+CS37-DB36)))</f>
        <v>152.43589743589743</v>
      </c>
      <c r="CU37" s="18">
        <f>CT37*VLOOKUP('Données projet'!$B$13,Paramètres!$A$1:$I$89,3,0)*VLOOKUP('Données projet'!$B$13,Paramètres!$A$1:$I$89,5,0)</f>
        <v>145.05799999999999</v>
      </c>
      <c r="CV37" s="14">
        <f t="shared" si="41"/>
        <v>37.453317998658314</v>
      </c>
      <c r="CW37" s="22">
        <f t="shared" si="13"/>
        <v>317.87387884766321</v>
      </c>
      <c r="CX37" s="62">
        <f t="shared" si="14"/>
        <v>611.20721218099652</v>
      </c>
      <c r="CY37" s="62">
        <f ca="1">AVERAGE(OFFSET($CX$3,0,0,'Données projet'!$E$13+1,1))-AVERAGE(OFFSET($H$3,0,0,'Données projet'!$E$13+1,1))</f>
        <v>406.24139966722936</v>
      </c>
      <c r="CZ37" s="62">
        <f t="shared" si="42"/>
        <v>295.95724296920577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16.041538461538458</v>
      </c>
      <c r="DO37" s="13">
        <f>IF('Données projet'!$A$166&gt;35,DO36+DN37-DW36,IF(A37&lt;'Données projet'!$A$166,$DL$205^A37,IF(A37='Données projet'!$A$166,'Données projet'!$B$166,DO36+DN37-DW36)))</f>
        <v>220.04461538461544</v>
      </c>
      <c r="DP37" s="18">
        <f>DO37*VLOOKUP('Données projet'!$B$14,Paramètres!$A$1:$I$89,3,0)*VLOOKUP('Données projet'!$B$14,Paramètres!$A$1:$I$89,5,0)</f>
        <v>131.58668000000003</v>
      </c>
      <c r="DQ37" s="14">
        <f t="shared" si="43"/>
        <v>34.362735232350772</v>
      </c>
      <c r="DR37" s="22">
        <f t="shared" si="16"/>
        <v>289.02856486301101</v>
      </c>
      <c r="DS37" s="62">
        <f t="shared" si="17"/>
        <v>582.36189819634433</v>
      </c>
      <c r="DT37" s="62">
        <f ca="1">AVERAGE(OFFSET($DS$3,0,0,'Données projet'!$E$14+1,1))-AVERAGE(OFFSET($H$3,0,0,'Données projet'!$E$14+1,1))</f>
        <v>356.42779334565381</v>
      </c>
      <c r="DU37" s="62">
        <f t="shared" si="44"/>
        <v>320.06572891923685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3.5560395643677603</v>
      </c>
      <c r="EC37" s="23">
        <f>EXP(-LN(2)/2)*EC36+(1-EXP(-LN(2)/2))/(LN(2)/2)*DW37*DZ37*VLOOKUP('Données projet'!$B$14,Paramètres!$A$1:$I$89,3,0)*0.475*44/12</f>
        <v>4.2451457470700067</v>
      </c>
      <c r="ED37" s="24">
        <f t="shared" si="18"/>
        <v>7.8011853114377665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12.919999999999998</v>
      </c>
      <c r="FE37" s="13">
        <f>IF('Données projet'!$A$218&gt;35,FE36+FD37-FM36,IF(A37&lt;'Données projet'!$A$218,$FB$205^A37,IF(A37='Données projet'!$A$218,'Données projet'!$B$218,FE36+FD37-FM36)))</f>
        <v>193.4799999999999</v>
      </c>
      <c r="FF37" s="18">
        <f>FE37*VLOOKUP('Données projet'!$B$16,Paramètres!$A$1:$I$89,3,0)*VLOOKUP('Données projet'!$B$16,Paramètres!$A$1:$I$89,5,0)</f>
        <v>153.93268799999993</v>
      </c>
      <c r="FG37" s="14">
        <f t="shared" si="47"/>
        <v>39.470952496040077</v>
      </c>
      <c r="FH37" s="22">
        <f t="shared" si="22"/>
        <v>336.84467386393629</v>
      </c>
      <c r="FI37" s="62">
        <f t="shared" si="23"/>
        <v>630.17800719726961</v>
      </c>
      <c r="FJ37" s="62">
        <f ca="1">AVERAGE(OFFSET($FI$3,0,0,'Données projet'!$E$16+1,1))-AVERAGE(OFFSET($H$3,0,0,'Données projet'!$E$16+1,1))</f>
        <v>370.59298168107364</v>
      </c>
      <c r="FK37" s="62">
        <f t="shared" si="48"/>
        <v>404.61777090709171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10.8</v>
      </c>
      <c r="FZ37" s="13">
        <f>IF('Données projet'!$A$244&gt;35,FZ36+FY37-GH36,IF(A37&lt;'Données projet'!$A$244,$FW$205^A37,IF(A37='Données projet'!$A$244,'Données projet'!$B$244,FZ36+FY37-GH36)))</f>
        <v>164.20000000000007</v>
      </c>
      <c r="GA37" s="18">
        <f>FZ37*VLOOKUP('Données projet'!$B$17,Paramètres!$A$1:$I$89,3,0)*VLOOKUP('Données projet'!$B$17,Paramètres!$A$1:$I$89,5,0)</f>
        <v>158.81424000000007</v>
      </c>
      <c r="GB37" s="14">
        <f t="shared" si="49"/>
        <v>40.574948252224658</v>
      </c>
      <c r="GC37" s="22">
        <f t="shared" si="25"/>
        <v>347.26950287262474</v>
      </c>
      <c r="GD37" s="62">
        <f t="shared" si="26"/>
        <v>640.60283620595806</v>
      </c>
      <c r="GE37" s="62">
        <f ca="1">AVERAGE(OFFSET($GD$3,0,0,'Données projet'!$E$17+1,1))-AVERAGE(OFFSET($H$3,0,0,'Données projet'!$E$17+1,1))</f>
        <v>562.69380557620775</v>
      </c>
      <c r="GF37" s="62">
        <f t="shared" si="50"/>
        <v>294.45557293177131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8.717948717948719</v>
      </c>
      <c r="GU37" s="13">
        <f>IF('Données projet'!$A$270&gt;35,GU36+GT37-HC36,IF(A37&lt;'Données projet'!$A$270,$GR$205^A37,IF(A37='Données projet'!$A$270,'Données projet'!$B$270,GU36+GT37-HC36)))</f>
        <v>179.74358974358978</v>
      </c>
      <c r="GV37" s="18">
        <f>GU37*VLOOKUP('Données projet'!$B$18,Paramètres!$A$1:$I$89,3,0)*VLOOKUP('Données projet'!$B$18,Paramètres!$A$1:$I$89,5,0)</f>
        <v>120.57200000000003</v>
      </c>
      <c r="GW37" s="14">
        <f t="shared" si="51"/>
        <v>31.808371955809051</v>
      </c>
      <c r="GX37" s="22">
        <f t="shared" si="28"/>
        <v>265.3958144897008</v>
      </c>
      <c r="GY37" s="62">
        <f t="shared" si="29"/>
        <v>558.72914782303405</v>
      </c>
      <c r="GZ37" s="62">
        <f ca="1">AVERAGE(OFFSET($GY$3,0,0,'Données projet'!$E$18+1,1))-AVERAGE(OFFSET($H$3,0,0,'Données projet'!$E$18+1,1))</f>
        <v>363.53487081291541</v>
      </c>
      <c r="HA37" s="62">
        <f t="shared" si="52"/>
        <v>308.1559670593121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529.25712986118265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147.4200000000001</v>
      </c>
      <c r="AK38" s="14">
        <f t="shared" si="35"/>
        <v>37.991680647570327</v>
      </c>
      <c r="AL38" s="22">
        <f t="shared" si="4"/>
        <v>322.92534379451848</v>
      </c>
      <c r="AM38" s="62">
        <f t="shared" si="5"/>
        <v>616.2586771278518</v>
      </c>
      <c r="AN38" s="62">
        <f ca="1">AVERAGE(OFFSET($AM$3,0,0,'Données projet'!$E$10+1,1))-AVERAGE(OFFSET($H$3,0,0,'Données projet'!$E$10+1,1))</f>
        <v>495.77338291316386</v>
      </c>
      <c r="AO38" s="62">
        <f t="shared" si="36"/>
        <v>261.95434270986397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12.39487179487179</v>
      </c>
      <c r="BD38" s="13">
        <f>IF('Données projet'!$A$88&gt;35,BD37+BC38-BL37,IF(A38&lt;'Données projet'!$A$88,$BA$205^A38,IF(A38='Données projet'!$A$88,'Données projet'!$B$88,BD37+BC38-BL37)))</f>
        <v>226.37435897435898</v>
      </c>
      <c r="BE38" s="14">
        <f>BD38*VLOOKUP('Données projet'!$B$11,Paramètres!$A$1:$I$89,3,0)*VLOOKUP('Données projet'!$B$11,Paramètres!$A$1:$I$89,5,0)</f>
        <v>129.48613333333333</v>
      </c>
      <c r="BF38" s="14">
        <f t="shared" si="37"/>
        <v>33.877592476398533</v>
      </c>
      <c r="BG38" s="22">
        <f t="shared" si="7"/>
        <v>284.525155785283</v>
      </c>
      <c r="BH38" s="62">
        <f t="shared" si="8"/>
        <v>577.85848911861626</v>
      </c>
      <c r="BI38" s="62">
        <f ca="1">AVERAGE(OFFSET($BH$3,0,0,'Données projet'!$E$11+1,1))-AVERAGE(OFFSET($H$3,0,0,'Données projet'!$E$11+1,1))</f>
        <v>320.67081032419122</v>
      </c>
      <c r="BJ38" s="62">
        <f t="shared" si="38"/>
        <v>290.51177680335746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2.0981093478497166</v>
      </c>
      <c r="BR38" s="23">
        <f>EXP(-LN(2)/2)*BR37+(1-EXP(-LN(2)/2))/(LN(2)/2)*BL38*BO38*VLOOKUP('Données projet'!$B$11,Paramètres!$A$1:$I$89,3,0)*0.475*44/12</f>
        <v>1.9041875320532222</v>
      </c>
      <c r="BS38" s="24">
        <f t="shared" si="9"/>
        <v>4.0022968799029393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177.4500000000001</v>
      </c>
      <c r="CA38" s="14">
        <f t="shared" si="39"/>
        <v>44.754387900936791</v>
      </c>
      <c r="CB38" s="22">
        <f t="shared" si="10"/>
        <v>387.00597559413177</v>
      </c>
      <c r="CC38" s="62">
        <f t="shared" si="11"/>
        <v>680.33930892746503</v>
      </c>
      <c r="CD38" s="62">
        <f ca="1">AVERAGE(OFFSET($CC$3,0,0,'Données projet'!$E$12+1,1))-AVERAGE(OFFSET($H$3,0,0,'Données projet'!$E$12+1,1))</f>
        <v>587.74247372331615</v>
      </c>
      <c r="CE38" s="62">
        <f t="shared" si="40"/>
        <v>306.61893266146666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159.61538461538461</v>
      </c>
      <c r="CR38" s="13">
        <f>VLOOKUP(A38,'Données projet'!$A$139:$I$159,9,0)</f>
        <v>7.1794871794871797</v>
      </c>
      <c r="CS38" s="13">
        <f t="array" ref="CS38">INDEX(CR:CR,MIN(IF(ISNUMBER(CR38:CR234),ROW(CR38:CR234),"")))</f>
        <v>7.1794871794871797</v>
      </c>
      <c r="CT38" s="13">
        <f>IF('Données projet'!$A$140&gt;35,CT37+CS38-DB37,IF(A38&lt;'Données projet'!$A$140,$CQ$205^A38,IF(A38='Données projet'!$A$140,'Données projet'!$B$140,CT37+CS38-DB37)))</f>
        <v>159.61538461538461</v>
      </c>
      <c r="CU38" s="18">
        <f>CT38*VLOOKUP('Données projet'!$B$13,Paramètres!$A$1:$I$89,3,0)*VLOOKUP('Données projet'!$B$13,Paramètres!$A$1:$I$89,5,0)</f>
        <v>151.89000000000001</v>
      </c>
      <c r="CV38" s="14">
        <f t="shared" si="41"/>
        <v>39.007781402191782</v>
      </c>
      <c r="CW38" s="22">
        <f t="shared" si="13"/>
        <v>332.48030260881734</v>
      </c>
      <c r="CX38" s="62">
        <f t="shared" si="14"/>
        <v>625.81363594215065</v>
      </c>
      <c r="CY38" s="62">
        <f ca="1">AVERAGE(OFFSET($CX$3,0,0,'Données projet'!$E$13+1,1))-AVERAGE(OFFSET($H$3,0,0,'Données projet'!$E$13+1,1))</f>
        <v>406.24139966722936</v>
      </c>
      <c r="CZ38" s="62">
        <f t="shared" si="42"/>
        <v>295.95724296920577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33.333333333333336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16.041538461538458</v>
      </c>
      <c r="DO38" s="13">
        <f>IF('Données projet'!$A$166&gt;35,DO37+DN38-DW37,IF(A38&lt;'Données projet'!$A$166,$DL$205^A38,IF(A38='Données projet'!$A$166,'Données projet'!$B$166,DO37+DN38-DW37)))</f>
        <v>236.08615384615391</v>
      </c>
      <c r="DP38" s="18">
        <f>DO38*VLOOKUP('Données projet'!$B$14,Paramètres!$A$1:$I$89,3,0)*VLOOKUP('Données projet'!$B$14,Paramètres!$A$1:$I$89,5,0)</f>
        <v>141.17952000000005</v>
      </c>
      <c r="DQ38" s="14">
        <f t="shared" si="43"/>
        <v>36.567084880827409</v>
      </c>
      <c r="DR38" s="22">
        <f t="shared" si="16"/>
        <v>309.57533683410787</v>
      </c>
      <c r="DS38" s="62">
        <f t="shared" si="17"/>
        <v>602.90867016744119</v>
      </c>
      <c r="DT38" s="62">
        <f ca="1">AVERAGE(OFFSET($DS$3,0,0,'Données projet'!$E$14+1,1))-AVERAGE(OFFSET($H$3,0,0,'Données projet'!$E$14+1,1))</f>
        <v>356.42779334565381</v>
      </c>
      <c r="DU38" s="62">
        <f t="shared" si="44"/>
        <v>320.06572891923685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3.4587994754761304</v>
      </c>
      <c r="EC38" s="23">
        <f>EXP(-LN(2)/2)*EC37+(1-EXP(-LN(2)/2))/(LN(2)/2)*DW38*DZ38*VLOOKUP('Données projet'!$B$14,Paramètres!$A$1:$I$89,3,0)*0.475*44/12</f>
        <v>3.0017713448784344</v>
      </c>
      <c r="ED38" s="24">
        <f t="shared" si="18"/>
        <v>6.4605708203545653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206.4</v>
      </c>
      <c r="FC38" s="13">
        <f>VLOOKUP(A38,'Données projet'!$A$217:$I$237,9,0)</f>
        <v>12.919999999999998</v>
      </c>
      <c r="FD38" s="13">
        <f t="array" ref="FD38">INDEX(FC:FC,MIN(IF(ISNUMBER(FC38:FC234),ROW(FC38:FC234),"")))</f>
        <v>12.919999999999998</v>
      </c>
      <c r="FE38" s="13">
        <f>IF('Données projet'!$A$218&gt;35,FE37+FD38-FM37,IF(A38&lt;'Données projet'!$A$218,$FB$205^A38,IF(A38='Données projet'!$A$218,'Données projet'!$B$218,FE37+FD38-FM37)))</f>
        <v>206.39999999999989</v>
      </c>
      <c r="FF38" s="18">
        <f>FE38*VLOOKUP('Données projet'!$B$16,Paramètres!$A$1:$I$89,3,0)*VLOOKUP('Données projet'!$B$16,Paramètres!$A$1:$I$89,5,0)</f>
        <v>164.21183999999994</v>
      </c>
      <c r="FG38" s="14">
        <f t="shared" si="47"/>
        <v>41.79106629541738</v>
      </c>
      <c r="FH38" s="22">
        <f t="shared" si="22"/>
        <v>358.78839513118515</v>
      </c>
      <c r="FI38" s="62">
        <f t="shared" si="23"/>
        <v>652.12172846451847</v>
      </c>
      <c r="FJ38" s="62">
        <f ca="1">AVERAGE(OFFSET($FI$3,0,0,'Données projet'!$E$16+1,1))-AVERAGE(OFFSET($H$3,0,0,'Données projet'!$E$16+1,1))</f>
        <v>370.59298168107364</v>
      </c>
      <c r="FK38" s="62">
        <f t="shared" si="48"/>
        <v>404.61777090709171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175</v>
      </c>
      <c r="FX38" s="13">
        <f>VLOOKUP(A38,'Données projet'!$A$243:$I$263,9,0)</f>
        <v>10.8</v>
      </c>
      <c r="FY38" s="13">
        <f t="array" ref="FY38">INDEX(FX:FX,MIN(IF(ISNUMBER(FX38:FX234),ROW(FX38:FX234),"")))</f>
        <v>10.8</v>
      </c>
      <c r="FZ38" s="13">
        <f>IF('Données projet'!$A$244&gt;35,FZ37+FY38-GH37,IF(A38&lt;'Données projet'!$A$244,$FW$205^A38,IF(A38='Données projet'!$A$244,'Données projet'!$B$244,FZ37+FY38-GH37)))</f>
        <v>175.00000000000009</v>
      </c>
      <c r="GA38" s="18">
        <f>FZ38*VLOOKUP('Données projet'!$B$17,Paramètres!$A$1:$I$89,3,0)*VLOOKUP('Données projet'!$B$17,Paramètres!$A$1:$I$89,5,0)</f>
        <v>169.2600000000001</v>
      </c>
      <c r="GB38" s="14">
        <f t="shared" si="49"/>
        <v>42.924246146122314</v>
      </c>
      <c r="GC38" s="22">
        <f t="shared" si="25"/>
        <v>369.55422870449644</v>
      </c>
      <c r="GD38" s="62">
        <f t="shared" si="26"/>
        <v>662.88756203782975</v>
      </c>
      <c r="GE38" s="62">
        <f ca="1">AVERAGE(OFFSET($GD$3,0,0,'Données projet'!$E$17+1,1))-AVERAGE(OFFSET($H$3,0,0,'Données projet'!$E$17+1,1))</f>
        <v>562.69380557620775</v>
      </c>
      <c r="GF38" s="62">
        <f t="shared" si="50"/>
        <v>294.45557293177131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56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188.46153846153845</v>
      </c>
      <c r="GS38" s="13">
        <f>VLOOKUP(A38,'Données projet'!$A$269:$I$289,9,0)</f>
        <v>8.717948717948719</v>
      </c>
      <c r="GT38" s="13">
        <f t="array" ref="GT38">INDEX(GS:GS,MIN(IF(ISNUMBER(GS38:GS234),ROW(GS38:GS234),"")))</f>
        <v>8.717948717948719</v>
      </c>
      <c r="GU38" s="13">
        <f>IF('Données projet'!$A$270&gt;35,GU37+GT38-HC37,IF(A38&lt;'Données projet'!$A$270,$GR$205^A38,IF(A38='Données projet'!$A$270,'Données projet'!$B$270,GU37+GT38-HC37)))</f>
        <v>188.46153846153851</v>
      </c>
      <c r="GV38" s="18">
        <f>GU38*VLOOKUP('Données projet'!$B$18,Paramètres!$A$1:$I$89,3,0)*VLOOKUP('Données projet'!$B$18,Paramètres!$A$1:$I$89,5,0)</f>
        <v>126.42000000000004</v>
      </c>
      <c r="GW38" s="14">
        <f t="shared" si="51"/>
        <v>33.167786817172477</v>
      </c>
      <c r="GX38" s="22">
        <f t="shared" si="28"/>
        <v>277.94872870657542</v>
      </c>
      <c r="GY38" s="62">
        <f t="shared" si="29"/>
        <v>571.28206203990874</v>
      </c>
      <c r="GZ38" s="62">
        <f ca="1">AVERAGE(OFFSET($GY$3,0,0,'Données projet'!$E$18+1,1))-AVERAGE(OFFSET($H$3,0,0,'Données projet'!$E$18+1,1))</f>
        <v>363.53487081291541</v>
      </c>
      <c r="HA38" s="62">
        <f t="shared" si="52"/>
        <v>308.1559670593121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529.25712986118265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109.68048000000009</v>
      </c>
      <c r="AK39" s="14">
        <f t="shared" si="35"/>
        <v>29.255690427909659</v>
      </c>
      <c r="AL39" s="22">
        <f t="shared" si="4"/>
        <v>241.98049682860949</v>
      </c>
      <c r="AM39" s="62">
        <f t="shared" si="5"/>
        <v>535.31383016194286</v>
      </c>
      <c r="AN39" s="62">
        <f ca="1">AVERAGE(OFFSET($AM$3,0,0,'Données projet'!$E$10+1,1))-AVERAGE(OFFSET($H$3,0,0,'Données projet'!$E$10+1,1))</f>
        <v>495.77338291316386</v>
      </c>
      <c r="AO39" s="62">
        <f t="shared" si="36"/>
        <v>261.95434270986397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238.76923076923075</v>
      </c>
      <c r="BB39" s="13">
        <f>VLOOKUP(A39,'Données projet'!$A$87:$I$107,9,0)</f>
        <v>12.39487179487179</v>
      </c>
      <c r="BC39" s="13">
        <f t="array" ref="BC39">INDEX(BB:BB,MIN(IF(ISNUMBER(BB39:BB235),ROW(BB39:BB235),"")))</f>
        <v>12.39487179487179</v>
      </c>
      <c r="BD39" s="13">
        <f>IF('Données projet'!$A$88&gt;35,BD38+BC39-BL38,IF(A39&lt;'Données projet'!$A$88,$BA$205^A39,IF(A39='Données projet'!$A$88,'Données projet'!$B$88,BD38+BC39-BL38)))</f>
        <v>238.76923076923077</v>
      </c>
      <c r="BE39" s="14">
        <f>BD39*VLOOKUP('Données projet'!$B$11,Paramètres!$A$1:$I$89,3,0)*VLOOKUP('Données projet'!$B$11,Paramètres!$A$1:$I$89,5,0)</f>
        <v>136.57600000000002</v>
      </c>
      <c r="BF39" s="14">
        <f t="shared" si="37"/>
        <v>35.511488375527719</v>
      </c>
      <c r="BG39" s="22">
        <f t="shared" si="7"/>
        <v>299.71904225404415</v>
      </c>
      <c r="BH39" s="62">
        <f t="shared" si="8"/>
        <v>593.05237558737747</v>
      </c>
      <c r="BI39" s="62">
        <f ca="1">AVERAGE(OFFSET($BH$3,0,0,'Données projet'!$E$11+1,1))-AVERAGE(OFFSET($H$3,0,0,'Données projet'!$E$11+1,1))</f>
        <v>320.67081032419122</v>
      </c>
      <c r="BJ39" s="62">
        <f t="shared" si="38"/>
        <v>290.51177680335746</v>
      </c>
      <c r="BK39" s="16">
        <f>IF(ISNA(VLOOKUP(A39,'Données projet'!$A$87:$I$107,3,0)),0,VLOOKUP(A39,'Données projet'!$A$87:$I$107,3,0))</f>
        <v>4</v>
      </c>
      <c r="BL39" s="16">
        <f>IF(ISNA(VLOOKUP(A39,'Données projet'!$A$87:$I$107,4,0)),0,VLOOKUP(A39,'Données projet'!$A$87:$I$107,4,0))</f>
        <v>35.084615384615383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2.0407364373979906</v>
      </c>
      <c r="BR39" s="23">
        <f>EXP(-LN(2)/2)*BR38+(1-EXP(-LN(2)/2))/(LN(2)/2)*BL39*BO39*VLOOKUP('Données projet'!$B$11,Paramètres!$A$1:$I$89,3,0)*0.475*44/12</f>
        <v>1.3464639165657097</v>
      </c>
      <c r="BS39" s="24">
        <f t="shared" si="9"/>
        <v>3.3872003539637001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2">
        <f t="shared" si="11"/>
        <v>583.29670806273748</v>
      </c>
      <c r="CD39" s="62">
        <f ca="1">AVERAGE(OFFSET($CC$3,0,0,'Données projet'!$E$12+1,1))-AVERAGE(OFFSET($H$3,0,0,'Données projet'!$E$12+1,1))</f>
        <v>587.74247372331615</v>
      </c>
      <c r="CE39" s="62">
        <f t="shared" si="40"/>
        <v>306.61893266146666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6.7948717948717956</v>
      </c>
      <c r="CT39" s="13">
        <f>IF('Données projet'!$A$140&gt;35,CT38+CS39-DB38,IF(A39&lt;'Données projet'!$A$140,$CQ$205^A39,IF(A39='Données projet'!$A$140,'Données projet'!$B$140,CT38+CS39-DB38)))</f>
        <v>133.07692307692307</v>
      </c>
      <c r="CU39" s="18">
        <f>CT39*VLOOKUP('Données projet'!$B$13,Paramètres!$A$1:$I$89,3,0)*VLOOKUP('Données projet'!$B$13,Paramètres!$A$1:$I$89,5,0)</f>
        <v>126.636</v>
      </c>
      <c r="CV39" s="14">
        <f t="shared" si="41"/>
        <v>33.217855596652925</v>
      </c>
      <c r="CW39" s="22">
        <f t="shared" si="13"/>
        <v>278.41213183083715</v>
      </c>
      <c r="CX39" s="62">
        <f t="shared" si="14"/>
        <v>571.74546516417047</v>
      </c>
      <c r="CY39" s="62">
        <f ca="1">AVERAGE(OFFSET($CX$3,0,0,'Données projet'!$E$13+1,1))-AVERAGE(OFFSET($H$3,0,0,'Données projet'!$E$13+1,1))</f>
        <v>406.24139966722936</v>
      </c>
      <c r="CZ39" s="62">
        <f t="shared" si="42"/>
        <v>295.95724296920577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16.041538461538458</v>
      </c>
      <c r="DO39" s="13">
        <f>IF('Données projet'!$A$166&gt;35,DO38+DN39-DW38,IF(A39&lt;'Données projet'!$A$166,$DL$205^A39,IF(A39='Données projet'!$A$166,'Données projet'!$B$166,DO38+DN39-DW38)))</f>
        <v>252.12769230769237</v>
      </c>
      <c r="DP39" s="18">
        <f>DO39*VLOOKUP('Données projet'!$B$14,Paramètres!$A$1:$I$89,3,0)*VLOOKUP('Données projet'!$B$14,Paramètres!$A$1:$I$89,5,0)</f>
        <v>150.77236000000005</v>
      </c>
      <c r="DQ39" s="14">
        <f t="shared" si="43"/>
        <v>38.754054703327512</v>
      </c>
      <c r="DR39" s="22">
        <f t="shared" si="16"/>
        <v>330.09183894162885</v>
      </c>
      <c r="DS39" s="62">
        <f t="shared" si="17"/>
        <v>623.42517227496216</v>
      </c>
      <c r="DT39" s="62">
        <f ca="1">AVERAGE(OFFSET($DS$3,0,0,'Données projet'!$E$14+1,1))-AVERAGE(OFFSET($H$3,0,0,'Données projet'!$E$14+1,1))</f>
        <v>356.42779334565381</v>
      </c>
      <c r="DU39" s="62">
        <f t="shared" si="44"/>
        <v>320.06572891923685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3.3642184219288764</v>
      </c>
      <c r="EC39" s="23">
        <f>EXP(-LN(2)/2)*EC38+(1-EXP(-LN(2)/2))/(LN(2)/2)*DW39*DZ39*VLOOKUP('Données projet'!$B$14,Paramètres!$A$1:$I$89,3,0)*0.475*44/12</f>
        <v>2.1225728735350038</v>
      </c>
      <c r="ED39" s="24">
        <f t="shared" si="18"/>
        <v>5.4867912954638802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11.340000000000003</v>
      </c>
      <c r="FE39" s="13">
        <f>IF('Données projet'!$A$218&gt;35,FE38+FD39-FM38,IF(A39&lt;'Données projet'!$A$218,$FB$205^A39,IF(A39='Données projet'!$A$218,'Données projet'!$B$218,FE38+FD39-FM38)))</f>
        <v>217.7399999999999</v>
      </c>
      <c r="FF39" s="18">
        <f>FE39*VLOOKUP('Données projet'!$B$16,Paramètres!$A$1:$I$89,3,0)*VLOOKUP('Données projet'!$B$16,Paramètres!$A$1:$I$89,5,0)</f>
        <v>173.23394399999992</v>
      </c>
      <c r="FG39" s="14">
        <f t="shared" si="47"/>
        <v>43.813523178063591</v>
      </c>
      <c r="FH39" s="22">
        <f t="shared" si="22"/>
        <v>378.02433866846064</v>
      </c>
      <c r="FI39" s="62">
        <f t="shared" si="23"/>
        <v>671.35767200179396</v>
      </c>
      <c r="FJ39" s="62">
        <f ca="1">AVERAGE(OFFSET($FI$3,0,0,'Données projet'!$E$16+1,1))-AVERAGE(OFFSET($H$3,0,0,'Données projet'!$E$16+1,1))</f>
        <v>370.59298168107364</v>
      </c>
      <c r="FK39" s="62">
        <f t="shared" si="48"/>
        <v>404.61777090709171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11.2</v>
      </c>
      <c r="FZ39" s="13">
        <f>IF('Données projet'!$A$244&gt;35,FZ38+FY39-GH38,IF(A39&lt;'Données projet'!$A$244,$FW$205^A39,IF(A39='Données projet'!$A$244,'Données projet'!$B$244,FZ38+FY39-GH38)))</f>
        <v>130.20000000000007</v>
      </c>
      <c r="GA39" s="18">
        <f>FZ39*VLOOKUP('Données projet'!$B$17,Paramètres!$A$1:$I$89,3,0)*VLOOKUP('Données projet'!$B$17,Paramètres!$A$1:$I$89,5,0)</f>
        <v>125.92944000000007</v>
      </c>
      <c r="GB39" s="14">
        <f t="shared" si="49"/>
        <v>33.054038034052077</v>
      </c>
      <c r="GC39" s="22">
        <f t="shared" si="25"/>
        <v>276.89622424264081</v>
      </c>
      <c r="GD39" s="62">
        <f t="shared" si="26"/>
        <v>570.22955757597413</v>
      </c>
      <c r="GE39" s="62">
        <f ca="1">AVERAGE(OFFSET($GD$3,0,0,'Données projet'!$E$17+1,1))-AVERAGE(OFFSET($H$3,0,0,'Données projet'!$E$17+1,1))</f>
        <v>562.69380557620775</v>
      </c>
      <c r="GF39" s="62">
        <f t="shared" si="50"/>
        <v>294.45557293177131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7.9487179487179507</v>
      </c>
      <c r="GU39" s="13">
        <f>IF('Données projet'!$A$270&gt;35,GU38+GT39-HC38,IF(A39&lt;'Données projet'!$A$270,$GR$205^A39,IF(A39='Données projet'!$A$270,'Données projet'!$B$270,GU38+GT39-HC38)))</f>
        <v>196.41025641025647</v>
      </c>
      <c r="GV39" s="18">
        <f>GU39*VLOOKUP('Données projet'!$B$18,Paramètres!$A$1:$I$89,3,0)*VLOOKUP('Données projet'!$B$18,Paramètres!$A$1:$I$89,5,0)</f>
        <v>131.75200000000004</v>
      </c>
      <c r="GW39" s="14">
        <f t="shared" si="51"/>
        <v>34.400879137880764</v>
      </c>
      <c r="GX39" s="22">
        <f t="shared" si="28"/>
        <v>289.38293116514234</v>
      </c>
      <c r="GY39" s="62">
        <f t="shared" si="29"/>
        <v>582.71626449847565</v>
      </c>
      <c r="GZ39" s="62">
        <f ca="1">AVERAGE(OFFSET($GY$3,0,0,'Données projet'!$E$18+1,1))-AVERAGE(OFFSET($H$3,0,0,'Données projet'!$E$18+1,1))</f>
        <v>363.53487081291541</v>
      </c>
      <c r="HA39" s="62">
        <f t="shared" si="52"/>
        <v>308.1559670593121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529.25712986118265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119.11536000000007</v>
      </c>
      <c r="AK40" s="14">
        <f t="shared" si="35"/>
        <v>31.468582772748093</v>
      </c>
      <c r="AL40" s="22">
        <f t="shared" si="4"/>
        <v>262.26703366253639</v>
      </c>
      <c r="AM40" s="62">
        <f t="shared" si="5"/>
        <v>555.60036699586976</v>
      </c>
      <c r="AN40" s="62">
        <f ca="1">AVERAGE(OFFSET($AM$3,0,0,'Données projet'!$E$10+1,1))-AVERAGE(OFFSET($H$3,0,0,'Données projet'!$E$10+1,1))</f>
        <v>495.77338291316386</v>
      </c>
      <c r="AO40" s="62">
        <f t="shared" si="36"/>
        <v>261.95434270986397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11.24038461538462</v>
      </c>
      <c r="BD40" s="13">
        <f>IF('Données projet'!$A$88&gt;35,BD39+BC40-BL39,IF(A40&lt;'Données projet'!$A$88,$BA$205^A40,IF(A40='Données projet'!$A$88,'Données projet'!$B$88,BD39+BC40-BL39)))</f>
        <v>214.92500000000001</v>
      </c>
      <c r="BE40" s="14">
        <f>BD40*VLOOKUP('Données projet'!$B$11,Paramètres!$A$1:$I$89,3,0)*VLOOKUP('Données projet'!$B$11,Paramètres!$A$1:$I$89,5,0)</f>
        <v>122.93710000000002</v>
      </c>
      <c r="BF40" s="14">
        <f t="shared" si="37"/>
        <v>32.359062589867769</v>
      </c>
      <c r="BG40" s="22">
        <f t="shared" si="7"/>
        <v>270.47414984401968</v>
      </c>
      <c r="BH40" s="62">
        <f t="shared" si="8"/>
        <v>563.80748317735299</v>
      </c>
      <c r="BI40" s="62">
        <f ca="1">AVERAGE(OFFSET($BH$3,0,0,'Données projet'!$E$11+1,1))-AVERAGE(OFFSET($H$3,0,0,'Données projet'!$E$11+1,1))</f>
        <v>320.67081032419122</v>
      </c>
      <c r="BJ40" s="62">
        <f t="shared" si="38"/>
        <v>290.51177680335746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1.9849323921996775</v>
      </c>
      <c r="BR40" s="23">
        <f>EXP(-LN(2)/2)*BR39+(1-EXP(-LN(2)/2))/(LN(2)/2)*BL40*BO40*VLOOKUP('Données projet'!$B$11,Paramètres!$A$1:$I$89,3,0)*0.475*44/12</f>
        <v>0.95209376602661111</v>
      </c>
      <c r="BS40" s="24">
        <f t="shared" si="9"/>
        <v>2.9370261582262884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143.37960000000007</v>
      </c>
      <c r="CA40" s="14">
        <f t="shared" si="39"/>
        <v>37.070146308317504</v>
      </c>
      <c r="CB40" s="22">
        <f t="shared" si="10"/>
        <v>314.28330815365308</v>
      </c>
      <c r="CC40" s="62">
        <f t="shared" si="11"/>
        <v>607.6166414869864</v>
      </c>
      <c r="CD40" s="62">
        <f ca="1">AVERAGE(OFFSET($CC$3,0,0,'Données projet'!$E$12+1,1))-AVERAGE(OFFSET($H$3,0,0,'Données projet'!$E$12+1,1))</f>
        <v>587.74247372331615</v>
      </c>
      <c r="CE40" s="62">
        <f t="shared" si="40"/>
        <v>306.61893266146666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6.7948717948717956</v>
      </c>
      <c r="CT40" s="13">
        <f>IF('Données projet'!$A$140&gt;35,CT39+CS40-DB39,IF(A40&lt;'Données projet'!$A$140,$CQ$205^A40,IF(A40='Données projet'!$A$140,'Données projet'!$B$140,CT39+CS40-DB39)))</f>
        <v>139.87179487179486</v>
      </c>
      <c r="CU40" s="18">
        <f>CT40*VLOOKUP('Données projet'!$B$13,Paramètres!$A$1:$I$89,3,0)*VLOOKUP('Données projet'!$B$13,Paramètres!$A$1:$I$89,5,0)</f>
        <v>133.102</v>
      </c>
      <c r="CV40" s="14">
        <f t="shared" si="41"/>
        <v>34.712153760745615</v>
      </c>
      <c r="CW40" s="22">
        <f t="shared" si="13"/>
        <v>292.27631779996528</v>
      </c>
      <c r="CX40" s="62">
        <f t="shared" si="14"/>
        <v>585.6096511332986</v>
      </c>
      <c r="CY40" s="62">
        <f ca="1">AVERAGE(OFFSET($CX$3,0,0,'Données projet'!$E$13+1,1))-AVERAGE(OFFSET($H$3,0,0,'Données projet'!$E$13+1,1))</f>
        <v>406.24139966722936</v>
      </c>
      <c r="CZ40" s="62">
        <f t="shared" si="42"/>
        <v>295.95724296920577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268.16923076923075</v>
      </c>
      <c r="DM40" s="13">
        <f>VLOOKUP(A40,'Données projet'!$A$165:$I$185,9,0)</f>
        <v>16.041538461538458</v>
      </c>
      <c r="DN40" s="13">
        <f t="array" ref="DN40">INDEX(DM:DM,MIN(IF(ISNUMBER(DM40:DM236),ROW(DM40:DM236),"")))</f>
        <v>16.041538461538458</v>
      </c>
      <c r="DO40" s="13">
        <f>IF('Données projet'!$A$166&gt;35,DO39+DN40-DW39,IF(A40&lt;'Données projet'!$A$166,$DL$205^A40,IF(A40='Données projet'!$A$166,'Données projet'!$B$166,DO39+DN40-DW39)))</f>
        <v>268.16923076923081</v>
      </c>
      <c r="DP40" s="18">
        <f>DO40*VLOOKUP('Données projet'!$B$14,Paramètres!$A$1:$I$89,3,0)*VLOOKUP('Données projet'!$B$14,Paramètres!$A$1:$I$89,5,0)</f>
        <v>160.36520000000004</v>
      </c>
      <c r="DQ40" s="14">
        <f t="shared" si="43"/>
        <v>40.924876352970031</v>
      </c>
      <c r="DR40" s="22">
        <f t="shared" si="16"/>
        <v>350.58021631475617</v>
      </c>
      <c r="DS40" s="62">
        <f t="shared" si="17"/>
        <v>643.91354964808943</v>
      </c>
      <c r="DT40" s="62">
        <f ca="1">AVERAGE(OFFSET($DS$3,0,0,'Données projet'!$E$14+1,1))-AVERAGE(OFFSET($H$3,0,0,'Données projet'!$E$14+1,1))</f>
        <v>356.42779334565381</v>
      </c>
      <c r="DU40" s="62">
        <f t="shared" si="44"/>
        <v>320.06572891923685</v>
      </c>
      <c r="DV40" s="16">
        <f>IF(ISNA(VLOOKUP(A40,'Données projet'!$A$165:$I$185,3,0)),0,VLOOKUP(A40,'Données projet'!$A$165:$I$185,3,0))</f>
        <v>4</v>
      </c>
      <c r="DW40" s="16">
        <f>IF(ISNA(VLOOKUP(A40,'Données projet'!$A$165:$I$185,4,0)),0,VLOOKUP(A40,'Données projet'!$A$165:$I$185,4,0))</f>
        <v>43.623076923076923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3.2722236922646735</v>
      </c>
      <c r="EC40" s="23">
        <f>EXP(-LN(2)/2)*EC39+(1-EXP(-LN(2)/2))/(LN(2)/2)*DW40*DZ40*VLOOKUP('Données projet'!$B$14,Paramètres!$A$1:$I$89,3,0)*0.475*44/12</f>
        <v>1.5008856724392174</v>
      </c>
      <c r="ED40" s="24">
        <f t="shared" si="18"/>
        <v>4.7731093647038909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11.340000000000003</v>
      </c>
      <c r="FE40" s="13">
        <f>IF('Données projet'!$A$218&gt;35,FE39+FD40-FM39,IF(A40&lt;'Données projet'!$A$218,$FB$205^A40,IF(A40='Données projet'!$A$218,'Données projet'!$B$218,FE39+FD40-FM39)))</f>
        <v>229.0799999999999</v>
      </c>
      <c r="FF40" s="18">
        <f>FE40*VLOOKUP('Données projet'!$B$16,Paramètres!$A$1:$I$89,3,0)*VLOOKUP('Données projet'!$B$16,Paramètres!$A$1:$I$89,5,0)</f>
        <v>182.25604799999994</v>
      </c>
      <c r="FG40" s="14">
        <f t="shared" si="47"/>
        <v>45.823750842861273</v>
      </c>
      <c r="FH40" s="22">
        <f t="shared" si="22"/>
        <v>397.23898298464991</v>
      </c>
      <c r="FI40" s="62">
        <f t="shared" si="23"/>
        <v>690.57231631798322</v>
      </c>
      <c r="FJ40" s="62">
        <f ca="1">AVERAGE(OFFSET($FI$3,0,0,'Données projet'!$E$16+1,1))-AVERAGE(OFFSET($H$3,0,0,'Données projet'!$E$16+1,1))</f>
        <v>370.59298168107364</v>
      </c>
      <c r="FK40" s="62">
        <f t="shared" si="48"/>
        <v>404.61777090709171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11.2</v>
      </c>
      <c r="FZ40" s="13">
        <f>IF('Données projet'!$A$244&gt;35,FZ39+FY40-GH39,IF(A40&lt;'Données projet'!$A$244,$FW$205^A40,IF(A40='Données projet'!$A$244,'Données projet'!$B$244,FZ39+FY40-GH39)))</f>
        <v>141.40000000000006</v>
      </c>
      <c r="GA40" s="18">
        <f>FZ40*VLOOKUP('Données projet'!$B$17,Paramètres!$A$1:$I$89,3,0)*VLOOKUP('Données projet'!$B$17,Paramètres!$A$1:$I$89,5,0)</f>
        <v>136.76208000000005</v>
      </c>
      <c r="GB40" s="14">
        <f t="shared" si="49"/>
        <v>35.554236342883392</v>
      </c>
      <c r="GC40" s="22">
        <f t="shared" si="25"/>
        <v>300.11758429718867</v>
      </c>
      <c r="GD40" s="62">
        <f t="shared" si="26"/>
        <v>593.45091763052199</v>
      </c>
      <c r="GE40" s="62">
        <f ca="1">AVERAGE(OFFSET($GD$3,0,0,'Données projet'!$E$17+1,1))-AVERAGE(OFFSET($H$3,0,0,'Données projet'!$E$17+1,1))</f>
        <v>562.69380557620775</v>
      </c>
      <c r="GF40" s="62">
        <f t="shared" si="50"/>
        <v>294.45557293177131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7.9487179487179507</v>
      </c>
      <c r="GU40" s="13">
        <f>IF('Données projet'!$A$270&gt;35,GU39+GT40-HC39,IF(A40&lt;'Données projet'!$A$270,$GR$205^A40,IF(A40='Données projet'!$A$270,'Données projet'!$B$270,GU39+GT40-HC39)))</f>
        <v>204.35897435897442</v>
      </c>
      <c r="GV40" s="18">
        <f>GU40*VLOOKUP('Données projet'!$B$18,Paramètres!$A$1:$I$89,3,0)*VLOOKUP('Données projet'!$B$18,Paramètres!$A$1:$I$89,5,0)</f>
        <v>137.08400000000003</v>
      </c>
      <c r="GW40" s="14">
        <f t="shared" si="51"/>
        <v>35.628174713483716</v>
      </c>
      <c r="GX40" s="22">
        <f t="shared" si="28"/>
        <v>300.80703762598421</v>
      </c>
      <c r="GY40" s="62">
        <f t="shared" si="29"/>
        <v>594.14037095931758</v>
      </c>
      <c r="GZ40" s="62">
        <f ca="1">AVERAGE(OFFSET($GY$3,0,0,'Données projet'!$E$18+1,1))-AVERAGE(OFFSET($H$3,0,0,'Données projet'!$E$18+1,1))</f>
        <v>363.53487081291541</v>
      </c>
      <c r="HA40" s="62">
        <f t="shared" si="52"/>
        <v>308.1559670593121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529.25712986118265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128.55024000000006</v>
      </c>
      <c r="AK41" s="14">
        <f t="shared" si="35"/>
        <v>33.661144026076698</v>
      </c>
      <c r="AL41" s="22">
        <f t="shared" si="4"/>
        <v>282.51816051208368</v>
      </c>
      <c r="AM41" s="62">
        <f t="shared" si="5"/>
        <v>575.85149384541705</v>
      </c>
      <c r="AN41" s="62">
        <f ca="1">AVERAGE(OFFSET($AM$3,0,0,'Données projet'!$E$10+1,1))-AVERAGE(OFFSET($H$3,0,0,'Données projet'!$E$10+1,1))</f>
        <v>495.77338291316386</v>
      </c>
      <c r="AO41" s="62">
        <f t="shared" si="36"/>
        <v>261.95434270986397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11.24038461538462</v>
      </c>
      <c r="BD41" s="13">
        <f>IF('Données projet'!$A$88&gt;35,BD40+BC41-BL40,IF(A41&lt;'Données projet'!$A$88,$BA$205^A41,IF(A41='Données projet'!$A$88,'Données projet'!$B$88,BD40+BC41-BL40)))</f>
        <v>226.16538461538462</v>
      </c>
      <c r="BE41" s="14">
        <f>BD41*VLOOKUP('Données projet'!$B$11,Paramètres!$A$1:$I$89,3,0)*VLOOKUP('Données projet'!$B$11,Paramètres!$A$1:$I$89,5,0)</f>
        <v>129.36660000000001</v>
      </c>
      <c r="BF41" s="14">
        <f t="shared" si="37"/>
        <v>33.849957610887543</v>
      </c>
      <c r="BG41" s="22">
        <f t="shared" si="7"/>
        <v>284.2688378389625</v>
      </c>
      <c r="BH41" s="62">
        <f t="shared" si="8"/>
        <v>577.60217117229581</v>
      </c>
      <c r="BI41" s="62">
        <f ca="1">AVERAGE(OFFSET($BH$3,0,0,'Données projet'!$E$11+1,1))-AVERAGE(OFFSET($H$3,0,0,'Données projet'!$E$11+1,1))</f>
        <v>320.67081032419122</v>
      </c>
      <c r="BJ41" s="62">
        <f t="shared" si="38"/>
        <v>290.51177680335746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1.9306543115519195</v>
      </c>
      <c r="BR41" s="23">
        <f>EXP(-LN(2)/2)*BR40+(1-EXP(-LN(2)/2))/(LN(2)/2)*BL41*BO41*VLOOKUP('Données projet'!$B$11,Paramètres!$A$1:$I$89,3,0)*0.475*44/12</f>
        <v>0.67323195828285487</v>
      </c>
      <c r="BS41" s="24">
        <f t="shared" si="9"/>
        <v>2.6038862698347742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154.73640000000006</v>
      </c>
      <c r="CA41" s="14">
        <f t="shared" si="39"/>
        <v>39.652994320183701</v>
      </c>
      <c r="CB41" s="22">
        <f t="shared" si="10"/>
        <v>338.56152844098671</v>
      </c>
      <c r="CC41" s="62">
        <f t="shared" si="11"/>
        <v>631.89486177432002</v>
      </c>
      <c r="CD41" s="62">
        <f ca="1">AVERAGE(OFFSET($CC$3,0,0,'Données projet'!$E$12+1,1))-AVERAGE(OFFSET($H$3,0,0,'Données projet'!$E$12+1,1))</f>
        <v>587.74247372331615</v>
      </c>
      <c r="CE41" s="62">
        <f t="shared" si="40"/>
        <v>306.61893266146666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6.7948717948717956</v>
      </c>
      <c r="CT41" s="13">
        <f>IF('Données projet'!$A$140&gt;35,CT40+CS41-DB40,IF(A41&lt;'Données projet'!$A$140,$CQ$205^A41,IF(A41='Données projet'!$A$140,'Données projet'!$B$140,CT40+CS41-DB40)))</f>
        <v>146.66666666666666</v>
      </c>
      <c r="CU41" s="18">
        <f>CT41*VLOOKUP('Données projet'!$B$13,Paramètres!$A$1:$I$89,3,0)*VLOOKUP('Données projet'!$B$13,Paramètres!$A$1:$I$89,5,0)</f>
        <v>139.56799999999998</v>
      </c>
      <c r="CV41" s="14">
        <f t="shared" si="41"/>
        <v>36.198022567902299</v>
      </c>
      <c r="CW41" s="22">
        <f t="shared" si="13"/>
        <v>306.12582263909644</v>
      </c>
      <c r="CX41" s="62">
        <f t="shared" si="14"/>
        <v>599.4591559724297</v>
      </c>
      <c r="CY41" s="62">
        <f ca="1">AVERAGE(OFFSET($CX$3,0,0,'Données projet'!$E$13+1,1))-AVERAGE(OFFSET($H$3,0,0,'Données projet'!$E$13+1,1))</f>
        <v>406.24139966722936</v>
      </c>
      <c r="CZ41" s="62">
        <f t="shared" si="42"/>
        <v>295.95724296920577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15.034615384615385</v>
      </c>
      <c r="DO41" s="13">
        <f>IF('Données projet'!$A$166&gt;35,DO40+DN41-DW40,IF(A41&lt;'Données projet'!$A$166,$DL$205^A41,IF(A41='Données projet'!$A$166,'Données projet'!$B$166,DO40+DN41-DW40)))</f>
        <v>239.58076923076928</v>
      </c>
      <c r="DP41" s="18">
        <f>DO41*VLOOKUP('Données projet'!$B$14,Paramètres!$A$1:$I$89,3,0)*VLOOKUP('Données projet'!$B$14,Paramètres!$A$1:$I$89,5,0)</f>
        <v>143.26930000000004</v>
      </c>
      <c r="DQ41" s="14">
        <f t="shared" si="43"/>
        <v>37.044947058915071</v>
      </c>
      <c r="DR41" s="22">
        <f t="shared" si="16"/>
        <v>314.04731362761044</v>
      </c>
      <c r="DS41" s="62">
        <f t="shared" si="17"/>
        <v>607.38064696094375</v>
      </c>
      <c r="DT41" s="62">
        <f ca="1">AVERAGE(OFFSET($DS$3,0,0,'Données projet'!$E$14+1,1))-AVERAGE(OFFSET($H$3,0,0,'Données projet'!$E$14+1,1))</f>
        <v>356.42779334565381</v>
      </c>
      <c r="DU41" s="62">
        <f t="shared" si="44"/>
        <v>320.06572891923685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3.1827445633209308</v>
      </c>
      <c r="EC41" s="23">
        <f>EXP(-LN(2)/2)*EC40+(1-EXP(-LN(2)/2))/(LN(2)/2)*DW41*DZ41*VLOOKUP('Données projet'!$B$14,Paramètres!$A$1:$I$89,3,0)*0.475*44/12</f>
        <v>1.0612864367675021</v>
      </c>
      <c r="ED41" s="24">
        <f t="shared" si="18"/>
        <v>4.2440310000884329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11.340000000000003</v>
      </c>
      <c r="FE41" s="13">
        <f>IF('Données projet'!$A$218&gt;35,FE40+FD41-FM40,IF(A41&lt;'Données projet'!$A$218,$FB$205^A41,IF(A41='Données projet'!$A$218,'Données projet'!$B$218,FE40+FD41-FM40)))</f>
        <v>240.4199999999999</v>
      </c>
      <c r="FF41" s="18">
        <f>FE41*VLOOKUP('Données projet'!$B$16,Paramètres!$A$1:$I$89,3,0)*VLOOKUP('Données projet'!$B$16,Paramètres!$A$1:$I$89,5,0)</f>
        <v>191.27815199999995</v>
      </c>
      <c r="FG41" s="14">
        <f t="shared" si="47"/>
        <v>47.822423751245466</v>
      </c>
      <c r="FH41" s="22">
        <f t="shared" si="22"/>
        <v>416.43350276675238</v>
      </c>
      <c r="FI41" s="62">
        <f t="shared" si="23"/>
        <v>709.7668361000857</v>
      </c>
      <c r="FJ41" s="62">
        <f ca="1">AVERAGE(OFFSET($FI$3,0,0,'Données projet'!$E$16+1,1))-AVERAGE(OFFSET($H$3,0,0,'Données projet'!$E$16+1,1))</f>
        <v>370.59298168107364</v>
      </c>
      <c r="FK41" s="62">
        <f t="shared" si="48"/>
        <v>404.61777090709171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11.2</v>
      </c>
      <c r="FZ41" s="13">
        <f>IF('Données projet'!$A$244&gt;35,FZ40+FY41-GH40,IF(A41&lt;'Données projet'!$A$244,$FW$205^A41,IF(A41='Données projet'!$A$244,'Données projet'!$B$244,FZ40+FY41-GH40)))</f>
        <v>152.60000000000005</v>
      </c>
      <c r="GA41" s="18">
        <f>FZ41*VLOOKUP('Données projet'!$B$17,Paramètres!$A$1:$I$89,3,0)*VLOOKUP('Données projet'!$B$17,Paramètres!$A$1:$I$89,5,0)</f>
        <v>147.59472000000005</v>
      </c>
      <c r="GB41" s="14">
        <f t="shared" si="49"/>
        <v>38.031463918082679</v>
      </c>
      <c r="GC41" s="22">
        <f t="shared" si="25"/>
        <v>323.29893699066071</v>
      </c>
      <c r="GD41" s="62">
        <f t="shared" si="26"/>
        <v>616.63227032399402</v>
      </c>
      <c r="GE41" s="62">
        <f ca="1">AVERAGE(OFFSET($GD$3,0,0,'Données projet'!$E$17+1,1))-AVERAGE(OFFSET($H$3,0,0,'Données projet'!$E$17+1,1))</f>
        <v>562.69380557620775</v>
      </c>
      <c r="GF41" s="62">
        <f t="shared" si="50"/>
        <v>294.45557293177131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7.9487179487179507</v>
      </c>
      <c r="GU41" s="13">
        <f>IF('Données projet'!$A$270&gt;35,GU40+GT41-HC40,IF(A41&lt;'Données projet'!$A$270,$GR$205^A41,IF(A41='Données projet'!$A$270,'Données projet'!$B$270,GU40+GT41-HC40)))</f>
        <v>212.30769230769238</v>
      </c>
      <c r="GV41" s="18">
        <f>GU41*VLOOKUP('Données projet'!$B$18,Paramètres!$A$1:$I$89,3,0)*VLOOKUP('Données projet'!$B$18,Paramètres!$A$1:$I$89,5,0)</f>
        <v>142.41600000000005</v>
      </c>
      <c r="GW41" s="14">
        <f t="shared" si="51"/>
        <v>36.849924818088418</v>
      </c>
      <c r="GX41" s="22">
        <f t="shared" si="28"/>
        <v>312.22148572483741</v>
      </c>
      <c r="GY41" s="62">
        <f t="shared" si="29"/>
        <v>605.55481905817078</v>
      </c>
      <c r="GZ41" s="62">
        <f ca="1">AVERAGE(OFFSET($GY$3,0,0,'Données projet'!$E$18+1,1))-AVERAGE(OFFSET($H$3,0,0,'Données projet'!$E$18+1,1))</f>
        <v>363.53487081291541</v>
      </c>
      <c r="HA41" s="62">
        <f t="shared" si="52"/>
        <v>308.1559670593121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529.25712986118265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137.98512000000005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596.07010515115076</v>
      </c>
      <c r="AN42" s="62">
        <f ca="1">AVERAGE(OFFSET($AM$3,0,0,'Données projet'!$E$10+1,1))-AVERAGE(OFFSET($H$3,0,0,'Données projet'!$E$10+1,1))</f>
        <v>495.77338291316386</v>
      </c>
      <c r="AO42" s="62">
        <f t="shared" si="36"/>
        <v>261.95434270986397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11.24038461538462</v>
      </c>
      <c r="BD42" s="13">
        <f>IF('Données projet'!$A$88&gt;35,BD41+BC42-BL41,IF(A42&lt;'Données projet'!$A$88,$BA$205^A42,IF(A42='Données projet'!$A$88,'Données projet'!$B$88,BD41+BC42-BL41)))</f>
        <v>237.40576923076924</v>
      </c>
      <c r="BE42" s="14">
        <f>BD42*VLOOKUP('Données projet'!$B$11,Paramètres!$A$1:$I$89,3,0)*VLOOKUP('Données projet'!$B$11,Paramètres!$A$1:$I$89,5,0)</f>
        <v>135.79610000000002</v>
      </c>
      <c r="BF42" s="14">
        <f t="shared" si="37"/>
        <v>35.332248872064298</v>
      </c>
      <c r="BG42" s="22">
        <f t="shared" si="7"/>
        <v>298.04854095217866</v>
      </c>
      <c r="BH42" s="62">
        <f t="shared" si="8"/>
        <v>591.38187428551191</v>
      </c>
      <c r="BI42" s="62">
        <f ca="1">AVERAGE(OFFSET($BH$3,0,0,'Données projet'!$E$11+1,1))-AVERAGE(OFFSET($H$3,0,0,'Données projet'!$E$11+1,1))</f>
        <v>320.67081032419122</v>
      </c>
      <c r="BJ42" s="62">
        <f t="shared" si="38"/>
        <v>290.51177680335746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1.8778604678738346</v>
      </c>
      <c r="BR42" s="23">
        <f>EXP(-LN(2)/2)*BR41+(1-EXP(-LN(2)/2))/(LN(2)/2)*BL42*BO42*VLOOKUP('Données projet'!$B$11,Paramètres!$A$1:$I$89,3,0)*0.475*44/12</f>
        <v>0.47604688301330556</v>
      </c>
      <c r="BS42" s="24">
        <f t="shared" si="9"/>
        <v>2.3539073508871402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166.09320000000005</v>
      </c>
      <c r="CA42" s="14">
        <f t="shared" si="39"/>
        <v>42.213849908165905</v>
      </c>
      <c r="CB42" s="22">
        <f t="shared" si="10"/>
        <v>362.80144525672239</v>
      </c>
      <c r="CC42" s="62">
        <f t="shared" si="11"/>
        <v>656.1347785900557</v>
      </c>
      <c r="CD42" s="62">
        <f ca="1">AVERAGE(OFFSET($CC$3,0,0,'Données projet'!$E$12+1,1))-AVERAGE(OFFSET($H$3,0,0,'Données projet'!$E$12+1,1))</f>
        <v>587.74247372331615</v>
      </c>
      <c r="CE42" s="62">
        <f t="shared" si="40"/>
        <v>306.61893266146666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6.7948717948717956</v>
      </c>
      <c r="CT42" s="13">
        <f>IF('Données projet'!$A$140&gt;35,CT41+CS42-DB41,IF(A42&lt;'Données projet'!$A$140,$CQ$205^A42,IF(A42='Données projet'!$A$140,'Données projet'!$B$140,CT41+CS42-DB41)))</f>
        <v>153.46153846153845</v>
      </c>
      <c r="CU42" s="18">
        <f>CT42*VLOOKUP('Données projet'!$B$13,Paramètres!$A$1:$I$89,3,0)*VLOOKUP('Données projet'!$B$13,Paramètres!$A$1:$I$89,5,0)</f>
        <v>146.03399999999999</v>
      </c>
      <c r="CV42" s="14">
        <f t="shared" si="41"/>
        <v>37.675897140446111</v>
      </c>
      <c r="CW42" s="22">
        <f t="shared" si="13"/>
        <v>319.96140418627698</v>
      </c>
      <c r="CX42" s="62">
        <f t="shared" si="14"/>
        <v>613.29473751961029</v>
      </c>
      <c r="CY42" s="62">
        <f ca="1">AVERAGE(OFFSET($CX$3,0,0,'Données projet'!$E$13+1,1))-AVERAGE(OFFSET($H$3,0,0,'Données projet'!$E$13+1,1))</f>
        <v>406.24139966722936</v>
      </c>
      <c r="CZ42" s="62">
        <f t="shared" si="42"/>
        <v>295.95724296920577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15.034615384615385</v>
      </c>
      <c r="DO42" s="13">
        <f>IF('Données projet'!$A$166&gt;35,DO41+DN42-DW41,IF(A42&lt;'Données projet'!$A$166,$DL$205^A42,IF(A42='Données projet'!$A$166,'Données projet'!$B$166,DO41+DN42-DW41)))</f>
        <v>254.61538461538467</v>
      </c>
      <c r="DP42" s="18">
        <f>DO42*VLOOKUP('Données projet'!$B$14,Paramètres!$A$1:$I$89,3,0)*VLOOKUP('Données projet'!$B$14,Paramètres!$A$1:$I$89,5,0)</f>
        <v>152.26000000000005</v>
      </c>
      <c r="DQ42" s="14">
        <f t="shared" si="43"/>
        <v>39.091730876167631</v>
      </c>
      <c r="DR42" s="22">
        <f t="shared" si="16"/>
        <v>333.27093127599198</v>
      </c>
      <c r="DS42" s="62">
        <f t="shared" si="17"/>
        <v>626.60426460932536</v>
      </c>
      <c r="DT42" s="62">
        <f ca="1">AVERAGE(OFFSET($DS$3,0,0,'Données projet'!$E$14+1,1))-AVERAGE(OFFSET($H$3,0,0,'Données projet'!$E$14+1,1))</f>
        <v>356.42779334565381</v>
      </c>
      <c r="DU42" s="62">
        <f t="shared" si="44"/>
        <v>320.06572891923685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3.0957122458636577</v>
      </c>
      <c r="EC42" s="23">
        <f>EXP(-LN(2)/2)*EC41+(1-EXP(-LN(2)/2))/(LN(2)/2)*DW42*DZ42*VLOOKUP('Données projet'!$B$14,Paramètres!$A$1:$I$89,3,0)*0.475*44/12</f>
        <v>0.75044283621960883</v>
      </c>
      <c r="ED42" s="24">
        <f t="shared" si="18"/>
        <v>3.8461550820832664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11.340000000000003</v>
      </c>
      <c r="FE42" s="13">
        <f>IF('Données projet'!$A$218&gt;35,FE41+FD42-FM41,IF(A42&lt;'Données projet'!$A$218,$FB$205^A42,IF(A42='Données projet'!$A$218,'Données projet'!$B$218,FE41+FD42-FM41)))</f>
        <v>251.75999999999991</v>
      </c>
      <c r="FF42" s="18">
        <f>FE42*VLOOKUP('Données projet'!$B$16,Paramètres!$A$1:$I$89,3,0)*VLOOKUP('Données projet'!$B$16,Paramètres!$A$1:$I$89,5,0)</f>
        <v>200.30025599999993</v>
      </c>
      <c r="FG42" s="14">
        <f t="shared" si="47"/>
        <v>49.810149143959919</v>
      </c>
      <c r="FH42" s="22">
        <f t="shared" si="22"/>
        <v>435.60895562573</v>
      </c>
      <c r="FI42" s="62">
        <f t="shared" si="23"/>
        <v>728.94228895906326</v>
      </c>
      <c r="FJ42" s="62">
        <f ca="1">AVERAGE(OFFSET($FI$3,0,0,'Données projet'!$E$16+1,1))-AVERAGE(OFFSET($H$3,0,0,'Données projet'!$E$16+1,1))</f>
        <v>370.59298168107364</v>
      </c>
      <c r="FK42" s="62">
        <f t="shared" si="48"/>
        <v>404.61777090709171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11.2</v>
      </c>
      <c r="FZ42" s="13">
        <f>IF('Données projet'!$A$244&gt;35,FZ41+FY42-GH41,IF(A42&lt;'Données projet'!$A$244,$FW$205^A42,IF(A42='Données projet'!$A$244,'Données projet'!$B$244,FZ41+FY42-GH41)))</f>
        <v>163.80000000000004</v>
      </c>
      <c r="GA42" s="18">
        <f>FZ42*VLOOKUP('Données projet'!$B$17,Paramètres!$A$1:$I$89,3,0)*VLOOKUP('Données projet'!$B$17,Paramètres!$A$1:$I$89,5,0)</f>
        <v>158.42736000000005</v>
      </c>
      <c r="GB42" s="14">
        <f t="shared" si="49"/>
        <v>40.487598405868248</v>
      </c>
      <c r="GC42" s="22">
        <f t="shared" si="25"/>
        <v>346.44355255688725</v>
      </c>
      <c r="GD42" s="62">
        <f t="shared" si="26"/>
        <v>639.77688589022057</v>
      </c>
      <c r="GE42" s="62">
        <f ca="1">AVERAGE(OFFSET($GD$3,0,0,'Données projet'!$E$17+1,1))-AVERAGE(OFFSET($H$3,0,0,'Données projet'!$E$17+1,1))</f>
        <v>562.69380557620775</v>
      </c>
      <c r="GF42" s="62">
        <f t="shared" si="50"/>
        <v>294.45557293177131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7.9487179487179507</v>
      </c>
      <c r="GU42" s="13">
        <f>IF('Données projet'!$A$270&gt;35,GU41+GT42-HC41,IF(A42&lt;'Données projet'!$A$270,$GR$205^A42,IF(A42='Données projet'!$A$270,'Données projet'!$B$270,GU41+GT42-HC41)))</f>
        <v>220.25641025641033</v>
      </c>
      <c r="GV42" s="18">
        <f>GU42*VLOOKUP('Données projet'!$B$18,Paramètres!$A$1:$I$89,3,0)*VLOOKUP('Données projet'!$B$18,Paramètres!$A$1:$I$89,5,0)</f>
        <v>147.74800000000008</v>
      </c>
      <c r="GW42" s="14">
        <f t="shared" si="51"/>
        <v>38.066360844681896</v>
      </c>
      <c r="GX42" s="22">
        <f t="shared" si="28"/>
        <v>323.62667847115443</v>
      </c>
      <c r="GY42" s="62">
        <f t="shared" si="29"/>
        <v>616.96001180448775</v>
      </c>
      <c r="GZ42" s="62">
        <f ca="1">AVERAGE(OFFSET($GY$3,0,0,'Données projet'!$E$18+1,1))-AVERAGE(OFFSET($H$3,0,0,'Données projet'!$E$18+1,1))</f>
        <v>363.53487081291541</v>
      </c>
      <c r="HA42" s="62">
        <f t="shared" si="52"/>
        <v>308.1559670593121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529.25712986118265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147.42000000000004</v>
      </c>
      <c r="AK43" s="14">
        <f t="shared" si="35"/>
        <v>37.991680647570327</v>
      </c>
      <c r="AL43" s="22">
        <f t="shared" si="4"/>
        <v>322.92534379451837</v>
      </c>
      <c r="AM43" s="62">
        <f t="shared" si="5"/>
        <v>616.25867712785168</v>
      </c>
      <c r="AN43" s="62">
        <f ca="1">AVERAGE(OFFSET($AM$3,0,0,'Données projet'!$E$10+1,1))-AVERAGE(OFFSET($H$3,0,0,'Données projet'!$E$10+1,1))</f>
        <v>495.77338291316386</v>
      </c>
      <c r="AO43" s="62">
        <f t="shared" si="36"/>
        <v>261.95434270986397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248.64615384615385</v>
      </c>
      <c r="BB43" s="13">
        <f>VLOOKUP(A43,'Données projet'!$A$87:$I$107,9,0)</f>
        <v>11.24038461538462</v>
      </c>
      <c r="BC43" s="13">
        <f t="array" ref="BC43">INDEX(BB:BB,MIN(IF(ISNUMBER(BB43:BB239),ROW(BB43:BB239),"")))</f>
        <v>11.24038461538462</v>
      </c>
      <c r="BD43" s="13">
        <f>IF('Données projet'!$A$88&gt;35,BD42+BC43-BL42,IF(A43&lt;'Données projet'!$A$88,$BA$205^A43,IF(A43='Données projet'!$A$88,'Données projet'!$B$88,BD42+BC43-BL42)))</f>
        <v>248.64615384615385</v>
      </c>
      <c r="BE43" s="14">
        <f>BD43*VLOOKUP('Données projet'!$B$11,Paramètres!$A$1:$I$89,3,0)*VLOOKUP('Données projet'!$B$11,Paramètres!$A$1:$I$89,5,0)</f>
        <v>142.22560000000001</v>
      </c>
      <c r="BF43" s="14">
        <f t="shared" si="37"/>
        <v>36.806390245870489</v>
      </c>
      <c r="BG43" s="22">
        <f t="shared" si="7"/>
        <v>311.81404967822442</v>
      </c>
      <c r="BH43" s="62">
        <f t="shared" si="8"/>
        <v>605.14738301155774</v>
      </c>
      <c r="BI43" s="62">
        <f ca="1">AVERAGE(OFFSET($BH$3,0,0,'Données projet'!$E$11+1,1))-AVERAGE(OFFSET($H$3,0,0,'Données projet'!$E$11+1,1))</f>
        <v>320.67081032419122</v>
      </c>
      <c r="BJ43" s="62">
        <f t="shared" si="38"/>
        <v>290.51177680335746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1.8265102746274346</v>
      </c>
      <c r="BR43" s="23">
        <f>EXP(-LN(2)/2)*BR42+(1-EXP(-LN(2)/2))/(LN(2)/2)*BL43*BO43*VLOOKUP('Données projet'!$B$11,Paramètres!$A$1:$I$89,3,0)*0.475*44/12</f>
        <v>0.33661597914142743</v>
      </c>
      <c r="BS43" s="24">
        <f t="shared" si="9"/>
        <v>2.163126253768862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177.45000000000005</v>
      </c>
      <c r="CA43" s="14">
        <f t="shared" si="39"/>
        <v>44.754387900936791</v>
      </c>
      <c r="CB43" s="22">
        <f t="shared" si="10"/>
        <v>387.00597559413171</v>
      </c>
      <c r="CC43" s="62">
        <f t="shared" si="11"/>
        <v>680.33930892746503</v>
      </c>
      <c r="CD43" s="62">
        <f ca="1">AVERAGE(OFFSET($CC$3,0,0,'Données projet'!$E$12+1,1))-AVERAGE(OFFSET($H$3,0,0,'Données projet'!$E$12+1,1))</f>
        <v>587.74247372331615</v>
      </c>
      <c r="CE43" s="62">
        <f t="shared" si="40"/>
        <v>306.61893266146666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160.25641025641025</v>
      </c>
      <c r="CR43" s="13">
        <f>VLOOKUP(A43,'Données projet'!$A$139:$I$159,9,0)</f>
        <v>6.7948717948717956</v>
      </c>
      <c r="CS43" s="13">
        <f t="array" ref="CS43">INDEX(CR:CR,MIN(IF(ISNUMBER(CR43:CR239),ROW(CR43:CR239),"")))</f>
        <v>6.7948717948717956</v>
      </c>
      <c r="CT43" s="13">
        <f>IF('Données projet'!$A$140&gt;35,CT42+CS43-DB42,IF(A43&lt;'Données projet'!$A$140,$CQ$205^A43,IF(A43='Données projet'!$A$140,'Données projet'!$B$140,CT42+CS43-DB42)))</f>
        <v>160.25641025641025</v>
      </c>
      <c r="CU43" s="18">
        <f>CT43*VLOOKUP('Données projet'!$B$13,Paramètres!$A$1:$I$89,3,0)*VLOOKUP('Données projet'!$B$13,Paramètres!$A$1:$I$89,5,0)</f>
        <v>152.5</v>
      </c>
      <c r="CV43" s="14">
        <f t="shared" si="41"/>
        <v>39.146171889962673</v>
      </c>
      <c r="CW43" s="22">
        <f t="shared" si="13"/>
        <v>333.78374937501832</v>
      </c>
      <c r="CX43" s="62">
        <f t="shared" si="14"/>
        <v>627.11708270835163</v>
      </c>
      <c r="CY43" s="62">
        <f ca="1">AVERAGE(OFFSET($CX$3,0,0,'Données projet'!$E$13+1,1))-AVERAGE(OFFSET($H$3,0,0,'Données projet'!$E$13+1,1))</f>
        <v>406.24139966722936</v>
      </c>
      <c r="CZ43" s="62">
        <f t="shared" si="42"/>
        <v>295.95724296920577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15.034615384615385</v>
      </c>
      <c r="DO43" s="13">
        <f>IF('Données projet'!$A$166&gt;35,DO42+DN43-DW42,IF(A43&lt;'Données projet'!$A$166,$DL$205^A43,IF(A43='Données projet'!$A$166,'Données projet'!$B$166,DO42+DN43-DW42)))</f>
        <v>269.65000000000003</v>
      </c>
      <c r="DP43" s="18">
        <f>DO43*VLOOKUP('Données projet'!$B$14,Paramètres!$A$1:$I$89,3,0)*VLOOKUP('Données projet'!$B$14,Paramètres!$A$1:$I$89,5,0)</f>
        <v>161.25070000000002</v>
      </c>
      <c r="DQ43" s="14">
        <f t="shared" si="43"/>
        <v>41.124486315944758</v>
      </c>
      <c r="DR43" s="22">
        <f t="shared" si="16"/>
        <v>352.4701161669372</v>
      </c>
      <c r="DS43" s="62">
        <f t="shared" si="17"/>
        <v>645.80344950027052</v>
      </c>
      <c r="DT43" s="62">
        <f ca="1">AVERAGE(OFFSET($DS$3,0,0,'Données projet'!$E$14+1,1))-AVERAGE(OFFSET($H$3,0,0,'Données projet'!$E$14+1,1))</f>
        <v>356.42779334565381</v>
      </c>
      <c r="DU43" s="62">
        <f t="shared" si="44"/>
        <v>320.06572891923685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3.0110598317040842</v>
      </c>
      <c r="EC43" s="23">
        <f>EXP(-LN(2)/2)*EC42+(1-EXP(-LN(2)/2))/(LN(2)/2)*DW43*DZ43*VLOOKUP('Données projet'!$B$14,Paramètres!$A$1:$I$89,3,0)*0.475*44/12</f>
        <v>0.53064321838375106</v>
      </c>
      <c r="ED43" s="24">
        <f t="shared" si="18"/>
        <v>3.5417030500878353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263.10000000000002</v>
      </c>
      <c r="FC43" s="13">
        <f>VLOOKUP(A43,'Données projet'!$A$217:$I$237,9,0)</f>
        <v>11.340000000000003</v>
      </c>
      <c r="FD43" s="13">
        <f t="array" ref="FD43">INDEX(FC:FC,MIN(IF(ISNUMBER(FC43:FC239),ROW(FC43:FC239),"")))</f>
        <v>11.340000000000003</v>
      </c>
      <c r="FE43" s="13">
        <f>IF('Données projet'!$A$218&gt;35,FE42+FD43-FM42,IF(A43&lt;'Données projet'!$A$218,$FB$205^A43,IF(A43='Données projet'!$A$218,'Données projet'!$B$218,FE42+FD43-FM42)))</f>
        <v>263.09999999999991</v>
      </c>
      <c r="FF43" s="18">
        <f>FE43*VLOOKUP('Données projet'!$B$16,Paramètres!$A$1:$I$89,3,0)*VLOOKUP('Données projet'!$B$16,Paramètres!$A$1:$I$89,5,0)</f>
        <v>209.32235999999995</v>
      </c>
      <c r="FG43" s="14">
        <f t="shared" si="47"/>
        <v>51.78747646553299</v>
      </c>
      <c r="FH43" s="22">
        <f t="shared" si="22"/>
        <v>454.7662985108031</v>
      </c>
      <c r="FI43" s="62">
        <f t="shared" si="23"/>
        <v>748.09963184413641</v>
      </c>
      <c r="FJ43" s="62">
        <f ca="1">AVERAGE(OFFSET($FI$3,0,0,'Données projet'!$E$16+1,1))-AVERAGE(OFFSET($H$3,0,0,'Données projet'!$E$16+1,1))</f>
        <v>370.59298168107364</v>
      </c>
      <c r="FK43" s="62">
        <f t="shared" si="48"/>
        <v>404.61777090709171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70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175</v>
      </c>
      <c r="FX43" s="13">
        <f>VLOOKUP(A43,'Données projet'!$A$243:$I$263,9,0)</f>
        <v>11.2</v>
      </c>
      <c r="FY43" s="13">
        <f t="array" ref="FY43">INDEX(FX:FX,MIN(IF(ISNUMBER(FX43:FX239),ROW(FX43:FX239),"")))</f>
        <v>11.2</v>
      </c>
      <c r="FZ43" s="13">
        <f>IF('Données projet'!$A$244&gt;35,FZ42+FY43-GH42,IF(A43&lt;'Données projet'!$A$244,$FW$205^A43,IF(A43='Données projet'!$A$244,'Données projet'!$B$244,FZ42+FY43-GH42)))</f>
        <v>175.00000000000003</v>
      </c>
      <c r="GA43" s="18">
        <f>FZ43*VLOOKUP('Données projet'!$B$17,Paramètres!$A$1:$I$89,3,0)*VLOOKUP('Données projet'!$B$17,Paramètres!$A$1:$I$89,5,0)</f>
        <v>169.26000000000002</v>
      </c>
      <c r="GB43" s="14">
        <f t="shared" si="49"/>
        <v>42.924246146122272</v>
      </c>
      <c r="GC43" s="22">
        <f t="shared" si="25"/>
        <v>369.55422870449632</v>
      </c>
      <c r="GD43" s="62">
        <f t="shared" si="26"/>
        <v>662.88756203782964</v>
      </c>
      <c r="GE43" s="62">
        <f ca="1">AVERAGE(OFFSET($GD$3,0,0,'Données projet'!$E$17+1,1))-AVERAGE(OFFSET($H$3,0,0,'Données projet'!$E$17+1,1))</f>
        <v>562.69380557620775</v>
      </c>
      <c r="GF43" s="62">
        <f t="shared" si="50"/>
        <v>294.45557293177131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228.2051282051282</v>
      </c>
      <c r="GS43" s="13">
        <f>VLOOKUP(A43,'Données projet'!$A$269:$I$289,9,0)</f>
        <v>7.9487179487179507</v>
      </c>
      <c r="GT43" s="13">
        <f t="array" ref="GT43">INDEX(GS:GS,MIN(IF(ISNUMBER(GS43:GS239),ROW(GS43:GS239),"")))</f>
        <v>7.9487179487179507</v>
      </c>
      <c r="GU43" s="13">
        <f>IF('Données projet'!$A$270&gt;35,GU42+GT43-HC42,IF(A43&lt;'Données projet'!$A$270,$GR$205^A43,IF(A43='Données projet'!$A$270,'Données projet'!$B$270,GU42+GT43-HC42)))</f>
        <v>228.20512820512829</v>
      </c>
      <c r="GV43" s="18">
        <f>GU43*VLOOKUP('Données projet'!$B$18,Paramètres!$A$1:$I$89,3,0)*VLOOKUP('Données projet'!$B$18,Paramètres!$A$1:$I$89,5,0)</f>
        <v>153.08000000000007</v>
      </c>
      <c r="GW43" s="14">
        <f t="shared" si="51"/>
        <v>39.277696538385037</v>
      </c>
      <c r="GX43" s="22">
        <f t="shared" si="28"/>
        <v>335.02298813768738</v>
      </c>
      <c r="GY43" s="62">
        <f t="shared" si="29"/>
        <v>628.35632147102069</v>
      </c>
      <c r="GZ43" s="62">
        <f ca="1">AVERAGE(OFFSET($GY$3,0,0,'Données projet'!$E$18+1,1))-AVERAGE(OFFSET($H$3,0,0,'Données projet'!$E$18+1,1))</f>
        <v>363.53487081291541</v>
      </c>
      <c r="HA43" s="62">
        <f t="shared" si="52"/>
        <v>308.1559670593121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39.743589743589745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529.25712986118265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157.02336000000003</v>
      </c>
      <c r="AK44" s="14">
        <f t="shared" si="35"/>
        <v>40.170393914171662</v>
      </c>
      <c r="AL44" s="22">
        <f t="shared" si="4"/>
        <v>343.44578806718232</v>
      </c>
      <c r="AM44" s="62">
        <f t="shared" si="5"/>
        <v>636.77912140051558</v>
      </c>
      <c r="AN44" s="62">
        <f ca="1">AVERAGE(OFFSET($AM$3,0,0,'Données projet'!$E$10+1,1))-AVERAGE(OFFSET($H$3,0,0,'Données projet'!$E$10+1,1))</f>
        <v>495.77338291316386</v>
      </c>
      <c r="AO44" s="62">
        <f t="shared" si="36"/>
        <v>261.95434270986397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11.566666666666672</v>
      </c>
      <c r="BD44" s="13">
        <f>IF('Données projet'!$A$88&gt;35,BD43+BC44-BL43,IF(A44&lt;'Données projet'!$A$88,$BA$205^A44,IF(A44='Données projet'!$A$88,'Données projet'!$B$88,BD43+BC44-BL43)))</f>
        <v>260.21282051282054</v>
      </c>
      <c r="BE44" s="14">
        <f>BD44*VLOOKUP('Données projet'!$B$11,Paramètres!$A$1:$I$89,3,0)*VLOOKUP('Données projet'!$B$11,Paramètres!$A$1:$I$89,5,0)</f>
        <v>148.84173333333337</v>
      </c>
      <c r="BF44" s="14">
        <f t="shared" si="37"/>
        <v>38.315246730108313</v>
      </c>
      <c r="BG44" s="22">
        <f t="shared" si="7"/>
        <v>325.96507361049424</v>
      </c>
      <c r="BH44" s="62">
        <f t="shared" si="8"/>
        <v>619.29840694382756</v>
      </c>
      <c r="BI44" s="62">
        <f ca="1">AVERAGE(OFFSET($BH$3,0,0,'Données projet'!$E$11+1,1))-AVERAGE(OFFSET($H$3,0,0,'Données projet'!$E$11+1,1))</f>
        <v>320.67081032419122</v>
      </c>
      <c r="BJ44" s="62">
        <f t="shared" si="38"/>
        <v>290.51177680335746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1.7765642551157466</v>
      </c>
      <c r="BR44" s="23">
        <f>EXP(-LN(2)/2)*BR43+(1-EXP(-LN(2)/2))/(LN(2)/2)*BL44*BO44*VLOOKUP('Données projet'!$B$11,Paramètres!$A$1:$I$89,3,0)*0.475*44/12</f>
        <v>0.23802344150665278</v>
      </c>
      <c r="BS44" s="24">
        <f t="shared" si="9"/>
        <v>2.0145876966223994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189.00960000000003</v>
      </c>
      <c r="CA44" s="14">
        <f t="shared" si="39"/>
        <v>47.320922915876508</v>
      </c>
      <c r="CB44" s="22">
        <f t="shared" si="10"/>
        <v>411.60899407848501</v>
      </c>
      <c r="CC44" s="62">
        <f t="shared" si="11"/>
        <v>704.94232741181827</v>
      </c>
      <c r="CD44" s="62">
        <f ca="1">AVERAGE(OFFSET($CC$3,0,0,'Données projet'!$E$12+1,1))-AVERAGE(OFFSET($H$3,0,0,'Données projet'!$E$12+1,1))</f>
        <v>587.74247372331615</v>
      </c>
      <c r="CE44" s="62">
        <f t="shared" si="40"/>
        <v>306.61893266146666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6.2820512820512819</v>
      </c>
      <c r="CT44" s="13">
        <f>IF('Données projet'!$A$140&gt;35,CT43+CS44-DB43,IF(A44&lt;'Données projet'!$A$140,$CQ$205^A44,IF(A44='Données projet'!$A$140,'Données projet'!$B$140,CT43+CS44-DB43)))</f>
        <v>166.53846153846152</v>
      </c>
      <c r="CU44" s="18">
        <f>CT44*VLOOKUP('Données projet'!$B$13,Paramètres!$A$1:$I$89,3,0)*VLOOKUP('Données projet'!$B$13,Paramètres!$A$1:$I$89,5,0)</f>
        <v>158.47799999999998</v>
      </c>
      <c r="CV44" s="14">
        <f t="shared" si="41"/>
        <v>40.499033326567876</v>
      </c>
      <c r="CW44" s="22">
        <f t="shared" si="13"/>
        <v>346.55166637710568</v>
      </c>
      <c r="CX44" s="62">
        <f t="shared" si="14"/>
        <v>639.88499971043893</v>
      </c>
      <c r="CY44" s="62">
        <f ca="1">AVERAGE(OFFSET($CX$3,0,0,'Données projet'!$E$13+1,1))-AVERAGE(OFFSET($H$3,0,0,'Données projet'!$E$13+1,1))</f>
        <v>406.24139966722936</v>
      </c>
      <c r="CZ44" s="62">
        <f t="shared" si="42"/>
        <v>295.95724296920577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>
        <f>VLOOKUP(A44,'Données projet'!$A$165:$I$185,2,0)</f>
        <v>284.68461538461537</v>
      </c>
      <c r="DM44" s="13">
        <f>VLOOKUP(A44,'Données projet'!$A$165:$I$185,9,0)</f>
        <v>15.034615384615385</v>
      </c>
      <c r="DN44" s="13">
        <f t="array" ref="DN44">INDEX(DM:DM,MIN(IF(ISNUMBER(DM44:DM240),ROW(DM44:DM240),"")))</f>
        <v>15.034615384615385</v>
      </c>
      <c r="DO44" s="13">
        <f>IF('Données projet'!$A$166&gt;35,DO43+DN44-DW43,IF(A44&lt;'Données projet'!$A$166,$DL$205^A44,IF(A44='Données projet'!$A$166,'Données projet'!$B$166,DO43+DN44-DW43)))</f>
        <v>284.68461538461543</v>
      </c>
      <c r="DP44" s="18">
        <f>DO44*VLOOKUP('Données projet'!$B$14,Paramètres!$A$1:$I$89,3,0)*VLOOKUP('Données projet'!$B$14,Paramètres!$A$1:$I$89,5,0)</f>
        <v>170.24140000000006</v>
      </c>
      <c r="DQ44" s="14">
        <f t="shared" si="43"/>
        <v>43.144084689149309</v>
      </c>
      <c r="DR44" s="22">
        <f t="shared" si="16"/>
        <v>371.64638583360176</v>
      </c>
      <c r="DS44" s="62">
        <f t="shared" si="17"/>
        <v>664.97971916693507</v>
      </c>
      <c r="DT44" s="62">
        <f ca="1">AVERAGE(OFFSET($DS$3,0,0,'Données projet'!$E$14+1,1))-AVERAGE(OFFSET($H$3,0,0,'Données projet'!$E$14+1,1))</f>
        <v>356.42779334565381</v>
      </c>
      <c r="DU44" s="62">
        <f t="shared" si="44"/>
        <v>320.06572891923685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2.9287222422613812</v>
      </c>
      <c r="EC44" s="23">
        <f>EXP(-LN(2)/2)*EC43+(1-EXP(-LN(2)/2))/(LN(2)/2)*DW44*DZ44*VLOOKUP('Données projet'!$B$14,Paramètres!$A$1:$I$89,3,0)*0.475*44/12</f>
        <v>0.37522141810980442</v>
      </c>
      <c r="ED44" s="24">
        <f t="shared" si="18"/>
        <v>3.3039436603711856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9.8199999999999932</v>
      </c>
      <c r="FE44" s="13">
        <f>IF('Données projet'!$A$218&gt;35,FE43+FD44-FM43,IF(A44&lt;'Données projet'!$A$218,$FB$205^A44,IF(A44='Données projet'!$A$218,'Données projet'!$B$218,FE43+FD44-FM43)))</f>
        <v>202.9199999999999</v>
      </c>
      <c r="FF44" s="18">
        <f>FE44*VLOOKUP('Données projet'!$B$16,Paramètres!$A$1:$I$89,3,0)*VLOOKUP('Données projet'!$B$16,Paramètres!$A$1:$I$89,5,0)</f>
        <v>161.44315199999994</v>
      </c>
      <c r="FG44" s="14">
        <f t="shared" si="47"/>
        <v>41.167852065682119</v>
      </c>
      <c r="FH44" s="22">
        <f t="shared" si="22"/>
        <v>352.88083208106292</v>
      </c>
      <c r="FI44" s="62">
        <f t="shared" si="23"/>
        <v>646.21416541439623</v>
      </c>
      <c r="FJ44" s="62">
        <f ca="1">AVERAGE(OFFSET($FI$3,0,0,'Données projet'!$E$16+1,1))-AVERAGE(OFFSET($H$3,0,0,'Données projet'!$E$16+1,1))</f>
        <v>370.59298168107364</v>
      </c>
      <c r="FK44" s="62">
        <f t="shared" si="48"/>
        <v>404.61777090709171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186.40000000000003</v>
      </c>
      <c r="GA44" s="18">
        <f>FZ44*VLOOKUP('Données projet'!$B$17,Paramètres!$A$1:$I$89,3,0)*VLOOKUP('Données projet'!$B$17,Paramètres!$A$1:$I$89,5,0)</f>
        <v>180.28608000000006</v>
      </c>
      <c r="GB44" s="14">
        <f t="shared" si="49"/>
        <v>45.38582781198636</v>
      </c>
      <c r="GC44" s="22">
        <f t="shared" si="25"/>
        <v>393.04523943920964</v>
      </c>
      <c r="GD44" s="62">
        <f t="shared" si="26"/>
        <v>686.37857277254295</v>
      </c>
      <c r="GE44" s="62">
        <f ca="1">AVERAGE(OFFSET($GD$3,0,0,'Données projet'!$E$17+1,1))-AVERAGE(OFFSET($H$3,0,0,'Données projet'!$E$17+1,1))</f>
        <v>562.69380557620775</v>
      </c>
      <c r="GF44" s="62">
        <f t="shared" si="50"/>
        <v>294.45557293177131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7.5641025641025639</v>
      </c>
      <c r="GU44" s="13">
        <f>IF('Données projet'!$A$270&gt;35,GU43+GT44-HC43,IF(A44&lt;'Données projet'!$A$270,$GR$205^A44,IF(A44='Données projet'!$A$270,'Données projet'!$B$270,GU43+GT44-HC43)))</f>
        <v>196.02564102564111</v>
      </c>
      <c r="GV44" s="18">
        <f>GU44*VLOOKUP('Données projet'!$B$18,Paramètres!$A$1:$I$89,3,0)*VLOOKUP('Données projet'!$B$18,Paramètres!$A$1:$I$89,5,0)</f>
        <v>131.49400000000006</v>
      </c>
      <c r="GW44" s="14">
        <f t="shared" si="51"/>
        <v>34.341348948072792</v>
      </c>
      <c r="GX44" s="22">
        <f t="shared" si="28"/>
        <v>288.82989941789356</v>
      </c>
      <c r="GY44" s="62">
        <f t="shared" si="29"/>
        <v>582.16323275122681</v>
      </c>
      <c r="GZ44" s="62">
        <f ca="1">AVERAGE(OFFSET($GY$3,0,0,'Données projet'!$E$18+1,1))-AVERAGE(OFFSET($H$3,0,0,'Données projet'!$E$18+1,1))</f>
        <v>363.53487081291541</v>
      </c>
      <c r="HA44" s="62">
        <f t="shared" si="52"/>
        <v>308.1559670593121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529.25712986118265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166.62672000000003</v>
      </c>
      <c r="AK45" s="14">
        <f t="shared" si="35"/>
        <v>42.333642074689422</v>
      </c>
      <c r="AL45" s="22">
        <f t="shared" si="4"/>
        <v>363.93929728008408</v>
      </c>
      <c r="AM45" s="62">
        <f t="shared" si="5"/>
        <v>657.27263061341739</v>
      </c>
      <c r="AN45" s="62">
        <f ca="1">AVERAGE(OFFSET($AM$3,0,0,'Données projet'!$E$10+1,1))-AVERAGE(OFFSET($H$3,0,0,'Données projet'!$E$10+1,1))</f>
        <v>495.77338291316386</v>
      </c>
      <c r="AO45" s="62">
        <f t="shared" si="36"/>
        <v>261.95434270986397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11.566666666666672</v>
      </c>
      <c r="BD45" s="13">
        <f>IF('Données projet'!$A$88&gt;35,BD44+BC45-BL44,IF(A45&lt;'Données projet'!$A$88,$BA$205^A45,IF(A45='Données projet'!$A$88,'Données projet'!$B$88,BD44+BC45-BL44)))</f>
        <v>271.77948717948721</v>
      </c>
      <c r="BE45" s="14">
        <f>BD45*VLOOKUP('Données projet'!$B$11,Paramètres!$A$1:$I$89,3,0)*VLOOKUP('Données projet'!$B$11,Paramètres!$A$1:$I$89,5,0)</f>
        <v>155.45786666666669</v>
      </c>
      <c r="BF45" s="14">
        <f t="shared" si="37"/>
        <v>39.816313734782469</v>
      </c>
      <c r="BG45" s="22">
        <f t="shared" si="7"/>
        <v>340.1025308658572</v>
      </c>
      <c r="BH45" s="62">
        <f t="shared" si="8"/>
        <v>633.43586419919052</v>
      </c>
      <c r="BI45" s="62">
        <f ca="1">AVERAGE(OFFSET($BH$3,0,0,'Données projet'!$E$11+1,1))-AVERAGE(OFFSET($H$3,0,0,'Données projet'!$E$11+1,1))</f>
        <v>320.67081032419122</v>
      </c>
      <c r="BJ45" s="62">
        <f t="shared" si="38"/>
        <v>290.51177680335746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1.7279840121341528</v>
      </c>
      <c r="BR45" s="23">
        <f>EXP(-LN(2)/2)*BR44+(1-EXP(-LN(2)/2))/(LN(2)/2)*BL45*BO45*VLOOKUP('Données projet'!$B$11,Paramètres!$A$1:$I$89,3,0)*0.475*44/12</f>
        <v>0.16830798957071372</v>
      </c>
      <c r="BS45" s="24">
        <f t="shared" si="9"/>
        <v>1.8962920017048666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200.56920000000005</v>
      </c>
      <c r="CA45" s="14">
        <f t="shared" si="39"/>
        <v>49.869239959281323</v>
      </c>
      <c r="CB45" s="22">
        <f t="shared" si="10"/>
        <v>436.18028292908167</v>
      </c>
      <c r="CC45" s="62">
        <f t="shared" si="11"/>
        <v>729.51361626241498</v>
      </c>
      <c r="CD45" s="62">
        <f ca="1">AVERAGE(OFFSET($CC$3,0,0,'Données projet'!$E$12+1,1))-AVERAGE(OFFSET($H$3,0,0,'Données projet'!$E$12+1,1))</f>
        <v>587.74247372331615</v>
      </c>
      <c r="CE45" s="62">
        <f t="shared" si="40"/>
        <v>306.61893266146666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6.2820512820512819</v>
      </c>
      <c r="CT45" s="13">
        <f>IF('Données projet'!$A$140&gt;35,CT44+CS45-DB44,IF(A45&lt;'Données projet'!$A$140,$CQ$205^A45,IF(A45='Données projet'!$A$140,'Données projet'!$B$140,CT44+CS45-DB44)))</f>
        <v>172.82051282051279</v>
      </c>
      <c r="CU45" s="18">
        <f>CT45*VLOOKUP('Données projet'!$B$13,Paramètres!$A$1:$I$89,3,0)*VLOOKUP('Données projet'!$B$13,Paramètres!$A$1:$I$89,5,0)</f>
        <v>164.45599999999996</v>
      </c>
      <c r="CV45" s="14">
        <f t="shared" si="41"/>
        <v>41.84596620708853</v>
      </c>
      <c r="CW45" s="22">
        <f t="shared" si="13"/>
        <v>359.30925781067913</v>
      </c>
      <c r="CX45" s="62">
        <f t="shared" si="14"/>
        <v>652.64259114401239</v>
      </c>
      <c r="CY45" s="62">
        <f ca="1">AVERAGE(OFFSET($CX$3,0,0,'Données projet'!$E$13+1,1))-AVERAGE(OFFSET($H$3,0,0,'Données projet'!$E$13+1,1))</f>
        <v>406.24139966722936</v>
      </c>
      <c r="CZ45" s="62">
        <f t="shared" si="42"/>
        <v>295.95724296920577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15.627692307692314</v>
      </c>
      <c r="DO45" s="13">
        <f>IF('Données projet'!$A$166&gt;35,DO44+DN45-DW44,IF(A45&lt;'Données projet'!$A$166,$DL$205^A45,IF(A45='Données projet'!$A$166,'Données projet'!$B$166,DO44+DN45-DW44)))</f>
        <v>300.31230769230774</v>
      </c>
      <c r="DP45" s="18">
        <f>DO45*VLOOKUP('Données projet'!$B$14,Paramètres!$A$1:$I$89,3,0)*VLOOKUP('Données projet'!$B$14,Paramètres!$A$1:$I$89,5,0)</f>
        <v>179.58676000000006</v>
      </c>
      <c r="DQ45" s="14">
        <f t="shared" si="43"/>
        <v>45.230235585284923</v>
      </c>
      <c r="DR45" s="22">
        <f t="shared" si="16"/>
        <v>391.55626731103797</v>
      </c>
      <c r="DS45" s="62">
        <f t="shared" si="17"/>
        <v>684.88960064437128</v>
      </c>
      <c r="DT45" s="62">
        <f ca="1">AVERAGE(OFFSET($DS$3,0,0,'Données projet'!$E$14+1,1))-AVERAGE(OFFSET($H$3,0,0,'Données projet'!$E$14+1,1))</f>
        <v>356.42779334565381</v>
      </c>
      <c r="DU45" s="62">
        <f t="shared" si="44"/>
        <v>320.06572891923685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2.8486361785319345</v>
      </c>
      <c r="EC45" s="23">
        <f>EXP(-LN(2)/2)*EC44+(1-EXP(-LN(2)/2))/(LN(2)/2)*DW45*DZ45*VLOOKUP('Données projet'!$B$14,Paramètres!$A$1:$I$89,3,0)*0.475*44/12</f>
        <v>0.26532160919187553</v>
      </c>
      <c r="ED45" s="24">
        <f t="shared" si="18"/>
        <v>3.1139577877238098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9.8199999999999932</v>
      </c>
      <c r="FE45" s="13">
        <f>IF('Données projet'!$A$218&gt;35,FE44+FD45-FM44,IF(A45&lt;'Données projet'!$A$218,$FB$205^A45,IF(A45='Données projet'!$A$218,'Données projet'!$B$218,FE44+FD45-FM44)))</f>
        <v>212.7399999999999</v>
      </c>
      <c r="FF45" s="18">
        <f>FE45*VLOOKUP('Données projet'!$B$16,Paramètres!$A$1:$I$89,3,0)*VLOOKUP('Données projet'!$B$16,Paramètres!$A$1:$I$89,5,0)</f>
        <v>169.25594399999991</v>
      </c>
      <c r="FG45" s="14">
        <f t="shared" si="47"/>
        <v>42.923337274383478</v>
      </c>
      <c r="FH45" s="22">
        <f t="shared" si="22"/>
        <v>369.54558155288436</v>
      </c>
      <c r="FI45" s="62">
        <f t="shared" si="23"/>
        <v>662.87891488621767</v>
      </c>
      <c r="FJ45" s="62">
        <f ca="1">AVERAGE(OFFSET($FI$3,0,0,'Données projet'!$E$16+1,1))-AVERAGE(OFFSET($H$3,0,0,'Données projet'!$E$16+1,1))</f>
        <v>370.59298168107364</v>
      </c>
      <c r="FK45" s="62">
        <f t="shared" si="48"/>
        <v>404.61777090709171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197.80000000000004</v>
      </c>
      <c r="GA45" s="18">
        <f>FZ45*VLOOKUP('Données projet'!$B$17,Paramètres!$A$1:$I$89,3,0)*VLOOKUP('Données projet'!$B$17,Paramètres!$A$1:$I$89,5,0)</f>
        <v>191.31216000000003</v>
      </c>
      <c r="GB45" s="14">
        <f t="shared" si="49"/>
        <v>47.829936494057677</v>
      </c>
      <c r="GC45" s="22">
        <f t="shared" si="25"/>
        <v>416.50581806048382</v>
      </c>
      <c r="GD45" s="62">
        <f t="shared" si="26"/>
        <v>709.83915139381713</v>
      </c>
      <c r="GE45" s="62">
        <f ca="1">AVERAGE(OFFSET($GD$3,0,0,'Données projet'!$E$17+1,1))-AVERAGE(OFFSET($H$3,0,0,'Données projet'!$E$17+1,1))</f>
        <v>562.69380557620775</v>
      </c>
      <c r="GF45" s="62">
        <f t="shared" si="50"/>
        <v>294.45557293177131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7.5641025641025639</v>
      </c>
      <c r="GU45" s="13">
        <f>IF('Données projet'!$A$270&gt;35,GU44+GT45-HC44,IF(A45&lt;'Données projet'!$A$270,$GR$205^A45,IF(A45='Données projet'!$A$270,'Données projet'!$B$270,GU44+GT45-HC44)))</f>
        <v>203.58974358974368</v>
      </c>
      <c r="GV45" s="18">
        <f>GU45*VLOOKUP('Données projet'!$B$18,Paramètres!$A$1:$I$89,3,0)*VLOOKUP('Données projet'!$B$18,Paramètres!$A$1:$I$89,5,0)</f>
        <v>136.56800000000007</v>
      </c>
      <c r="GW45" s="14">
        <f t="shared" si="51"/>
        <v>35.509650391805792</v>
      </c>
      <c r="GX45" s="22">
        <f t="shared" si="28"/>
        <v>299.70190776572849</v>
      </c>
      <c r="GY45" s="62">
        <f t="shared" si="29"/>
        <v>593.03524109906175</v>
      </c>
      <c r="GZ45" s="62">
        <f ca="1">AVERAGE(OFFSET($GY$3,0,0,'Données projet'!$E$18+1,1))-AVERAGE(OFFSET($H$3,0,0,'Données projet'!$E$18+1,1))</f>
        <v>363.53487081291541</v>
      </c>
      <c r="HA45" s="62">
        <f t="shared" si="52"/>
        <v>308.1559670593121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529.25712986118265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176.23008000000004</v>
      </c>
      <c r="AK46" s="14">
        <f t="shared" si="35"/>
        <v>44.482417993768294</v>
      </c>
      <c r="AL46" s="22">
        <f t="shared" si="4"/>
        <v>384.40760067247987</v>
      </c>
      <c r="AM46" s="62">
        <f t="shared" si="5"/>
        <v>677.74093400581319</v>
      </c>
      <c r="AN46" s="62">
        <f ca="1">AVERAGE(OFFSET($AM$3,0,0,'Données projet'!$E$10+1,1))-AVERAGE(OFFSET($H$3,0,0,'Données projet'!$E$10+1,1))</f>
        <v>495.77338291316386</v>
      </c>
      <c r="AO46" s="62">
        <f t="shared" si="36"/>
        <v>261.95434270986397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283.34615384615387</v>
      </c>
      <c r="BB46" s="13">
        <f>VLOOKUP(A46,'Données projet'!$A$87:$I$107,9,0)</f>
        <v>11.566666666666672</v>
      </c>
      <c r="BC46" s="13">
        <f t="array" ref="BC46">INDEX(BB:BB,MIN(IF(ISNUMBER(BB46:BB242),ROW(BB46:BB242),"")))</f>
        <v>11.566666666666672</v>
      </c>
      <c r="BD46" s="13">
        <f>IF('Données projet'!$A$88&gt;35,BD45+BC46-BL45,IF(A46&lt;'Données projet'!$A$88,$BA$205^A46,IF(A46='Données projet'!$A$88,'Données projet'!$B$88,BD45+BC46-BL45)))</f>
        <v>283.34615384615387</v>
      </c>
      <c r="BE46" s="14">
        <f>BD46*VLOOKUP('Données projet'!$B$11,Paramètres!$A$1:$I$89,3,0)*VLOOKUP('Données projet'!$B$11,Paramètres!$A$1:$I$89,5,0)</f>
        <v>162.07400000000001</v>
      </c>
      <c r="BF46" s="14">
        <f t="shared" si="37"/>
        <v>41.309960672859596</v>
      </c>
      <c r="BG46" s="22">
        <f t="shared" si="7"/>
        <v>354.22706483856382</v>
      </c>
      <c r="BH46" s="62">
        <f t="shared" si="8"/>
        <v>647.56039817189708</v>
      </c>
      <c r="BI46" s="62">
        <f ca="1">AVERAGE(OFFSET($BH$3,0,0,'Données projet'!$E$11+1,1))-AVERAGE(OFFSET($H$3,0,0,'Données projet'!$E$11+1,1))</f>
        <v>320.67081032419122</v>
      </c>
      <c r="BJ46" s="62">
        <f t="shared" si="38"/>
        <v>290.51177680335746</v>
      </c>
      <c r="BK46" s="16">
        <f>IF(ISNA(VLOOKUP(A46,'Données projet'!$A$87:$I$107,3,0)),0,VLOOKUP(A46,'Données projet'!$A$87:$I$107,3,0))</f>
        <v>5</v>
      </c>
      <c r="BL46" s="16">
        <f>IF(ISNA(VLOOKUP(A46,'Données projet'!$A$87:$I$107,4,0)),0,VLOOKUP(A46,'Données projet'!$A$87:$I$107,4,0))</f>
        <v>43.499999999999993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1.6807321984516146</v>
      </c>
      <c r="BR46" s="23">
        <f>EXP(-LN(2)/2)*BR45+(1-EXP(-LN(2)/2))/(LN(2)/2)*BL46*BO46*VLOOKUP('Données projet'!$B$11,Paramètres!$A$1:$I$89,3,0)*0.475*44/12</f>
        <v>0.11901172075332639</v>
      </c>
      <c r="BS46" s="24">
        <f t="shared" si="9"/>
        <v>1.7997439192049409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212.12880000000007</v>
      </c>
      <c r="CA46" s="14">
        <f t="shared" si="39"/>
        <v>52.400508630618717</v>
      </c>
      <c r="CB46" s="22">
        <f t="shared" si="10"/>
        <v>460.72187919832771</v>
      </c>
      <c r="CC46" s="62">
        <f t="shared" si="11"/>
        <v>754.05521253166103</v>
      </c>
      <c r="CD46" s="62">
        <f ca="1">AVERAGE(OFFSET($CC$3,0,0,'Données projet'!$E$12+1,1))-AVERAGE(OFFSET($H$3,0,0,'Données projet'!$E$12+1,1))</f>
        <v>587.74247372331615</v>
      </c>
      <c r="CE46" s="62">
        <f t="shared" si="40"/>
        <v>306.61893266146666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6.2820512820512819</v>
      </c>
      <c r="CT46" s="13">
        <f>IF('Données projet'!$A$140&gt;35,CT45+CS46-DB45,IF(A46&lt;'Données projet'!$A$140,$CQ$205^A46,IF(A46='Données projet'!$A$140,'Données projet'!$B$140,CT45+CS46-DB45)))</f>
        <v>179.10256410256406</v>
      </c>
      <c r="CU46" s="18">
        <f>CT46*VLOOKUP('Données projet'!$B$13,Paramètres!$A$1:$I$89,3,0)*VLOOKUP('Données projet'!$B$13,Paramètres!$A$1:$I$89,5,0)</f>
        <v>170.43399999999997</v>
      </c>
      <c r="CV46" s="14">
        <f t="shared" si="41"/>
        <v>43.187210719400916</v>
      </c>
      <c r="CW46" s="22">
        <f t="shared" si="13"/>
        <v>372.05694200295653</v>
      </c>
      <c r="CX46" s="62">
        <f t="shared" si="14"/>
        <v>665.39027533628985</v>
      </c>
      <c r="CY46" s="62">
        <f ca="1">AVERAGE(OFFSET($CX$3,0,0,'Données projet'!$E$13+1,1))-AVERAGE(OFFSET($H$3,0,0,'Données projet'!$E$13+1,1))</f>
        <v>406.24139966722936</v>
      </c>
      <c r="CZ46" s="62">
        <f t="shared" si="42"/>
        <v>295.95724296920577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15.627692307692314</v>
      </c>
      <c r="DO46" s="13">
        <f>IF('Données projet'!$A$166&gt;35,DO45+DN46-DW45,IF(A46&lt;'Données projet'!$A$166,$DL$205^A46,IF(A46='Données projet'!$A$166,'Données projet'!$B$166,DO45+DN46-DW45)))</f>
        <v>315.94000000000005</v>
      </c>
      <c r="DP46" s="18">
        <f>DO46*VLOOKUP('Données projet'!$B$14,Paramètres!$A$1:$I$89,3,0)*VLOOKUP('Données projet'!$B$14,Paramètres!$A$1:$I$89,5,0)</f>
        <v>188.93212000000005</v>
      </c>
      <c r="DQ46" s="14">
        <f t="shared" si="43"/>
        <v>47.303782355145714</v>
      </c>
      <c r="DR46" s="22">
        <f t="shared" si="16"/>
        <v>411.44419660187879</v>
      </c>
      <c r="DS46" s="62">
        <f t="shared" si="17"/>
        <v>704.7775299352121</v>
      </c>
      <c r="DT46" s="62">
        <f ca="1">AVERAGE(OFFSET($DS$3,0,0,'Données projet'!$E$14+1,1))-AVERAGE(OFFSET($H$3,0,0,'Données projet'!$E$14+1,1))</f>
        <v>356.42779334565381</v>
      </c>
      <c r="DU46" s="62">
        <f t="shared" si="44"/>
        <v>320.06572891923685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2.7707400724267126</v>
      </c>
      <c r="EC46" s="23">
        <f>EXP(-LN(2)/2)*EC45+(1-EXP(-LN(2)/2))/(LN(2)/2)*DW46*DZ46*VLOOKUP('Données projet'!$B$14,Paramètres!$A$1:$I$89,3,0)*0.475*44/12</f>
        <v>0.18761070905490221</v>
      </c>
      <c r="ED46" s="24">
        <f t="shared" si="18"/>
        <v>2.9583507814816148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9.8199999999999932</v>
      </c>
      <c r="FE46" s="13">
        <f>IF('Données projet'!$A$218&gt;35,FE45+FD46-FM45,IF(A46&lt;'Données projet'!$A$218,$FB$205^A46,IF(A46='Données projet'!$A$218,'Données projet'!$B$218,FE45+FD46-FM45)))</f>
        <v>222.55999999999989</v>
      </c>
      <c r="FF46" s="18">
        <f>FE46*VLOOKUP('Données projet'!$B$16,Paramètres!$A$1:$I$89,3,0)*VLOOKUP('Données projet'!$B$16,Paramètres!$A$1:$I$89,5,0)</f>
        <v>177.06873599999992</v>
      </c>
      <c r="FG46" s="14">
        <f t="shared" si="47"/>
        <v>44.669412059753448</v>
      </c>
      <c r="FH46" s="22">
        <f t="shared" si="22"/>
        <v>386.19394120407043</v>
      </c>
      <c r="FI46" s="62">
        <f t="shared" si="23"/>
        <v>679.52727453740374</v>
      </c>
      <c r="FJ46" s="62">
        <f ca="1">AVERAGE(OFFSET($FI$3,0,0,'Données projet'!$E$16+1,1))-AVERAGE(OFFSET($H$3,0,0,'Données projet'!$E$16+1,1))</f>
        <v>370.59298168107364</v>
      </c>
      <c r="FK46" s="62">
        <f t="shared" si="48"/>
        <v>404.61777090709171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209.20000000000005</v>
      </c>
      <c r="GA46" s="18">
        <f>FZ46*VLOOKUP('Données projet'!$B$17,Paramètres!$A$1:$I$89,3,0)*VLOOKUP('Données projet'!$B$17,Paramètres!$A$1:$I$89,5,0)</f>
        <v>202.33824000000007</v>
      </c>
      <c r="GB46" s="14">
        <f t="shared" si="49"/>
        <v>50.257693963357795</v>
      </c>
      <c r="GC46" s="22">
        <f t="shared" si="25"/>
        <v>439.93791831951495</v>
      </c>
      <c r="GD46" s="62">
        <f t="shared" si="26"/>
        <v>733.27125165284826</v>
      </c>
      <c r="GE46" s="62">
        <f ca="1">AVERAGE(OFFSET($GD$3,0,0,'Données projet'!$E$17+1,1))-AVERAGE(OFFSET($H$3,0,0,'Données projet'!$E$17+1,1))</f>
        <v>562.69380557620775</v>
      </c>
      <c r="GF46" s="62">
        <f t="shared" si="50"/>
        <v>294.45557293177131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7.5641025641025639</v>
      </c>
      <c r="GU46" s="13">
        <f>IF('Données projet'!$A$270&gt;35,GU45+GT46-HC45,IF(A46&lt;'Données projet'!$A$270,$GR$205^A46,IF(A46='Données projet'!$A$270,'Données projet'!$B$270,GU45+GT46-HC45)))</f>
        <v>211.15384615384625</v>
      </c>
      <c r="GV46" s="18">
        <f>GU46*VLOOKUP('Données projet'!$B$18,Paramètres!$A$1:$I$89,3,0)*VLOOKUP('Données projet'!$B$18,Paramètres!$A$1:$I$89,5,0)</f>
        <v>141.64200000000005</v>
      </c>
      <c r="GW46" s="14">
        <f t="shared" si="51"/>
        <v>36.672908983761502</v>
      </c>
      <c r="GX46" s="22">
        <f t="shared" si="28"/>
        <v>310.56513314671798</v>
      </c>
      <c r="GY46" s="62">
        <f t="shared" si="29"/>
        <v>603.8984664800513</v>
      </c>
      <c r="GZ46" s="62">
        <f ca="1">AVERAGE(OFFSET($GY$3,0,0,'Données projet'!$E$18+1,1))-AVERAGE(OFFSET($H$3,0,0,'Données projet'!$E$18+1,1))</f>
        <v>363.53487081291541</v>
      </c>
      <c r="HA46" s="62">
        <f t="shared" si="52"/>
        <v>308.1559670593121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529.25712986118265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185.83344000000005</v>
      </c>
      <c r="AK47" s="14">
        <f t="shared" si="35"/>
        <v>46.617600215670045</v>
      </c>
      <c r="AL47" s="22">
        <f t="shared" si="4"/>
        <v>404.85222837562537</v>
      </c>
      <c r="AM47" s="62">
        <f t="shared" si="5"/>
        <v>698.18556170895863</v>
      </c>
      <c r="AN47" s="62">
        <f ca="1">AVERAGE(OFFSET($AM$3,0,0,'Données projet'!$E$10+1,1))-AVERAGE(OFFSET($H$3,0,0,'Données projet'!$E$10+1,1))</f>
        <v>495.77338291316386</v>
      </c>
      <c r="AO47" s="62">
        <f t="shared" si="36"/>
        <v>261.95434270986397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10.373076923076923</v>
      </c>
      <c r="BD47" s="13">
        <f>IF('Données projet'!$A$88&gt;35,BD46+BC47-BL46,IF(A47&lt;'Données projet'!$A$88,$BA$205^A47,IF(A47='Données projet'!$A$88,'Données projet'!$B$88,BD46+BC47-BL46)))</f>
        <v>250.21923076923076</v>
      </c>
      <c r="BE47" s="14">
        <f>BD47*VLOOKUP('Données projet'!$B$11,Paramètres!$A$1:$I$89,3,0)*VLOOKUP('Données projet'!$B$11,Paramètres!$A$1:$I$89,5,0)</f>
        <v>143.12540000000001</v>
      </c>
      <c r="BF47" s="14">
        <f t="shared" si="37"/>
        <v>37.012068124295901</v>
      </c>
      <c r="BG47" s="22">
        <f t="shared" si="7"/>
        <v>313.73942364981536</v>
      </c>
      <c r="BH47" s="62">
        <f t="shared" si="8"/>
        <v>607.07275698314868</v>
      </c>
      <c r="BI47" s="62">
        <f ca="1">AVERAGE(OFFSET($BH$3,0,0,'Données projet'!$E$11+1,1))-AVERAGE(OFFSET($H$3,0,0,'Données projet'!$E$11+1,1))</f>
        <v>320.67081032419122</v>
      </c>
      <c r="BJ47" s="62">
        <f t="shared" si="38"/>
        <v>290.51177680335746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1.6347724880990901</v>
      </c>
      <c r="BR47" s="23">
        <f>EXP(-LN(2)/2)*BR46+(1-EXP(-LN(2)/2))/(LN(2)/2)*BL47*BO47*VLOOKUP('Données projet'!$B$11,Paramètres!$A$1:$I$89,3,0)*0.475*44/12</f>
        <v>8.4153994785356859E-2</v>
      </c>
      <c r="BS47" s="24">
        <f t="shared" si="9"/>
        <v>1.718926482884447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223.68840000000009</v>
      </c>
      <c r="CA47" s="14">
        <f t="shared" si="39"/>
        <v>54.915763859378501</v>
      </c>
      <c r="CB47" s="22">
        <f t="shared" si="10"/>
        <v>485.23558538841758</v>
      </c>
      <c r="CC47" s="62">
        <f t="shared" si="11"/>
        <v>778.56891872175083</v>
      </c>
      <c r="CD47" s="62">
        <f ca="1">AVERAGE(OFFSET($CC$3,0,0,'Données projet'!$E$12+1,1))-AVERAGE(OFFSET($H$3,0,0,'Données projet'!$E$12+1,1))</f>
        <v>587.74247372331615</v>
      </c>
      <c r="CE47" s="62">
        <f t="shared" si="40"/>
        <v>306.61893266146666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6.2820512820512819</v>
      </c>
      <c r="CT47" s="13">
        <f>IF('Données projet'!$A$140&gt;35,CT46+CS47-DB46,IF(A47&lt;'Données projet'!$A$140,$CQ$205^A47,IF(A47='Données projet'!$A$140,'Données projet'!$B$140,CT46+CS47-DB46)))</f>
        <v>185.38461538461533</v>
      </c>
      <c r="CU47" s="18">
        <f>CT47*VLOOKUP('Données projet'!$B$13,Paramètres!$A$1:$I$89,3,0)*VLOOKUP('Données projet'!$B$13,Paramètres!$A$1:$I$89,5,0)</f>
        <v>176.41199999999995</v>
      </c>
      <c r="CV47" s="14">
        <f t="shared" si="41"/>
        <v>44.522989246723967</v>
      </c>
      <c r="CW47" s="22">
        <f t="shared" si="13"/>
        <v>384.79510627137751</v>
      </c>
      <c r="CX47" s="62">
        <f t="shared" si="14"/>
        <v>678.12843960471082</v>
      </c>
      <c r="CY47" s="62">
        <f ca="1">AVERAGE(OFFSET($CX$3,0,0,'Données projet'!$E$13+1,1))-AVERAGE(OFFSET($H$3,0,0,'Données projet'!$E$13+1,1))</f>
        <v>406.24139966722936</v>
      </c>
      <c r="CZ47" s="62">
        <f t="shared" si="42"/>
        <v>295.95724296920577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15.627692307692314</v>
      </c>
      <c r="DO47" s="13">
        <f>IF('Données projet'!$A$166&gt;35,DO46+DN47-DW46,IF(A47&lt;'Données projet'!$A$166,$DL$205^A47,IF(A47='Données projet'!$A$166,'Données projet'!$B$166,DO46+DN47-DW46)))</f>
        <v>331.56769230769237</v>
      </c>
      <c r="DP47" s="18">
        <f>DO47*VLOOKUP('Données projet'!$B$14,Paramètres!$A$1:$I$89,3,0)*VLOOKUP('Données projet'!$B$14,Paramètres!$A$1:$I$89,5,0)</f>
        <v>198.27748000000005</v>
      </c>
      <c r="DQ47" s="14">
        <f t="shared" si="43"/>
        <v>49.365419600590741</v>
      </c>
      <c r="DR47" s="22">
        <f t="shared" si="16"/>
        <v>431.31138347102893</v>
      </c>
      <c r="DS47" s="62">
        <f t="shared" si="17"/>
        <v>724.64471680436225</v>
      </c>
      <c r="DT47" s="62">
        <f ca="1">AVERAGE(OFFSET($DS$3,0,0,'Données projet'!$E$14+1,1))-AVERAGE(OFFSET($H$3,0,0,'Données projet'!$E$14+1,1))</f>
        <v>356.42779334565381</v>
      </c>
      <c r="DU47" s="62">
        <f t="shared" si="44"/>
        <v>320.06572891923685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2.6949740394393165</v>
      </c>
      <c r="EC47" s="23">
        <f>EXP(-LN(2)/2)*EC46+(1-EXP(-LN(2)/2))/(LN(2)/2)*DW47*DZ47*VLOOKUP('Données projet'!$B$14,Paramètres!$A$1:$I$89,3,0)*0.475*44/12</f>
        <v>0.13266080459593776</v>
      </c>
      <c r="ED47" s="24">
        <f t="shared" si="18"/>
        <v>2.8276348440352543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9.8199999999999932</v>
      </c>
      <c r="FE47" s="13">
        <f>IF('Données projet'!$A$218&gt;35,FE46+FD47-FM46,IF(A47&lt;'Données projet'!$A$218,$FB$205^A47,IF(A47='Données projet'!$A$218,'Données projet'!$B$218,FE46+FD47-FM46)))</f>
        <v>232.37999999999988</v>
      </c>
      <c r="FF47" s="18">
        <f>FE47*VLOOKUP('Données projet'!$B$16,Paramètres!$A$1:$I$89,3,0)*VLOOKUP('Données projet'!$B$16,Paramètres!$A$1:$I$89,5,0)</f>
        <v>184.88152799999992</v>
      </c>
      <c r="FG47" s="14">
        <f t="shared" si="47"/>
        <v>46.406539086581006</v>
      </c>
      <c r="FH47" s="22">
        <f t="shared" si="22"/>
        <v>402.82671684246179</v>
      </c>
      <c r="FI47" s="62">
        <f t="shared" si="23"/>
        <v>696.16005017579505</v>
      </c>
      <c r="FJ47" s="62">
        <f ca="1">AVERAGE(OFFSET($FI$3,0,0,'Données projet'!$E$16+1,1))-AVERAGE(OFFSET($H$3,0,0,'Données projet'!$E$16+1,1))</f>
        <v>370.59298168107364</v>
      </c>
      <c r="FK47" s="62">
        <f t="shared" si="48"/>
        <v>404.61777090709171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220.60000000000005</v>
      </c>
      <c r="GA47" s="18">
        <f>FZ47*VLOOKUP('Données projet'!$B$17,Paramètres!$A$1:$I$89,3,0)*VLOOKUP('Données projet'!$B$17,Paramètres!$A$1:$I$89,5,0)</f>
        <v>213.36432000000005</v>
      </c>
      <c r="GB47" s="14">
        <f t="shared" si="49"/>
        <v>52.670092827991724</v>
      </c>
      <c r="GC47" s="22">
        <f t="shared" si="25"/>
        <v>463.34326900875232</v>
      </c>
      <c r="GD47" s="62">
        <f t="shared" si="26"/>
        <v>756.67660234208563</v>
      </c>
      <c r="GE47" s="62">
        <f ca="1">AVERAGE(OFFSET($GD$3,0,0,'Données projet'!$E$17+1,1))-AVERAGE(OFFSET($H$3,0,0,'Données projet'!$E$17+1,1))</f>
        <v>562.69380557620775</v>
      </c>
      <c r="GF47" s="62">
        <f t="shared" si="50"/>
        <v>294.45557293177131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7.5641025641025639</v>
      </c>
      <c r="GU47" s="13">
        <f>IF('Données projet'!$A$270&gt;35,GU46+GT47-HC46,IF(A47&lt;'Données projet'!$A$270,$GR$205^A47,IF(A47='Données projet'!$A$270,'Données projet'!$B$270,GU46+GT47-HC46)))</f>
        <v>218.71794871794881</v>
      </c>
      <c r="GV47" s="18">
        <f>GU47*VLOOKUP('Données projet'!$B$18,Paramètres!$A$1:$I$89,3,0)*VLOOKUP('Données projet'!$B$18,Paramètres!$A$1:$I$89,5,0)</f>
        <v>146.71600000000007</v>
      </c>
      <c r="GW47" s="14">
        <f t="shared" si="51"/>
        <v>37.831326067731702</v>
      </c>
      <c r="GX47" s="22">
        <f t="shared" si="28"/>
        <v>321.41992623463284</v>
      </c>
      <c r="GY47" s="62">
        <f t="shared" si="29"/>
        <v>614.7532595679661</v>
      </c>
      <c r="GZ47" s="62">
        <f ca="1">AVERAGE(OFFSET($GY$3,0,0,'Données projet'!$E$18+1,1))-AVERAGE(OFFSET($H$3,0,0,'Données projet'!$E$18+1,1))</f>
        <v>363.53487081291541</v>
      </c>
      <c r="HA47" s="62">
        <f t="shared" si="52"/>
        <v>308.1559670593121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529.25712986118265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195.43680000000006</v>
      </c>
      <c r="AK48" s="14">
        <f t="shared" si="35"/>
        <v>48.739971354487849</v>
      </c>
      <c r="AL48" s="22">
        <f t="shared" si="4"/>
        <v>425.27454344239982</v>
      </c>
      <c r="AM48" s="62">
        <f t="shared" si="5"/>
        <v>718.60787677573308</v>
      </c>
      <c r="AN48" s="62">
        <f ca="1">AVERAGE(OFFSET($AM$3,0,0,'Données projet'!$E$10+1,1))-AVERAGE(OFFSET($H$3,0,0,'Données projet'!$E$10+1,1))</f>
        <v>495.77338291316386</v>
      </c>
      <c r="AO48" s="62">
        <f t="shared" si="36"/>
        <v>261.95434270986397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10.373076923076923</v>
      </c>
      <c r="BD48" s="13">
        <f>IF('Données projet'!$A$88&gt;35,BD47+BC48-BL47,IF(A48&lt;'Données projet'!$A$88,$BA$205^A48,IF(A48='Données projet'!$A$88,'Données projet'!$B$88,BD47+BC48-BL47)))</f>
        <v>260.59230769230771</v>
      </c>
      <c r="BE48" s="14">
        <f>BD48*VLOOKUP('Données projet'!$B$11,Paramètres!$A$1:$I$89,3,0)*VLOOKUP('Données projet'!$B$11,Paramètres!$A$1:$I$89,5,0)</f>
        <v>149.05880000000002</v>
      </c>
      <c r="BF48" s="14">
        <f t="shared" si="37"/>
        <v>38.364616250548565</v>
      </c>
      <c r="BG48" s="22">
        <f t="shared" si="7"/>
        <v>326.42911663637216</v>
      </c>
      <c r="BH48" s="62">
        <f t="shared" si="8"/>
        <v>619.76244996970547</v>
      </c>
      <c r="BI48" s="62">
        <f ca="1">AVERAGE(OFFSET($BH$3,0,0,'Données projet'!$E$11+1,1))-AVERAGE(OFFSET($H$3,0,0,'Données projet'!$E$11+1,1))</f>
        <v>320.67081032419122</v>
      </c>
      <c r="BJ48" s="62">
        <f t="shared" si="38"/>
        <v>290.51177680335746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1.5900695484430718</v>
      </c>
      <c r="BR48" s="23">
        <f>EXP(-LN(2)/2)*BR47+(1-EXP(-LN(2)/2))/(LN(2)/2)*BL48*BO48*VLOOKUP('Données projet'!$B$11,Paramètres!$A$1:$I$89,3,0)*0.475*44/12</f>
        <v>5.9505860376663194E-2</v>
      </c>
      <c r="BS48" s="24">
        <f t="shared" si="9"/>
        <v>1.649575408819735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235.24800000000008</v>
      </c>
      <c r="CA48" s="14">
        <f t="shared" si="39"/>
        <v>57.41592756883739</v>
      </c>
      <c r="CB48" s="22">
        <f t="shared" si="10"/>
        <v>509.72300718239194</v>
      </c>
      <c r="CC48" s="62">
        <f t="shared" si="11"/>
        <v>803.0563405157252</v>
      </c>
      <c r="CD48" s="62">
        <f ca="1">AVERAGE(OFFSET($CC$3,0,0,'Données projet'!$E$12+1,1))-AVERAGE(OFFSET($H$3,0,0,'Données projet'!$E$12+1,1))</f>
        <v>587.74247372331615</v>
      </c>
      <c r="CE48" s="62">
        <f t="shared" si="40"/>
        <v>306.61893266146666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191.66666666666666</v>
      </c>
      <c r="CR48" s="13">
        <f>VLOOKUP(A48,'Données projet'!$A$139:$I$159,9,0)</f>
        <v>6.2820512820512819</v>
      </c>
      <c r="CS48" s="13">
        <f t="array" ref="CS48">INDEX(CR:CR,MIN(IF(ISNUMBER(CR48:CR244),ROW(CR48:CR244),"")))</f>
        <v>6.2820512820512819</v>
      </c>
      <c r="CT48" s="13">
        <f>IF('Données projet'!$A$140&gt;35,CT47+CS48-DB47,IF(A48&lt;'Données projet'!$A$140,$CQ$205^A48,IF(A48='Données projet'!$A$140,'Données projet'!$B$140,CT47+CS48-DB47)))</f>
        <v>191.6666666666666</v>
      </c>
      <c r="CU48" s="18">
        <f>CT48*VLOOKUP('Données projet'!$B$13,Paramètres!$A$1:$I$89,3,0)*VLOOKUP('Données projet'!$B$13,Paramètres!$A$1:$I$89,5,0)</f>
        <v>182.38999999999996</v>
      </c>
      <c r="CV48" s="14">
        <f t="shared" si="41"/>
        <v>45.853508245632504</v>
      </c>
      <c r="CW48" s="22">
        <f t="shared" si="13"/>
        <v>397.52411019447646</v>
      </c>
      <c r="CX48" s="62">
        <f t="shared" si="14"/>
        <v>690.85744352780978</v>
      </c>
      <c r="CY48" s="62">
        <f ca="1">AVERAGE(OFFSET($CX$3,0,0,'Données projet'!$E$13+1,1))-AVERAGE(OFFSET($H$3,0,0,'Données projet'!$E$13+1,1))</f>
        <v>406.24139966722936</v>
      </c>
      <c r="CZ48" s="62">
        <f t="shared" si="42"/>
        <v>295.95724296920577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34.615384615384613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15.627692307692314</v>
      </c>
      <c r="DO48" s="13">
        <f>IF('Données projet'!$A$166&gt;35,DO47+DN48-DW47,IF(A48&lt;'Données projet'!$A$166,$DL$205^A48,IF(A48='Données projet'!$A$166,'Données projet'!$B$166,DO47+DN48-DW47)))</f>
        <v>347.19538461538468</v>
      </c>
      <c r="DP48" s="18">
        <f>DO48*VLOOKUP('Données projet'!$B$14,Paramètres!$A$1:$I$89,3,0)*VLOOKUP('Données projet'!$B$14,Paramètres!$A$1:$I$89,5,0)</f>
        <v>207.62284000000005</v>
      </c>
      <c r="DQ48" s="14">
        <f t="shared" si="43"/>
        <v>51.41577274641886</v>
      </c>
      <c r="DR48" s="22">
        <f t="shared" si="16"/>
        <v>451.15891720001287</v>
      </c>
      <c r="DS48" s="62">
        <f t="shared" si="17"/>
        <v>744.49225053334612</v>
      </c>
      <c r="DT48" s="62">
        <f ca="1">AVERAGE(OFFSET($DS$3,0,0,'Données projet'!$E$14+1,1))-AVERAGE(OFFSET($H$3,0,0,'Données projet'!$E$14+1,1))</f>
        <v>356.42779334565381</v>
      </c>
      <c r="DU48" s="62">
        <f t="shared" si="44"/>
        <v>320.06572891923685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2.6212798326083231</v>
      </c>
      <c r="EC48" s="23">
        <f>EXP(-LN(2)/2)*EC47+(1-EXP(-LN(2)/2))/(LN(2)/2)*DW48*DZ48*VLOOKUP('Données projet'!$B$14,Paramètres!$A$1:$I$89,3,0)*0.475*44/12</f>
        <v>9.3805354527451104E-2</v>
      </c>
      <c r="ED48" s="24">
        <f t="shared" si="18"/>
        <v>2.7150851871357742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242.2</v>
      </c>
      <c r="FC48" s="13">
        <f>VLOOKUP(A48,'Données projet'!$A$217:$I$237,9,0)</f>
        <v>9.8199999999999932</v>
      </c>
      <c r="FD48" s="13">
        <f t="array" ref="FD48">INDEX(FC:FC,MIN(IF(ISNUMBER(FC48:FC244),ROW(FC48:FC244),"")))</f>
        <v>9.8199999999999932</v>
      </c>
      <c r="FE48" s="13">
        <f>IF('Données projet'!$A$218&gt;35,FE47+FD48-FM47,IF(A48&lt;'Données projet'!$A$218,$FB$205^A48,IF(A48='Données projet'!$A$218,'Données projet'!$B$218,FE47+FD48-FM47)))</f>
        <v>242.19999999999987</v>
      </c>
      <c r="FF48" s="18">
        <f>FE48*VLOOKUP('Données projet'!$B$16,Paramètres!$A$1:$I$89,3,0)*VLOOKUP('Données projet'!$B$16,Paramètres!$A$1:$I$89,5,0)</f>
        <v>192.69431999999989</v>
      </c>
      <c r="FG48" s="14">
        <f t="shared" si="47"/>
        <v>48.13513970479886</v>
      </c>
      <c r="FH48" s="22">
        <f t="shared" si="22"/>
        <v>419.44464231919113</v>
      </c>
      <c r="FI48" s="62">
        <f t="shared" si="23"/>
        <v>712.77797565252445</v>
      </c>
      <c r="FJ48" s="62">
        <f ca="1">AVERAGE(OFFSET($FI$3,0,0,'Données projet'!$E$16+1,1))-AVERAGE(OFFSET($H$3,0,0,'Données projet'!$E$16+1,1))</f>
        <v>370.59298168107364</v>
      </c>
      <c r="FK48" s="62">
        <f t="shared" si="48"/>
        <v>404.61777090709171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232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232.00000000000006</v>
      </c>
      <c r="GA48" s="18">
        <f>FZ48*VLOOKUP('Données projet'!$B$17,Paramètres!$A$1:$I$89,3,0)*VLOOKUP('Données projet'!$B$17,Paramètres!$A$1:$I$89,5,0)</f>
        <v>224.39040000000006</v>
      </c>
      <c r="GB48" s="14">
        <f t="shared" si="49"/>
        <v>55.068017311015858</v>
      </c>
      <c r="GC48" s="22">
        <f t="shared" si="25"/>
        <v>486.72341015001939</v>
      </c>
      <c r="GD48" s="62">
        <f t="shared" si="26"/>
        <v>780.05674348335265</v>
      </c>
      <c r="GE48" s="62">
        <f ca="1">AVERAGE(OFFSET($GD$3,0,0,'Données projet'!$E$17+1,1))-AVERAGE(OFFSET($H$3,0,0,'Données projet'!$E$17+1,1))</f>
        <v>562.69380557620775</v>
      </c>
      <c r="GF48" s="62">
        <f t="shared" si="50"/>
        <v>294.45557293177131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56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226.28205128205127</v>
      </c>
      <c r="GS48" s="13">
        <f>VLOOKUP(A48,'Données projet'!$A$269:$I$289,9,0)</f>
        <v>7.5641025641025639</v>
      </c>
      <c r="GT48" s="13">
        <f t="array" ref="GT48">INDEX(GS:GS,MIN(IF(ISNUMBER(GS48:GS244),ROW(GS48:GS244),"")))</f>
        <v>7.5641025641025639</v>
      </c>
      <c r="GU48" s="13">
        <f>IF('Données projet'!$A$270&gt;35,GU47+GT48-HC47,IF(A48&lt;'Données projet'!$A$270,$GR$205^A48,IF(A48='Données projet'!$A$270,'Données projet'!$B$270,GU47+GT48-HC47)))</f>
        <v>226.28205128205138</v>
      </c>
      <c r="GV48" s="18">
        <f>GU48*VLOOKUP('Données projet'!$B$18,Paramètres!$A$1:$I$89,3,0)*VLOOKUP('Données projet'!$B$18,Paramètres!$A$1:$I$89,5,0)</f>
        <v>151.79000000000005</v>
      </c>
      <c r="GW48" s="14">
        <f t="shared" si="51"/>
        <v>38.985088271202081</v>
      </c>
      <c r="GX48" s="22">
        <f t="shared" si="28"/>
        <v>332.26661207234366</v>
      </c>
      <c r="GY48" s="62">
        <f t="shared" si="29"/>
        <v>625.59994540567698</v>
      </c>
      <c r="GZ48" s="62">
        <f ca="1">AVERAGE(OFFSET($GY$3,0,0,'Données projet'!$E$18+1,1))-AVERAGE(OFFSET($H$3,0,0,'Données projet'!$E$18+1,1))</f>
        <v>363.53487081291541</v>
      </c>
      <c r="HA48" s="62">
        <f t="shared" si="52"/>
        <v>308.1559670593121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529.25712986118265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637.85838259165928</v>
      </c>
      <c r="AN49" s="62">
        <f ca="1">AVERAGE(OFFSET($AM$3,0,0,'Données projet'!$E$10+1,1))-AVERAGE(OFFSET($H$3,0,0,'Données projet'!$E$10+1,1))</f>
        <v>495.77338291316386</v>
      </c>
      <c r="AO49" s="62">
        <f t="shared" si="36"/>
        <v>261.95434270986397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10.373076923076923</v>
      </c>
      <c r="BD49" s="13">
        <f>IF('Données projet'!$A$88&gt;35,BD48+BC49-BL48,IF(A49&lt;'Données projet'!$A$88,$BA$205^A49,IF(A49='Données projet'!$A$88,'Données projet'!$B$88,BD48+BC49-BL48)))</f>
        <v>270.96538461538466</v>
      </c>
      <c r="BE49" s="14">
        <f>BD49*VLOOKUP('Données projet'!$B$11,Paramètres!$A$1:$I$89,3,0)*VLOOKUP('Données projet'!$B$11,Paramètres!$A$1:$I$89,5,0)</f>
        <v>154.99220000000003</v>
      </c>
      <c r="BF49" s="14">
        <f t="shared" si="37"/>
        <v>39.710910243671485</v>
      </c>
      <c r="BG49" s="22">
        <f t="shared" si="7"/>
        <v>339.10791700772785</v>
      </c>
      <c r="BH49" s="62">
        <f t="shared" si="8"/>
        <v>632.44125034106116</v>
      </c>
      <c r="BI49" s="62">
        <f ca="1">AVERAGE(OFFSET($BH$3,0,0,'Données projet'!$E$11+1,1))-AVERAGE(OFFSET($H$3,0,0,'Données projet'!$E$11+1,1))</f>
        <v>320.67081032419122</v>
      </c>
      <c r="BJ49" s="62">
        <f t="shared" si="38"/>
        <v>290.51177680335746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1.5465890130227726</v>
      </c>
      <c r="BR49" s="23">
        <f>EXP(-LN(2)/2)*BR48+(1-EXP(-LN(2)/2))/(LN(2)/2)*BL49*BO49*VLOOKUP('Données projet'!$B$11,Paramètres!$A$1:$I$89,3,0)*0.475*44/12</f>
        <v>4.2076997392678429E-2</v>
      </c>
      <c r="BS49" s="24">
        <f t="shared" si="9"/>
        <v>1.5886660104154511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189.61800000000008</v>
      </c>
      <c r="CA49" s="14">
        <f t="shared" si="39"/>
        <v>47.455488185268543</v>
      </c>
      <c r="CB49" s="22">
        <f t="shared" si="10"/>
        <v>412.90299192267616</v>
      </c>
      <c r="CC49" s="62">
        <f t="shared" si="11"/>
        <v>706.23632525600942</v>
      </c>
      <c r="CD49" s="62">
        <f ca="1">AVERAGE(OFFSET($CC$3,0,0,'Données projet'!$E$12+1,1))-AVERAGE(OFFSET($H$3,0,0,'Données projet'!$E$12+1,1))</f>
        <v>587.74247372331615</v>
      </c>
      <c r="CE49" s="62">
        <f t="shared" si="40"/>
        <v>306.61893266146666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6.0256410256410273</v>
      </c>
      <c r="CT49" s="13">
        <f>IF('Données projet'!$A$140&gt;35,CT48+CS49-DB48,IF(A49&lt;'Données projet'!$A$140,$CQ$205^A49,IF(A49='Données projet'!$A$140,'Données projet'!$B$140,CT48+CS49-DB48)))</f>
        <v>163.07692307692301</v>
      </c>
      <c r="CU49" s="18">
        <f>CT49*VLOOKUP('Données projet'!$B$13,Paramètres!$A$1:$I$89,3,0)*VLOOKUP('Données projet'!$B$13,Paramètres!$A$1:$I$89,5,0)</f>
        <v>155.18399999999994</v>
      </c>
      <c r="CV49" s="14">
        <f t="shared" si="41"/>
        <v>39.754328566553049</v>
      </c>
      <c r="CW49" s="22">
        <f t="shared" si="13"/>
        <v>339.51758892007979</v>
      </c>
      <c r="CX49" s="62">
        <f t="shared" si="14"/>
        <v>632.85092225341305</v>
      </c>
      <c r="CY49" s="62">
        <f ca="1">AVERAGE(OFFSET($CX$3,0,0,'Données projet'!$E$13+1,1))-AVERAGE(OFFSET($H$3,0,0,'Données projet'!$E$13+1,1))</f>
        <v>406.24139966722936</v>
      </c>
      <c r="CZ49" s="62">
        <f t="shared" si="42"/>
        <v>295.95724296920577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>
        <f>VLOOKUP(A49,'Données projet'!$A$165:$I$185,2,0)</f>
        <v>362.82307692307694</v>
      </c>
      <c r="DM49" s="13">
        <f>VLOOKUP(A49,'Données projet'!$A$165:$I$185,9,0)</f>
        <v>15.627692307692314</v>
      </c>
      <c r="DN49" s="13">
        <f t="array" ref="DN49">INDEX(DM:DM,MIN(IF(ISNUMBER(DM49:DM245),ROW(DM49:DM245),"")))</f>
        <v>15.627692307692314</v>
      </c>
      <c r="DO49" s="13">
        <f>IF('Données projet'!$A$166&gt;35,DO48+DN49-DW48,IF(A49&lt;'Données projet'!$A$166,$DL$205^A49,IF(A49='Données projet'!$A$166,'Données projet'!$B$166,DO48+DN49-DW48)))</f>
        <v>362.823076923077</v>
      </c>
      <c r="DP49" s="18">
        <f>DO49*VLOOKUP('Données projet'!$B$14,Paramètres!$A$1:$I$89,3,0)*VLOOKUP('Données projet'!$B$14,Paramètres!$A$1:$I$89,5,0)</f>
        <v>216.96820000000005</v>
      </c>
      <c r="DQ49" s="14">
        <f t="shared" si="43"/>
        <v>53.455407732310853</v>
      </c>
      <c r="DR49" s="22">
        <f t="shared" si="16"/>
        <v>470.9877834671081</v>
      </c>
      <c r="DS49" s="62">
        <f t="shared" si="17"/>
        <v>764.32111680044136</v>
      </c>
      <c r="DT49" s="62">
        <f ca="1">AVERAGE(OFFSET($DS$3,0,0,'Données projet'!$E$14+1,1))-AVERAGE(OFFSET($H$3,0,0,'Données projet'!$E$14+1,1))</f>
        <v>356.42779334565381</v>
      </c>
      <c r="DU49" s="62">
        <f t="shared" si="44"/>
        <v>320.06572891923685</v>
      </c>
      <c r="DV49" s="16">
        <f>IF(ISNA(VLOOKUP(A49,'Données projet'!$A$165:$I$185,3,0)),0,VLOOKUP(A49,'Données projet'!$A$165:$I$185,3,0))</f>
        <v>5</v>
      </c>
      <c r="DW49" s="16">
        <f>IF(ISNA(VLOOKUP(A49,'Données projet'!$A$165:$I$185,4,0)),0,VLOOKUP(A49,'Données projet'!$A$165:$I$185,4,0))</f>
        <v>72.561538461538461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2.5496007977385333</v>
      </c>
      <c r="EC49" s="23">
        <f>EXP(-LN(2)/2)*EC48+(1-EXP(-LN(2)/2))/(LN(2)/2)*DW49*DZ49*VLOOKUP('Données projet'!$B$14,Paramètres!$A$1:$I$89,3,0)*0.475*44/12</f>
        <v>6.6330402297968882E-2</v>
      </c>
      <c r="ED49" s="24">
        <f t="shared" si="18"/>
        <v>2.6159312000365023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8.5399999999999974</v>
      </c>
      <c r="FE49" s="13">
        <f>IF('Données projet'!$A$218&gt;35,FE48+FD49-FM48,IF(A49&lt;'Données projet'!$A$218,$FB$205^A49,IF(A49='Données projet'!$A$218,'Données projet'!$B$218,FE48+FD49-FM48)))</f>
        <v>250.73999999999987</v>
      </c>
      <c r="FF49" s="18">
        <f>FE49*VLOOKUP('Données projet'!$B$16,Paramètres!$A$1:$I$89,3,0)*VLOOKUP('Données projet'!$B$16,Paramètres!$A$1:$I$89,5,0)</f>
        <v>199.48874399999991</v>
      </c>
      <c r="FG49" s="14">
        <f t="shared" si="47"/>
        <v>49.631792398634111</v>
      </c>
      <c r="FH49" s="22">
        <f t="shared" si="22"/>
        <v>433.88493422762093</v>
      </c>
      <c r="FI49" s="62">
        <f t="shared" si="23"/>
        <v>727.21826756095425</v>
      </c>
      <c r="FJ49" s="62">
        <f ca="1">AVERAGE(OFFSET($FI$3,0,0,'Données projet'!$E$16+1,1))-AVERAGE(OFFSET($H$3,0,0,'Données projet'!$E$16+1,1))</f>
        <v>370.59298168107364</v>
      </c>
      <c r="FK49" s="62">
        <f t="shared" si="48"/>
        <v>404.61777090709171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</v>
      </c>
      <c r="FZ49" s="13">
        <f>IF('Données projet'!$A$244&gt;35,FZ48+FY49-GH48,IF(A49&lt;'Données projet'!$A$244,$FW$205^A49,IF(A49='Données projet'!$A$244,'Données projet'!$B$244,FZ48+FY49-GH48)))</f>
        <v>187.00000000000006</v>
      </c>
      <c r="GA49" s="18">
        <f>FZ49*VLOOKUP('Données projet'!$B$17,Paramètres!$A$1:$I$89,3,0)*VLOOKUP('Données projet'!$B$17,Paramètres!$A$1:$I$89,5,0)</f>
        <v>180.86640000000006</v>
      </c>
      <c r="GB49" s="14">
        <f t="shared" si="49"/>
        <v>45.514890302102152</v>
      </c>
      <c r="GC49" s="22">
        <f t="shared" si="25"/>
        <v>394.28074727616132</v>
      </c>
      <c r="GD49" s="62">
        <f t="shared" si="26"/>
        <v>687.61408060949464</v>
      </c>
      <c r="GE49" s="62">
        <f ca="1">AVERAGE(OFFSET($GD$3,0,0,'Données projet'!$E$17+1,1))-AVERAGE(OFFSET($H$3,0,0,'Données projet'!$E$17+1,1))</f>
        <v>562.69380557620775</v>
      </c>
      <c r="GF49" s="62">
        <f t="shared" si="50"/>
        <v>294.45557293177131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7.0512820512820555</v>
      </c>
      <c r="GU49" s="13">
        <f>IF('Données projet'!$A$270&gt;35,GU48+GT49-HC48,IF(A49&lt;'Données projet'!$A$270,$GR$205^A49,IF(A49='Données projet'!$A$270,'Données projet'!$B$270,GU48+GT49-HC48)))</f>
        <v>233.33333333333343</v>
      </c>
      <c r="GV49" s="18">
        <f>GU49*VLOOKUP('Données projet'!$B$18,Paramètres!$A$1:$I$89,3,0)*VLOOKUP('Données projet'!$B$18,Paramètres!$A$1:$I$89,5,0)</f>
        <v>156.52000000000007</v>
      </c>
      <c r="GW49" s="14">
        <f t="shared" si="51"/>
        <v>40.056589961286974</v>
      </c>
      <c r="GX49" s="22">
        <f t="shared" si="28"/>
        <v>342.37089418257489</v>
      </c>
      <c r="GY49" s="62">
        <f t="shared" si="29"/>
        <v>635.7042275159082</v>
      </c>
      <c r="GZ49" s="62">
        <f ca="1">AVERAGE(OFFSET($GY$3,0,0,'Données projet'!$E$18+1,1))-AVERAGE(OFFSET($H$3,0,0,'Données projet'!$E$18+1,1))</f>
        <v>363.53487081291541</v>
      </c>
      <c r="HA49" s="62">
        <f t="shared" si="52"/>
        <v>308.1559670593121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529.25712986118265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166.79520000000008</v>
      </c>
      <c r="AK50" s="14">
        <f t="shared" si="35"/>
        <v>42.371461898472788</v>
      </c>
      <c r="AL50" s="22">
        <f t="shared" si="4"/>
        <v>364.29860280650684</v>
      </c>
      <c r="AM50" s="62">
        <f t="shared" si="5"/>
        <v>657.63193613984015</v>
      </c>
      <c r="AN50" s="62">
        <f ca="1">AVERAGE(OFFSET($AM$3,0,0,'Données projet'!$E$10+1,1))-AVERAGE(OFFSET($H$3,0,0,'Données projet'!$E$10+1,1))</f>
        <v>495.77338291316386</v>
      </c>
      <c r="AO50" s="62">
        <f t="shared" si="36"/>
        <v>261.95434270986397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>
        <f>VLOOKUP(A50,'Données projet'!$A$87:$I$107,2,0)</f>
        <v>281.33846153846156</v>
      </c>
      <c r="BB50" s="13">
        <f>VLOOKUP(A50,'Données projet'!$A$87:$I$107,9,0)</f>
        <v>10.373076923076923</v>
      </c>
      <c r="BC50" s="13">
        <f t="array" ref="BC50">INDEX(BB:BB,MIN(IF(ISNUMBER(BB50:BB246),ROW(BB50:BB246),"")))</f>
        <v>10.373076923076923</v>
      </c>
      <c r="BD50" s="13">
        <f>IF('Données projet'!$A$88&gt;35,BD49+BC50-BL49,IF(A50&lt;'Données projet'!$A$88,$BA$205^A50,IF(A50='Données projet'!$A$88,'Données projet'!$B$88,BD49+BC50-BL49)))</f>
        <v>281.33846153846162</v>
      </c>
      <c r="BE50" s="14">
        <f>BD50*VLOOKUP('Données projet'!$B$11,Paramètres!$A$1:$I$89,3,0)*VLOOKUP('Données projet'!$B$11,Paramètres!$A$1:$I$89,5,0)</f>
        <v>160.92560000000006</v>
      </c>
      <c r="BF50" s="14">
        <f t="shared" si="37"/>
        <v>41.051216930508687</v>
      </c>
      <c r="BG50" s="22">
        <f t="shared" si="7"/>
        <v>351.77628948730268</v>
      </c>
      <c r="BH50" s="62">
        <f t="shared" si="8"/>
        <v>645.10962282063599</v>
      </c>
      <c r="BI50" s="62">
        <f ca="1">AVERAGE(OFFSET($BH$3,0,0,'Données projet'!$E$11+1,1))-AVERAGE(OFFSET($H$3,0,0,'Données projet'!$E$11+1,1))</f>
        <v>320.67081032419122</v>
      </c>
      <c r="BJ50" s="62">
        <f t="shared" si="38"/>
        <v>290.51177680335746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1.5042974551300834</v>
      </c>
      <c r="BR50" s="23">
        <f>EXP(-LN(2)/2)*BR49+(1-EXP(-LN(2)/2))/(LN(2)/2)*BL50*BO50*VLOOKUP('Données projet'!$B$11,Paramètres!$A$1:$I$89,3,0)*0.475*44/12</f>
        <v>2.9752930188331597E-2</v>
      </c>
      <c r="BS50" s="24">
        <f t="shared" si="9"/>
        <v>1.5340503853184151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200.77200000000008</v>
      </c>
      <c r="CA50" s="14">
        <f t="shared" si="39"/>
        <v>49.913791898945412</v>
      </c>
      <c r="CB50" s="22">
        <f t="shared" si="10"/>
        <v>436.61108755732999</v>
      </c>
      <c r="CC50" s="62">
        <f t="shared" si="11"/>
        <v>729.94442089066331</v>
      </c>
      <c r="CD50" s="62">
        <f ca="1">AVERAGE(OFFSET($CC$3,0,0,'Données projet'!$E$12+1,1))-AVERAGE(OFFSET($H$3,0,0,'Données projet'!$E$12+1,1))</f>
        <v>587.74247372331615</v>
      </c>
      <c r="CE50" s="62">
        <f t="shared" si="40"/>
        <v>306.61893266146666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6.0256410256410273</v>
      </c>
      <c r="CT50" s="13">
        <f>IF('Données projet'!$A$140&gt;35,CT49+CS50-DB49,IF(A50&lt;'Données projet'!$A$140,$CQ$205^A50,IF(A50='Données projet'!$A$140,'Données projet'!$B$140,CT49+CS50-DB49)))</f>
        <v>169.10256410256403</v>
      </c>
      <c r="CU50" s="18">
        <f>CT50*VLOOKUP('Données projet'!$B$13,Paramètres!$A$1:$I$89,3,0)*VLOOKUP('Données projet'!$B$13,Paramètres!$A$1:$I$89,5,0)</f>
        <v>160.91799999999992</v>
      </c>
      <c r="CV50" s="14">
        <f t="shared" si="41"/>
        <v>41.049503875172206</v>
      </c>
      <c r="CW50" s="22">
        <f t="shared" si="13"/>
        <v>351.76006924925809</v>
      </c>
      <c r="CX50" s="62">
        <f t="shared" si="14"/>
        <v>645.09340258259135</v>
      </c>
      <c r="CY50" s="62">
        <f ca="1">AVERAGE(OFFSET($CX$3,0,0,'Données projet'!$E$13+1,1))-AVERAGE(OFFSET($H$3,0,0,'Données projet'!$E$13+1,1))</f>
        <v>406.24139966722936</v>
      </c>
      <c r="CZ50" s="62">
        <f t="shared" si="42"/>
        <v>295.95724296920577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13.632692307692309</v>
      </c>
      <c r="DO50" s="13">
        <f>IF('Données projet'!$A$166&gt;35,DO49+DN50-DW49,IF(A50&lt;'Données projet'!$A$166,$DL$205^A50,IF(A50='Données projet'!$A$166,'Données projet'!$B$166,DO49+DN50-DW49)))</f>
        <v>303.89423076923083</v>
      </c>
      <c r="DP50" s="18">
        <f>DO50*VLOOKUP('Données projet'!$B$14,Paramètres!$A$1:$I$89,3,0)*VLOOKUP('Données projet'!$B$14,Paramètres!$A$1:$I$89,5,0)</f>
        <v>181.72875000000005</v>
      </c>
      <c r="DQ50" s="14">
        <f t="shared" si="43"/>
        <v>45.706586970342428</v>
      </c>
      <c r="DR50" s="22">
        <f t="shared" si="16"/>
        <v>396.11654522334646</v>
      </c>
      <c r="DS50" s="62">
        <f t="shared" si="17"/>
        <v>689.44987855667978</v>
      </c>
      <c r="DT50" s="62">
        <f ca="1">AVERAGE(OFFSET($DS$3,0,0,'Données projet'!$E$14+1,1))-AVERAGE(OFFSET($H$3,0,0,'Données projet'!$E$14+1,1))</f>
        <v>356.42779334565381</v>
      </c>
      <c r="DU50" s="62">
        <f t="shared" si="44"/>
        <v>320.06572891923685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2.4798818298466943</v>
      </c>
      <c r="EC50" s="23">
        <f>EXP(-LN(2)/2)*EC49+(1-EXP(-LN(2)/2))/(LN(2)/2)*DW50*DZ50*VLOOKUP('Données projet'!$B$14,Paramètres!$A$1:$I$89,3,0)*0.475*44/12</f>
        <v>4.6902677263725552E-2</v>
      </c>
      <c r="ED50" s="24">
        <f t="shared" si="18"/>
        <v>2.52678450711042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8.5399999999999974</v>
      </c>
      <c r="FE50" s="13">
        <f>IF('Données projet'!$A$218&gt;35,FE49+FD50-FM49,IF(A50&lt;'Données projet'!$A$218,$FB$205^A50,IF(A50='Données projet'!$A$218,'Données projet'!$B$218,FE49+FD50-FM49)))</f>
        <v>259.27999999999986</v>
      </c>
      <c r="FF50" s="18">
        <f>FE50*VLOOKUP('Données projet'!$B$16,Paramètres!$A$1:$I$89,3,0)*VLOOKUP('Données projet'!$B$16,Paramètres!$A$1:$I$89,5,0)</f>
        <v>206.2831679999999</v>
      </c>
      <c r="FG50" s="14">
        <f t="shared" si="47"/>
        <v>51.122522165494573</v>
      </c>
      <c r="FH50" s="22">
        <f t="shared" si="22"/>
        <v>448.31491037156951</v>
      </c>
      <c r="FI50" s="62">
        <f t="shared" si="23"/>
        <v>741.64824370490282</v>
      </c>
      <c r="FJ50" s="62">
        <f ca="1">AVERAGE(OFFSET($FI$3,0,0,'Données projet'!$E$16+1,1))-AVERAGE(OFFSET($H$3,0,0,'Données projet'!$E$16+1,1))</f>
        <v>370.59298168107364</v>
      </c>
      <c r="FK50" s="62">
        <f t="shared" si="48"/>
        <v>404.61777090709171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</v>
      </c>
      <c r="FZ50" s="13">
        <f>IF('Données projet'!$A$244&gt;35,FZ49+FY50-GH49,IF(A50&lt;'Données projet'!$A$244,$FW$205^A50,IF(A50='Données projet'!$A$244,'Données projet'!$B$244,FZ49+FY50-GH49)))</f>
        <v>198.00000000000006</v>
      </c>
      <c r="GA50" s="18">
        <f>FZ50*VLOOKUP('Données projet'!$B$17,Paramètres!$A$1:$I$89,3,0)*VLOOKUP('Données projet'!$B$17,Paramètres!$A$1:$I$89,5,0)</f>
        <v>191.50560000000007</v>
      </c>
      <c r="GB50" s="14">
        <f t="shared" si="49"/>
        <v>47.872666570685276</v>
      </c>
      <c r="GC50" s="22">
        <f t="shared" si="25"/>
        <v>416.9171476106103</v>
      </c>
      <c r="GD50" s="62">
        <f t="shared" si="26"/>
        <v>710.25048094394356</v>
      </c>
      <c r="GE50" s="62">
        <f ca="1">AVERAGE(OFFSET($GD$3,0,0,'Données projet'!$E$17+1,1))-AVERAGE(OFFSET($H$3,0,0,'Données projet'!$E$17+1,1))</f>
        <v>562.69380557620775</v>
      </c>
      <c r="GF50" s="62">
        <f t="shared" si="50"/>
        <v>294.45557293177131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7.0512820512820555</v>
      </c>
      <c r="GU50" s="13">
        <f>IF('Données projet'!$A$270&gt;35,GU49+GT50-HC49,IF(A50&lt;'Données projet'!$A$270,$GR$205^A50,IF(A50='Données projet'!$A$270,'Données projet'!$B$270,GU49+GT50-HC49)))</f>
        <v>240.38461538461547</v>
      </c>
      <c r="GV50" s="18">
        <f>GU50*VLOOKUP('Données projet'!$B$18,Paramètres!$A$1:$I$89,3,0)*VLOOKUP('Données projet'!$B$18,Paramètres!$A$1:$I$89,5,0)</f>
        <v>161.25000000000006</v>
      </c>
      <c r="GW50" s="14">
        <f t="shared" si="51"/>
        <v>41.124328571986439</v>
      </c>
      <c r="GX50" s="22">
        <f t="shared" si="28"/>
        <v>352.46862226287652</v>
      </c>
      <c r="GY50" s="62">
        <f t="shared" si="29"/>
        <v>645.80195559620984</v>
      </c>
      <c r="GZ50" s="62">
        <f ca="1">AVERAGE(OFFSET($GY$3,0,0,'Données projet'!$E$18+1,1))-AVERAGE(OFFSET($H$3,0,0,'Données projet'!$E$18+1,1))</f>
        <v>363.53487081291541</v>
      </c>
      <c r="HA50" s="62">
        <f t="shared" si="52"/>
        <v>308.1559670593121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529.25712986118265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176.06160000000008</v>
      </c>
      <c r="AK51" s="14">
        <f t="shared" si="35"/>
        <v>44.444839741138928</v>
      </c>
      <c r="AL51" s="22">
        <f t="shared" si="4"/>
        <v>384.04871588248375</v>
      </c>
      <c r="AM51" s="62">
        <f t="shared" si="5"/>
        <v>677.38204921581701</v>
      </c>
      <c r="AN51" s="62">
        <f ca="1">AVERAGE(OFFSET($AM$3,0,0,'Données projet'!$E$10+1,1))-AVERAGE(OFFSET($H$3,0,0,'Données projet'!$E$10+1,1))</f>
        <v>495.77338291316386</v>
      </c>
      <c r="AO51" s="62">
        <f t="shared" si="36"/>
        <v>261.95434270986397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10.405128205128202</v>
      </c>
      <c r="BD51" s="13">
        <f>IF('Données projet'!$A$88&gt;35,BD50+BC51-BL50,IF(A51&lt;'Données projet'!$A$88,$BA$205^A51,IF(A51='Données projet'!$A$88,'Données projet'!$B$88,BD50+BC51-BL50)))</f>
        <v>291.74358974358984</v>
      </c>
      <c r="BE51" s="14">
        <f>BD51*VLOOKUP('Données projet'!$B$11,Paramètres!$A$1:$I$89,3,0)*VLOOKUP('Données projet'!$B$11,Paramètres!$A$1:$I$89,5,0)</f>
        <v>166.87733333333338</v>
      </c>
      <c r="BF51" s="14">
        <f t="shared" si="37"/>
        <v>42.389897300443366</v>
      </c>
      <c r="BG51" s="22">
        <f t="shared" si="7"/>
        <v>364.47376002049447</v>
      </c>
      <c r="BH51" s="62">
        <f t="shared" si="8"/>
        <v>657.80709335382778</v>
      </c>
      <c r="BI51" s="62">
        <f ca="1">AVERAGE(OFFSET($BH$3,0,0,'Données projet'!$E$11+1,1))-AVERAGE(OFFSET($H$3,0,0,'Données projet'!$E$11+1,1))</f>
        <v>320.67081032419122</v>
      </c>
      <c r="BJ51" s="62">
        <f t="shared" si="38"/>
        <v>290.51177680335746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1.4631623621119862</v>
      </c>
      <c r="BR51" s="23">
        <f>EXP(-LN(2)/2)*BR50+(1-EXP(-LN(2)/2))/(LN(2)/2)*BL51*BO51*VLOOKUP('Données projet'!$B$11,Paramètres!$A$1:$I$89,3,0)*0.475*44/12</f>
        <v>2.1038498696339215E-2</v>
      </c>
      <c r="BS51" s="24">
        <f t="shared" si="9"/>
        <v>1.4842008608083255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211.92600000000007</v>
      </c>
      <c r="CA51" s="14">
        <f t="shared" si="39"/>
        <v>52.356241262970165</v>
      </c>
      <c r="CB51" s="22">
        <f t="shared" si="10"/>
        <v>460.29157019967312</v>
      </c>
      <c r="CC51" s="62">
        <f t="shared" si="11"/>
        <v>753.62490353300643</v>
      </c>
      <c r="CD51" s="62">
        <f ca="1">AVERAGE(OFFSET($CC$3,0,0,'Données projet'!$E$12+1,1))-AVERAGE(OFFSET($H$3,0,0,'Données projet'!$E$12+1,1))</f>
        <v>587.74247372331615</v>
      </c>
      <c r="CE51" s="62">
        <f t="shared" si="40"/>
        <v>306.61893266146666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6.0256410256410273</v>
      </c>
      <c r="CT51" s="13">
        <f>IF('Données projet'!$A$140&gt;35,CT50+CS51-DB50,IF(A51&lt;'Données projet'!$A$140,$CQ$205^A51,IF(A51='Données projet'!$A$140,'Données projet'!$B$140,CT50+CS51-DB50)))</f>
        <v>175.12820512820505</v>
      </c>
      <c r="CU51" s="18">
        <f>CT51*VLOOKUP('Données projet'!$B$13,Paramètres!$A$1:$I$89,3,0)*VLOOKUP('Données projet'!$B$13,Paramètres!$A$1:$I$89,5,0)</f>
        <v>166.65199999999993</v>
      </c>
      <c r="CV51" s="14">
        <f t="shared" si="41"/>
        <v>42.339317127801309</v>
      </c>
      <c r="CW51" s="22">
        <f t="shared" si="13"/>
        <v>363.99321066425381</v>
      </c>
      <c r="CX51" s="62">
        <f t="shared" si="14"/>
        <v>657.32654399758712</v>
      </c>
      <c r="CY51" s="62">
        <f ca="1">AVERAGE(OFFSET($CX$3,0,0,'Données projet'!$E$13+1,1))-AVERAGE(OFFSET($H$3,0,0,'Données projet'!$E$13+1,1))</f>
        <v>406.24139966722936</v>
      </c>
      <c r="CZ51" s="62">
        <f t="shared" si="42"/>
        <v>295.95724296920577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13.632692307692309</v>
      </c>
      <c r="DO51" s="13">
        <f>IF('Données projet'!$A$166&gt;35,DO50+DN51-DW50,IF(A51&lt;'Données projet'!$A$166,$DL$205^A51,IF(A51='Données projet'!$A$166,'Données projet'!$B$166,DO50+DN51-DW50)))</f>
        <v>317.52692307692314</v>
      </c>
      <c r="DP51" s="18">
        <f>DO51*VLOOKUP('Données projet'!$B$14,Paramètres!$A$1:$I$89,3,0)*VLOOKUP('Données projet'!$B$14,Paramètres!$A$1:$I$89,5,0)</f>
        <v>189.88110000000003</v>
      </c>
      <c r="DQ51" s="14">
        <f t="shared" si="43"/>
        <v>47.513664791771497</v>
      </c>
      <c r="DR51" s="22">
        <f t="shared" si="16"/>
        <v>413.46254867900205</v>
      </c>
      <c r="DS51" s="62">
        <f t="shared" si="17"/>
        <v>706.79588201233537</v>
      </c>
      <c r="DT51" s="62">
        <f ca="1">AVERAGE(OFFSET($DS$3,0,0,'Données projet'!$E$14+1,1))-AVERAGE(OFFSET($H$3,0,0,'Données projet'!$E$14+1,1))</f>
        <v>356.42779334565381</v>
      </c>
      <c r="DU51" s="62">
        <f t="shared" si="44"/>
        <v>320.06572891923685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2.4120693307982188</v>
      </c>
      <c r="EC51" s="23">
        <f>EXP(-LN(2)/2)*EC50+(1-EXP(-LN(2)/2))/(LN(2)/2)*DW51*DZ51*VLOOKUP('Données projet'!$B$14,Paramètres!$A$1:$I$89,3,0)*0.475*44/12</f>
        <v>3.3165201148984441E-2</v>
      </c>
      <c r="ED51" s="24">
        <f t="shared" si="18"/>
        <v>2.4452345319472033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8.5399999999999974</v>
      </c>
      <c r="FE51" s="13">
        <f>IF('Données projet'!$A$218&gt;35,FE50+FD51-FM50,IF(A51&lt;'Données projet'!$A$218,$FB$205^A51,IF(A51='Données projet'!$A$218,'Données projet'!$B$218,FE50+FD51-FM50)))</f>
        <v>267.81999999999988</v>
      </c>
      <c r="FF51" s="18">
        <f>FE51*VLOOKUP('Données projet'!$B$16,Paramètres!$A$1:$I$89,3,0)*VLOOKUP('Données projet'!$B$16,Paramètres!$A$1:$I$89,5,0)</f>
        <v>213.07759199999992</v>
      </c>
      <c r="FG51" s="14">
        <f t="shared" si="47"/>
        <v>52.607546461832449</v>
      </c>
      <c r="FH51" s="22">
        <f t="shared" si="22"/>
        <v>462.73494948769138</v>
      </c>
      <c r="FI51" s="62">
        <f t="shared" si="23"/>
        <v>756.0682828210247</v>
      </c>
      <c r="FJ51" s="62">
        <f ca="1">AVERAGE(OFFSET($FI$3,0,0,'Données projet'!$E$16+1,1))-AVERAGE(OFFSET($H$3,0,0,'Données projet'!$E$16+1,1))</f>
        <v>370.59298168107364</v>
      </c>
      <c r="FK51" s="62">
        <f t="shared" si="48"/>
        <v>404.61777090709171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</v>
      </c>
      <c r="FZ51" s="13">
        <f>IF('Données projet'!$A$244&gt;35,FZ50+FY51-GH50,IF(A51&lt;'Données projet'!$A$244,$FW$205^A51,IF(A51='Données projet'!$A$244,'Données projet'!$B$244,FZ50+FY51-GH50)))</f>
        <v>209.00000000000006</v>
      </c>
      <c r="GA51" s="18">
        <f>FZ51*VLOOKUP('Données projet'!$B$17,Paramètres!$A$1:$I$89,3,0)*VLOOKUP('Données projet'!$B$17,Paramètres!$A$1:$I$89,5,0)</f>
        <v>202.14480000000006</v>
      </c>
      <c r="GB51" s="14">
        <f t="shared" si="49"/>
        <v>50.215236821738628</v>
      </c>
      <c r="GC51" s="22">
        <f t="shared" si="25"/>
        <v>439.52706413119489</v>
      </c>
      <c r="GD51" s="62">
        <f t="shared" si="26"/>
        <v>732.86039746452821</v>
      </c>
      <c r="GE51" s="62">
        <f ca="1">AVERAGE(OFFSET($GD$3,0,0,'Données projet'!$E$17+1,1))-AVERAGE(OFFSET($H$3,0,0,'Données projet'!$E$17+1,1))</f>
        <v>562.69380557620775</v>
      </c>
      <c r="GF51" s="62">
        <f t="shared" si="50"/>
        <v>294.45557293177131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7.0512820512820555</v>
      </c>
      <c r="GU51" s="13">
        <f>IF('Données projet'!$A$270&gt;35,GU50+GT51-HC50,IF(A51&lt;'Données projet'!$A$270,$GR$205^A51,IF(A51='Données projet'!$A$270,'Données projet'!$B$270,GU50+GT51-HC50)))</f>
        <v>247.43589743589752</v>
      </c>
      <c r="GV51" s="18">
        <f>GU51*VLOOKUP('Données projet'!$B$18,Paramètres!$A$1:$I$89,3,0)*VLOOKUP('Données projet'!$B$18,Paramètres!$A$1:$I$89,5,0)</f>
        <v>165.98000000000005</v>
      </c>
      <c r="GW51" s="14">
        <f t="shared" si="51"/>
        <v>42.188427161252903</v>
      </c>
      <c r="GX51" s="22">
        <f t="shared" si="28"/>
        <v>362.56001063918217</v>
      </c>
      <c r="GY51" s="62">
        <f t="shared" si="29"/>
        <v>655.89334397251548</v>
      </c>
      <c r="GZ51" s="62">
        <f ca="1">AVERAGE(OFFSET($GY$3,0,0,'Données projet'!$E$18+1,1))-AVERAGE(OFFSET($H$3,0,0,'Données projet'!$E$18+1,1))</f>
        <v>363.53487081291541</v>
      </c>
      <c r="HA51" s="62">
        <f t="shared" si="52"/>
        <v>308.1559670593121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529.25712986118265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697.11009622348001</v>
      </c>
      <c r="AN52" s="62">
        <f ca="1">AVERAGE(OFFSET($AM$3,0,0,'Données projet'!$E$10+1,1))-AVERAGE(OFFSET($H$3,0,0,'Données projet'!$E$10+1,1))</f>
        <v>495.77338291316386</v>
      </c>
      <c r="AO52" s="62">
        <f t="shared" si="36"/>
        <v>261.95434270986397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10.405128205128202</v>
      </c>
      <c r="BD52" s="13">
        <f>IF('Données projet'!$A$88&gt;35,BD51+BC52-BL51,IF(A52&lt;'Données projet'!$A$88,$BA$205^A52,IF(A52='Données projet'!$A$88,'Données projet'!$B$88,BD51+BC52-BL51)))</f>
        <v>302.14871794871806</v>
      </c>
      <c r="BE52" s="14">
        <f>BD52*VLOOKUP('Données projet'!$B$11,Paramètres!$A$1:$I$89,3,0)*VLOOKUP('Données projet'!$B$11,Paramètres!$A$1:$I$89,5,0)</f>
        <v>172.82906666666673</v>
      </c>
      <c r="BF52" s="14">
        <f t="shared" si="37"/>
        <v>43.723030492467053</v>
      </c>
      <c r="BG52" s="22">
        <f t="shared" si="7"/>
        <v>377.1615692188247</v>
      </c>
      <c r="BH52" s="62">
        <f t="shared" si="8"/>
        <v>670.49490255215801</v>
      </c>
      <c r="BI52" s="62">
        <f ca="1">AVERAGE(OFFSET($BH$3,0,0,'Données projet'!$E$11+1,1))-AVERAGE(OFFSET($H$3,0,0,'Données projet'!$E$11+1,1))</f>
        <v>320.67081032419122</v>
      </c>
      <c r="BJ52" s="62">
        <f t="shared" si="38"/>
        <v>290.51177680335746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1.4231521103756695</v>
      </c>
      <c r="BR52" s="23">
        <f>EXP(-LN(2)/2)*BR51+(1-EXP(-LN(2)/2))/(LN(2)/2)*BL52*BO52*VLOOKUP('Données projet'!$B$11,Paramètres!$A$1:$I$89,3,0)*0.475*44/12</f>
        <v>1.4876465094165799E-2</v>
      </c>
      <c r="BS52" s="24">
        <f t="shared" si="9"/>
        <v>1.4380285754698352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2">
        <f t="shared" si="11"/>
        <v>777.27939223762587</v>
      </c>
      <c r="CD52" s="62">
        <f ca="1">AVERAGE(OFFSET($CC$3,0,0,'Données projet'!$E$12+1,1))-AVERAGE(OFFSET($H$3,0,0,'Données projet'!$E$12+1,1))</f>
        <v>587.74247372331615</v>
      </c>
      <c r="CE52" s="62">
        <f t="shared" si="40"/>
        <v>306.61893266146666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6.0256410256410273</v>
      </c>
      <c r="CT52" s="13">
        <f>IF('Données projet'!$A$140&gt;35,CT51+CS52-DB51,IF(A52&lt;'Données projet'!$A$140,$CQ$205^A52,IF(A52='Données projet'!$A$140,'Données projet'!$B$140,CT51+CS52-DB51)))</f>
        <v>181.15384615384608</v>
      </c>
      <c r="CU52" s="18">
        <f>CT52*VLOOKUP('Données projet'!$B$13,Paramètres!$A$1:$I$89,3,0)*VLOOKUP('Données projet'!$B$13,Paramètres!$A$1:$I$89,5,0)</f>
        <v>172.38599999999991</v>
      </c>
      <c r="CV52" s="14">
        <f t="shared" si="41"/>
        <v>43.623973962324399</v>
      </c>
      <c r="CW52" s="22">
        <f t="shared" si="13"/>
        <v>376.21737131771482</v>
      </c>
      <c r="CX52" s="62">
        <f t="shared" si="14"/>
        <v>669.55070465104814</v>
      </c>
      <c r="CY52" s="62">
        <f ca="1">AVERAGE(OFFSET($CX$3,0,0,'Données projet'!$E$13+1,1))-AVERAGE(OFFSET($H$3,0,0,'Données projet'!$E$13+1,1))</f>
        <v>406.24139966722936</v>
      </c>
      <c r="CZ52" s="62">
        <f t="shared" si="42"/>
        <v>295.95724296920577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13.632692307692309</v>
      </c>
      <c r="DO52" s="13">
        <f>IF('Données projet'!$A$166&gt;35,DO51+DN52-DW51,IF(A52&lt;'Données projet'!$A$166,$DL$205^A52,IF(A52='Données projet'!$A$166,'Données projet'!$B$166,DO51+DN52-DW51)))</f>
        <v>331.15961538461545</v>
      </c>
      <c r="DP52" s="18">
        <f>DO52*VLOOKUP('Données projet'!$B$14,Paramètres!$A$1:$I$89,3,0)*VLOOKUP('Données projet'!$B$14,Paramètres!$A$1:$I$89,5,0)</f>
        <v>198.03345000000004</v>
      </c>
      <c r="DQ52" s="14">
        <f t="shared" si="43"/>
        <v>49.311731320586247</v>
      </c>
      <c r="DR52" s="22">
        <f t="shared" si="16"/>
        <v>430.79285746668774</v>
      </c>
      <c r="DS52" s="62">
        <f t="shared" si="17"/>
        <v>724.12619080002105</v>
      </c>
      <c r="DT52" s="62">
        <f ca="1">AVERAGE(OFFSET($DS$3,0,0,'Données projet'!$E$14+1,1))-AVERAGE(OFFSET($H$3,0,0,'Données projet'!$E$14+1,1))</f>
        <v>356.42779334565381</v>
      </c>
      <c r="DU52" s="62">
        <f t="shared" si="44"/>
        <v>320.06572891923685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2.3461111681023281</v>
      </c>
      <c r="EC52" s="23">
        <f>EXP(-LN(2)/2)*EC51+(1-EXP(-LN(2)/2))/(LN(2)/2)*DW52*DZ52*VLOOKUP('Données projet'!$B$14,Paramètres!$A$1:$I$89,3,0)*0.475*44/12</f>
        <v>2.3451338631862776E-2</v>
      </c>
      <c r="ED52" s="24">
        <f t="shared" si="18"/>
        <v>2.3695625067341908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8.5399999999999974</v>
      </c>
      <c r="FE52" s="13">
        <f>IF('Données projet'!$A$218&gt;35,FE51+FD52-FM51,IF(A52&lt;'Données projet'!$A$218,$FB$205^A52,IF(A52='Données projet'!$A$218,'Données projet'!$B$218,FE51+FD52-FM51)))</f>
        <v>276.3599999999999</v>
      </c>
      <c r="FF52" s="18">
        <f>FE52*VLOOKUP('Données projet'!$B$16,Paramètres!$A$1:$I$89,3,0)*VLOOKUP('Données projet'!$B$16,Paramètres!$A$1:$I$89,5,0)</f>
        <v>219.87201599999992</v>
      </c>
      <c r="FG52" s="14">
        <f t="shared" si="47"/>
        <v>54.087068088530145</v>
      </c>
      <c r="FH52" s="22">
        <f t="shared" si="22"/>
        <v>477.14540478752315</v>
      </c>
      <c r="FI52" s="62">
        <f t="shared" si="23"/>
        <v>770.47873812085641</v>
      </c>
      <c r="FJ52" s="62">
        <f ca="1">AVERAGE(OFFSET($FI$3,0,0,'Données projet'!$E$16+1,1))-AVERAGE(OFFSET($H$3,0,0,'Données projet'!$E$16+1,1))</f>
        <v>370.59298168107364</v>
      </c>
      <c r="FK52" s="62">
        <f t="shared" si="48"/>
        <v>404.61777090709171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</v>
      </c>
      <c r="FZ52" s="13">
        <f>IF('Données projet'!$A$244&gt;35,FZ51+FY52-GH51,IF(A52&lt;'Données projet'!$A$244,$FW$205^A52,IF(A52='Données projet'!$A$244,'Données projet'!$B$244,FZ51+FY52-GH51)))</f>
        <v>220.00000000000006</v>
      </c>
      <c r="GA52" s="18">
        <f>FZ52*VLOOKUP('Données projet'!$B$17,Paramètres!$A$1:$I$89,3,0)*VLOOKUP('Données projet'!$B$17,Paramètres!$A$1:$I$89,5,0)</f>
        <v>212.78400000000005</v>
      </c>
      <c r="GB52" s="14">
        <f t="shared" si="49"/>
        <v>52.543492641808108</v>
      </c>
      <c r="GC52" s="22">
        <f t="shared" si="25"/>
        <v>462.11204968448243</v>
      </c>
      <c r="GD52" s="62">
        <f t="shared" si="26"/>
        <v>755.44538301781574</v>
      </c>
      <c r="GE52" s="62">
        <f ca="1">AVERAGE(OFFSET($GD$3,0,0,'Données projet'!$E$17+1,1))-AVERAGE(OFFSET($H$3,0,0,'Données projet'!$E$17+1,1))</f>
        <v>562.69380557620775</v>
      </c>
      <c r="GF52" s="62">
        <f t="shared" si="50"/>
        <v>294.45557293177131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7.0512820512820555</v>
      </c>
      <c r="GU52" s="13">
        <f>IF('Données projet'!$A$270&gt;35,GU51+GT52-HC51,IF(A52&lt;'Données projet'!$A$270,$GR$205^A52,IF(A52='Données projet'!$A$270,'Données projet'!$B$270,GU51+GT52-HC51)))</f>
        <v>254.48717948717956</v>
      </c>
      <c r="GV52" s="18">
        <f>GU52*VLOOKUP('Données projet'!$B$18,Paramètres!$A$1:$I$89,3,0)*VLOOKUP('Données projet'!$B$18,Paramètres!$A$1:$I$89,5,0)</f>
        <v>170.71000000000006</v>
      </c>
      <c r="GW52" s="14">
        <f t="shared" si="51"/>
        <v>43.249001374438308</v>
      </c>
      <c r="GX52" s="22">
        <f t="shared" si="28"/>
        <v>372.64526072714688</v>
      </c>
      <c r="GY52" s="62">
        <f t="shared" si="29"/>
        <v>665.97859406048019</v>
      </c>
      <c r="GZ52" s="62">
        <f ca="1">AVERAGE(OFFSET($GY$3,0,0,'Données projet'!$E$18+1,1))-AVERAGE(OFFSET($H$3,0,0,'Données projet'!$E$18+1,1))</f>
        <v>363.53487081291541</v>
      </c>
      <c r="HA52" s="62">
        <f t="shared" si="52"/>
        <v>308.1559670593121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529.25712986118265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194.59440000000006</v>
      </c>
      <c r="AK53" s="14">
        <f t="shared" si="35"/>
        <v>48.554292648263456</v>
      </c>
      <c r="AL53" s="22">
        <f t="shared" si="4"/>
        <v>423.48397302905897</v>
      </c>
      <c r="AM53" s="62">
        <f t="shared" si="5"/>
        <v>716.81730636239229</v>
      </c>
      <c r="AN53" s="62">
        <f ca="1">AVERAGE(OFFSET($AM$3,0,0,'Données projet'!$E$10+1,1))-AVERAGE(OFFSET($H$3,0,0,'Données projet'!$E$10+1,1))</f>
        <v>495.77338291316386</v>
      </c>
      <c r="AO53" s="62">
        <f t="shared" si="36"/>
        <v>261.95434270986397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312.55384615384617</v>
      </c>
      <c r="BB53" s="13">
        <f>VLOOKUP(A53,'Données projet'!$A$87:$I$107,9,0)</f>
        <v>10.405128205128202</v>
      </c>
      <c r="BC53" s="13">
        <f t="array" ref="BC53">INDEX(BB:BB,MIN(IF(ISNUMBER(BB53:BB249),ROW(BB53:BB249),"")))</f>
        <v>10.405128205128202</v>
      </c>
      <c r="BD53" s="13">
        <f>IF('Données projet'!$A$88&gt;35,BD52+BC53-BL52,IF(A53&lt;'Données projet'!$A$88,$BA$205^A53,IF(A53='Données projet'!$A$88,'Données projet'!$B$88,BD52+BC53-BL52)))</f>
        <v>312.55384615384628</v>
      </c>
      <c r="BE53" s="14">
        <f>BD53*VLOOKUP('Données projet'!$B$11,Paramètres!$A$1:$I$89,3,0)*VLOOKUP('Données projet'!$B$11,Paramètres!$A$1:$I$89,5,0)</f>
        <v>178.78080000000008</v>
      </c>
      <c r="BF53" s="14">
        <f t="shared" si="37"/>
        <v>45.050829429760697</v>
      </c>
      <c r="BG53" s="22">
        <f t="shared" si="7"/>
        <v>389.84008792349999</v>
      </c>
      <c r="BH53" s="62">
        <f t="shared" si="8"/>
        <v>683.17342125683331</v>
      </c>
      <c r="BI53" s="62">
        <f ca="1">AVERAGE(OFFSET($BH$3,0,0,'Données projet'!$E$11+1,1))-AVERAGE(OFFSET($H$3,0,0,'Données projet'!$E$11+1,1))</f>
        <v>320.67081032419122</v>
      </c>
      <c r="BJ53" s="62">
        <f t="shared" si="38"/>
        <v>290.51177680335746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43.4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1.3842359410771299</v>
      </c>
      <c r="BR53" s="23">
        <f>EXP(-LN(2)/2)*BR52+(1-EXP(-LN(2)/2))/(LN(2)/2)*BL53*BO53*VLOOKUP('Données projet'!$B$11,Paramètres!$A$1:$I$89,3,0)*0.475*44/12</f>
        <v>1.0519249348169607E-2</v>
      </c>
      <c r="BS53" s="24">
        <f t="shared" si="9"/>
        <v>1.3947551904252995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2">
        <f t="shared" si="11"/>
        <v>800.90933500769279</v>
      </c>
      <c r="CD53" s="62">
        <f ca="1">AVERAGE(OFFSET($CC$3,0,0,'Données projet'!$E$12+1,1))-AVERAGE(OFFSET($H$3,0,0,'Données projet'!$E$12+1,1))</f>
        <v>587.74247372331615</v>
      </c>
      <c r="CE53" s="62">
        <f t="shared" si="40"/>
        <v>306.61893266146666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187.17948717948718</v>
      </c>
      <c r="CR53" s="13">
        <f>VLOOKUP(A53,'Données projet'!$A$139:$I$159,9,0)</f>
        <v>6.0256410256410273</v>
      </c>
      <c r="CS53" s="13">
        <f t="array" ref="CS53">INDEX(CR:CR,MIN(IF(ISNUMBER(CR53:CR249),ROW(CR53:CR249),"")))</f>
        <v>6.0256410256410273</v>
      </c>
      <c r="CT53" s="13">
        <f>IF('Données projet'!$A$140&gt;35,CT52+CS53-DB52,IF(A53&lt;'Données projet'!$A$140,$CQ$205^A53,IF(A53='Données projet'!$A$140,'Données projet'!$B$140,CT52+CS53-DB52)))</f>
        <v>187.1794871794871</v>
      </c>
      <c r="CU53" s="18">
        <f>CT53*VLOOKUP('Données projet'!$B$13,Paramètres!$A$1:$I$89,3,0)*VLOOKUP('Données projet'!$B$13,Paramètres!$A$1:$I$89,5,0)</f>
        <v>178.11999999999992</v>
      </c>
      <c r="CV53" s="14">
        <f t="shared" si="41"/>
        <v>44.90366556024162</v>
      </c>
      <c r="CW53" s="22">
        <f t="shared" si="13"/>
        <v>388.4328841840873</v>
      </c>
      <c r="CX53" s="62">
        <f t="shared" si="14"/>
        <v>681.76621751742061</v>
      </c>
      <c r="CY53" s="62">
        <f ca="1">AVERAGE(OFFSET($CX$3,0,0,'Données projet'!$E$13+1,1))-AVERAGE(OFFSET($H$3,0,0,'Données projet'!$E$13+1,1))</f>
        <v>406.24139966722936</v>
      </c>
      <c r="CZ53" s="62">
        <f t="shared" si="42"/>
        <v>295.95724296920577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344.7923076923077</v>
      </c>
      <c r="DM53" s="13">
        <f>VLOOKUP(A53,'Données projet'!$A$165:$I$185,9,0)</f>
        <v>13.632692307692309</v>
      </c>
      <c r="DN53" s="13">
        <f t="array" ref="DN53">INDEX(DM:DM,MIN(IF(ISNUMBER(DM53:DM249),ROW(DM53:DM249),"")))</f>
        <v>13.632692307692309</v>
      </c>
      <c r="DO53" s="13">
        <f>IF('Données projet'!$A$166&gt;35,DO52+DN53-DW52,IF(A53&lt;'Données projet'!$A$166,$DL$205^A53,IF(A53='Données projet'!$A$166,'Données projet'!$B$166,DO52+DN53-DW52)))</f>
        <v>344.79230769230776</v>
      </c>
      <c r="DP53" s="18">
        <f>DO53*VLOOKUP('Données projet'!$B$14,Paramètres!$A$1:$I$89,3,0)*VLOOKUP('Données projet'!$B$14,Paramètres!$A$1:$I$89,5,0)</f>
        <v>206.18580000000006</v>
      </c>
      <c r="DQ53" s="14">
        <f t="shared" si="43"/>
        <v>51.101199948024529</v>
      </c>
      <c r="DR53" s="22">
        <f t="shared" si="16"/>
        <v>448.10819157614281</v>
      </c>
      <c r="DS53" s="62">
        <f t="shared" si="17"/>
        <v>741.44152490947613</v>
      </c>
      <c r="DT53" s="62">
        <f ca="1">AVERAGE(OFFSET($DS$3,0,0,'Données projet'!$E$14+1,1))-AVERAGE(OFFSET($H$3,0,0,'Données projet'!$E$14+1,1))</f>
        <v>356.42779334565381</v>
      </c>
      <c r="DU53" s="62">
        <f t="shared" si="44"/>
        <v>320.06572891923685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2.281956634833946</v>
      </c>
      <c r="EC53" s="23">
        <f>EXP(-LN(2)/2)*EC52+(1-EXP(-LN(2)/2))/(LN(2)/2)*DW53*DZ53*VLOOKUP('Données projet'!$B$14,Paramètres!$A$1:$I$89,3,0)*0.475*44/12</f>
        <v>1.6582600574492221E-2</v>
      </c>
      <c r="ED53" s="24">
        <f t="shared" si="18"/>
        <v>2.298539235408438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284.89999999999998</v>
      </c>
      <c r="FC53" s="13">
        <f>VLOOKUP(A53,'Données projet'!$A$217:$I$237,9,0)</f>
        <v>8.5399999999999974</v>
      </c>
      <c r="FD53" s="13">
        <f t="array" ref="FD53">INDEX(FC:FC,MIN(IF(ISNUMBER(FC53:FC249),ROW(FC53:FC249),"")))</f>
        <v>8.5399999999999974</v>
      </c>
      <c r="FE53" s="13">
        <f>IF('Données projet'!$A$218&gt;35,FE52+FD53-FM52,IF(A53&lt;'Données projet'!$A$218,$FB$205^A53,IF(A53='Données projet'!$A$218,'Données projet'!$B$218,FE52+FD53-FM52)))</f>
        <v>284.89999999999992</v>
      </c>
      <c r="FF53" s="18">
        <f>FE53*VLOOKUP('Données projet'!$B$16,Paramètres!$A$1:$I$89,3,0)*VLOOKUP('Données projet'!$B$16,Paramètres!$A$1:$I$89,5,0)</f>
        <v>226.66643999999994</v>
      </c>
      <c r="FG53" s="14">
        <f t="shared" si="47"/>
        <v>55.561276600641385</v>
      </c>
      <c r="FH53" s="22">
        <f t="shared" si="22"/>
        <v>491.5466064127836</v>
      </c>
      <c r="FI53" s="62">
        <f t="shared" si="23"/>
        <v>784.87993974611686</v>
      </c>
      <c r="FJ53" s="62">
        <f ca="1">AVERAGE(OFFSET($FI$3,0,0,'Données projet'!$E$16+1,1))-AVERAGE(OFFSET($H$3,0,0,'Données projet'!$E$16+1,1))</f>
        <v>370.59298168107364</v>
      </c>
      <c r="FK53" s="62">
        <f t="shared" si="48"/>
        <v>404.61777090709171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43.099999999999994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231</v>
      </c>
      <c r="FX53" s="13">
        <f>VLOOKUP(A53,'Données projet'!$A$243:$I$263,9,0)</f>
        <v>11</v>
      </c>
      <c r="FY53" s="13">
        <f t="array" ref="FY53">INDEX(FX:FX,MIN(IF(ISNUMBER(FX53:FX249),ROW(FX53:FX249),"")))</f>
        <v>11</v>
      </c>
      <c r="FZ53" s="13">
        <f>IF('Données projet'!$A$244&gt;35,FZ52+FY53-GH52,IF(A53&lt;'Données projet'!$A$244,$FW$205^A53,IF(A53='Données projet'!$A$244,'Données projet'!$B$244,FZ52+FY53-GH52)))</f>
        <v>231.00000000000006</v>
      </c>
      <c r="GA53" s="18">
        <f>FZ53*VLOOKUP('Données projet'!$B$17,Paramètres!$A$1:$I$89,3,0)*VLOOKUP('Données projet'!$B$17,Paramètres!$A$1:$I$89,5,0)</f>
        <v>223.42320000000004</v>
      </c>
      <c r="GB53" s="14">
        <f t="shared" si="49"/>
        <v>54.858231422257631</v>
      </c>
      <c r="GC53" s="22">
        <f t="shared" si="25"/>
        <v>484.67349306043207</v>
      </c>
      <c r="GD53" s="62">
        <f t="shared" si="26"/>
        <v>778.00682639376532</v>
      </c>
      <c r="GE53" s="62">
        <f ca="1">AVERAGE(OFFSET($GD$3,0,0,'Données projet'!$E$17+1,1))-AVERAGE(OFFSET($H$3,0,0,'Données projet'!$E$17+1,1))</f>
        <v>562.69380557620775</v>
      </c>
      <c r="GF53" s="62">
        <f t="shared" si="50"/>
        <v>294.45557293177131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261.53846153846155</v>
      </c>
      <c r="GS53" s="13">
        <f>VLOOKUP(A53,'Données projet'!$A$269:$I$289,9,0)</f>
        <v>7.0512820512820555</v>
      </c>
      <c r="GT53" s="13">
        <f t="array" ref="GT53">INDEX(GS:GS,MIN(IF(ISNUMBER(GS53:GS249),ROW(GS53:GS249),"")))</f>
        <v>7.0512820512820555</v>
      </c>
      <c r="GU53" s="13">
        <f>IF('Données projet'!$A$270&gt;35,GU52+GT53-HC52,IF(A53&lt;'Données projet'!$A$270,$GR$205^A53,IF(A53='Données projet'!$A$270,'Données projet'!$B$270,GU52+GT53-HC52)))</f>
        <v>261.5384615384616</v>
      </c>
      <c r="GV53" s="18">
        <f>GU53*VLOOKUP('Données projet'!$B$18,Paramètres!$A$1:$I$89,3,0)*VLOOKUP('Données projet'!$B$18,Paramètres!$A$1:$I$89,5,0)</f>
        <v>175.44000000000003</v>
      </c>
      <c r="GW53" s="14">
        <f t="shared" si="51"/>
        <v>44.306160083661858</v>
      </c>
      <c r="GX53" s="22">
        <f t="shared" si="28"/>
        <v>382.72456214571116</v>
      </c>
      <c r="GY53" s="62">
        <f t="shared" si="29"/>
        <v>676.05789547904442</v>
      </c>
      <c r="GZ53" s="62">
        <f ca="1">AVERAGE(OFFSET($GY$3,0,0,'Données projet'!$E$18+1,1))-AVERAGE(OFFSET($H$3,0,0,'Données projet'!$E$18+1,1))</f>
        <v>363.53487081291541</v>
      </c>
      <c r="HA53" s="62">
        <f t="shared" si="52"/>
        <v>308.1559670593121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36.53846153846154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529.25712986118265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203.18688000000009</v>
      </c>
      <c r="AK54" s="14">
        <f t="shared" si="35"/>
        <v>50.443901791793827</v>
      </c>
      <c r="AL54" s="22">
        <f t="shared" si="4"/>
        <v>441.74027828737439</v>
      </c>
      <c r="AM54" s="62">
        <f t="shared" si="5"/>
        <v>735.07361162070765</v>
      </c>
      <c r="AN54" s="62">
        <f ca="1">AVERAGE(OFFSET($AM$3,0,0,'Données projet'!$E$10+1,1))-AVERAGE(OFFSET($H$3,0,0,'Données projet'!$E$10+1,1))</f>
        <v>495.77338291316386</v>
      </c>
      <c r="AO54" s="62">
        <f t="shared" si="36"/>
        <v>261.95434270986397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9.1942307692307566</v>
      </c>
      <c r="BD54" s="13">
        <f>IF('Données projet'!$A$88&gt;35,BD53+BC54-BL53,IF(A54&lt;'Données projet'!$A$88,$BA$205^A54,IF(A54='Données projet'!$A$88,'Données projet'!$B$88,BD53+BC54-BL53)))</f>
        <v>278.34807692307709</v>
      </c>
      <c r="BE54" s="14">
        <f>BD54*VLOOKUP('Données projet'!$B$11,Paramètres!$A$1:$I$89,3,0)*VLOOKUP('Données projet'!$B$11,Paramètres!$A$1:$I$89,5,0)</f>
        <v>159.21510000000009</v>
      </c>
      <c r="BF54" s="14">
        <f t="shared" si="37"/>
        <v>40.66542838307155</v>
      </c>
      <c r="BG54" s="22">
        <f t="shared" si="7"/>
        <v>348.12525360051637</v>
      </c>
      <c r="BH54" s="62">
        <f t="shared" si="8"/>
        <v>641.45858693384969</v>
      </c>
      <c r="BI54" s="62">
        <f ca="1">AVERAGE(OFFSET($BH$3,0,0,'Données projet'!$E$11+1,1))-AVERAGE(OFFSET($H$3,0,0,'Données projet'!$E$11+1,1))</f>
        <v>320.67081032419122</v>
      </c>
      <c r="BJ54" s="62">
        <f t="shared" si="38"/>
        <v>290.51177680335746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1.3463839364745713</v>
      </c>
      <c r="BR54" s="23">
        <f>EXP(-LN(2)/2)*BR53+(1-EXP(-LN(2)/2))/(LN(2)/2)*BL54*BO54*VLOOKUP('Données projet'!$B$11,Paramètres!$A$1:$I$89,3,0)*0.475*44/12</f>
        <v>7.4382325470828993E-3</v>
      </c>
      <c r="BS54" s="24">
        <f t="shared" si="9"/>
        <v>1.3538221690216543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244.57680000000005</v>
      </c>
      <c r="CA54" s="14">
        <f t="shared" si="39"/>
        <v>59.423166060201147</v>
      </c>
      <c r="CB54" s="22">
        <f t="shared" si="10"/>
        <v>529.46660755485038</v>
      </c>
      <c r="CC54" s="62">
        <f t="shared" si="11"/>
        <v>822.79994088818376</v>
      </c>
      <c r="CD54" s="62">
        <f ca="1">AVERAGE(OFFSET($CC$3,0,0,'Données projet'!$E$12+1,1))-AVERAGE(OFFSET($H$3,0,0,'Données projet'!$E$12+1,1))</f>
        <v>587.74247372331615</v>
      </c>
      <c r="CE54" s="62">
        <f t="shared" si="40"/>
        <v>306.61893266146666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5.6410256410256405</v>
      </c>
      <c r="CT54" s="13">
        <f>IF('Données projet'!$A$140&gt;35,CT53+CS54-DB53,IF(A54&lt;'Données projet'!$A$140,$CQ$205^A54,IF(A54='Données projet'!$A$140,'Données projet'!$B$140,CT53+CS54-DB53)))</f>
        <v>192.82051282051273</v>
      </c>
      <c r="CU54" s="18">
        <f>CT54*VLOOKUP('Données projet'!$B$13,Paramètres!$A$1:$I$89,3,0)*VLOOKUP('Données projet'!$B$13,Paramètres!$A$1:$I$89,5,0)</f>
        <v>183.48799999999991</v>
      </c>
      <c r="CV54" s="14">
        <f t="shared" si="41"/>
        <v>46.097332970867861</v>
      </c>
      <c r="CW54" s="22">
        <f t="shared" si="13"/>
        <v>399.86112159092801</v>
      </c>
      <c r="CX54" s="62">
        <f t="shared" si="14"/>
        <v>693.19445492426132</v>
      </c>
      <c r="CY54" s="62">
        <f ca="1">AVERAGE(OFFSET($CX$3,0,0,'Données projet'!$E$13+1,1))-AVERAGE(OFFSET($H$3,0,0,'Données projet'!$E$13+1,1))</f>
        <v>406.24139966722936</v>
      </c>
      <c r="CZ54" s="62">
        <f t="shared" si="42"/>
        <v>295.95724296920577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13.901282051282047</v>
      </c>
      <c r="DO54" s="13">
        <f>IF('Données projet'!$A$166&gt;35,DO53+DN54-DW53,IF(A54&lt;'Données projet'!$A$166,$DL$205^A54,IF(A54='Données projet'!$A$166,'Données projet'!$B$166,DO53+DN54-DW53)))</f>
        <v>358.69358974358983</v>
      </c>
      <c r="DP54" s="18">
        <f>DO54*VLOOKUP('Données projet'!$B$14,Paramètres!$A$1:$I$89,3,0)*VLOOKUP('Données projet'!$B$14,Paramètres!$A$1:$I$89,5,0)</f>
        <v>214.49876666666674</v>
      </c>
      <c r="DQ54" s="14">
        <f t="shared" si="43"/>
        <v>52.917463342307485</v>
      </c>
      <c r="DR54" s="22">
        <f t="shared" si="16"/>
        <v>465.74993393229676</v>
      </c>
      <c r="DS54" s="62">
        <f t="shared" si="17"/>
        <v>759.08326726563007</v>
      </c>
      <c r="DT54" s="62">
        <f ca="1">AVERAGE(OFFSET($DS$3,0,0,'Données projet'!$E$14+1,1))-AVERAGE(OFFSET($H$3,0,0,'Données projet'!$E$14+1,1))</f>
        <v>356.42779334565381</v>
      </c>
      <c r="DU54" s="62">
        <f t="shared" si="44"/>
        <v>320.06572891923685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2.2195564106515278</v>
      </c>
      <c r="EC54" s="23">
        <f>EXP(-LN(2)/2)*EC53+(1-EXP(-LN(2)/2))/(LN(2)/2)*DW54*DZ54*VLOOKUP('Données projet'!$B$14,Paramètres!$A$1:$I$89,3,0)*0.475*44/12</f>
        <v>1.1725669315931388E-2</v>
      </c>
      <c r="ED54" s="24">
        <f t="shared" si="18"/>
        <v>2.2312820799674591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7.3600000000000083</v>
      </c>
      <c r="FE54" s="13">
        <f>IF('Données projet'!$A$218&gt;35,FE53+FD54-FM53,IF(A54&lt;'Données projet'!$A$218,$FB$205^A54,IF(A54='Données projet'!$A$218,'Données projet'!$B$218,FE53+FD54-FM53)))</f>
        <v>249.15999999999994</v>
      </c>
      <c r="FF54" s="18">
        <f>FE54*VLOOKUP('Données projet'!$B$16,Paramètres!$A$1:$I$89,3,0)*VLOOKUP('Données projet'!$B$16,Paramètres!$A$1:$I$89,5,0)</f>
        <v>198.23169599999997</v>
      </c>
      <c r="FG54" s="14">
        <f t="shared" si="47"/>
        <v>49.355347391815158</v>
      </c>
      <c r="FH54" s="22">
        <f t="shared" si="22"/>
        <v>431.21410057407803</v>
      </c>
      <c r="FI54" s="62">
        <f t="shared" si="23"/>
        <v>724.54743390741135</v>
      </c>
      <c r="FJ54" s="62">
        <f ca="1">AVERAGE(OFFSET($FI$3,0,0,'Données projet'!$E$16+1,1))-AVERAGE(OFFSET($H$3,0,0,'Données projet'!$E$16+1,1))</f>
        <v>370.59298168107364</v>
      </c>
      <c r="FK54" s="62">
        <f t="shared" si="48"/>
        <v>404.61777090709171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10.199999999999999</v>
      </c>
      <c r="FZ54" s="13">
        <f>IF('Données projet'!$A$244&gt;35,FZ53+FY54-GH53,IF(A54&lt;'Données projet'!$A$244,$FW$205^A54,IF(A54='Données projet'!$A$244,'Données projet'!$B$244,FZ53+FY54-GH53)))</f>
        <v>241.20000000000005</v>
      </c>
      <c r="GA54" s="18">
        <f>FZ54*VLOOKUP('Données projet'!$B$17,Paramètres!$A$1:$I$89,3,0)*VLOOKUP('Données projet'!$B$17,Paramètres!$A$1:$I$89,5,0)</f>
        <v>233.28864000000007</v>
      </c>
      <c r="GB54" s="14">
        <f t="shared" si="49"/>
        <v>56.993173773170618</v>
      </c>
      <c r="GC54" s="22">
        <f t="shared" si="25"/>
        <v>505.5741589882723</v>
      </c>
      <c r="GD54" s="62">
        <f t="shared" si="26"/>
        <v>798.90749232160556</v>
      </c>
      <c r="GE54" s="62">
        <f ca="1">AVERAGE(OFFSET($GD$3,0,0,'Données projet'!$E$17+1,1))-AVERAGE(OFFSET($H$3,0,0,'Données projet'!$E$17+1,1))</f>
        <v>562.69380557620775</v>
      </c>
      <c r="GF54" s="62">
        <f t="shared" si="50"/>
        <v>294.45557293177131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6.6666666666666625</v>
      </c>
      <c r="GU54" s="13">
        <f>IF('Données projet'!$A$270&gt;35,GU53+GT54-HC53,IF(A54&lt;'Données projet'!$A$270,$GR$205^A54,IF(A54='Données projet'!$A$270,'Données projet'!$B$270,GU53+GT54-HC53)))</f>
        <v>231.66666666666674</v>
      </c>
      <c r="GV54" s="18">
        <f>GU54*VLOOKUP('Données projet'!$B$18,Paramètres!$A$1:$I$89,3,0)*VLOOKUP('Données projet'!$B$18,Paramètres!$A$1:$I$89,5,0)</f>
        <v>155.40200000000007</v>
      </c>
      <c r="GW54" s="14">
        <f t="shared" si="51"/>
        <v>39.803670275990136</v>
      </c>
      <c r="GX54" s="22">
        <f t="shared" si="28"/>
        <v>339.98320906401625</v>
      </c>
      <c r="GY54" s="62">
        <f t="shared" si="29"/>
        <v>633.31654239734962</v>
      </c>
      <c r="GZ54" s="62">
        <f ca="1">AVERAGE(OFFSET($GY$3,0,0,'Données projet'!$E$18+1,1))-AVERAGE(OFFSET($H$3,0,0,'Données projet'!$E$18+1,1))</f>
        <v>363.53487081291541</v>
      </c>
      <c r="HA54" s="62">
        <f t="shared" si="52"/>
        <v>308.1559670593121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529.25712986118265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211.77936000000005</v>
      </c>
      <c r="AK55" s="14">
        <f t="shared" si="35"/>
        <v>52.324229479404138</v>
      </c>
      <c r="AL55" s="22">
        <f t="shared" si="4"/>
        <v>459.98041834329564</v>
      </c>
      <c r="AM55" s="62">
        <f t="shared" si="5"/>
        <v>753.31375167662895</v>
      </c>
      <c r="AN55" s="62">
        <f ca="1">AVERAGE(OFFSET($AM$3,0,0,'Données projet'!$E$10+1,1))-AVERAGE(OFFSET($H$3,0,0,'Données projet'!$E$10+1,1))</f>
        <v>495.77338291316386</v>
      </c>
      <c r="AO55" s="62">
        <f t="shared" si="36"/>
        <v>261.95434270986397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9.1942307692307566</v>
      </c>
      <c r="BD55" s="13">
        <f>IF('Données projet'!$A$88&gt;35,BD54+BC55-BL54,IF(A55&lt;'Données projet'!$A$88,$BA$205^A55,IF(A55='Données projet'!$A$88,'Données projet'!$B$88,BD54+BC55-BL54)))</f>
        <v>287.54230769230787</v>
      </c>
      <c r="BE55" s="14">
        <f>BD55*VLOOKUP('Données projet'!$B$11,Paramètres!$A$1:$I$89,3,0)*VLOOKUP('Données projet'!$B$11,Paramètres!$A$1:$I$89,5,0)</f>
        <v>164.47420000000011</v>
      </c>
      <c r="BF55" s="14">
        <f t="shared" si="37"/>
        <v>41.850058136895285</v>
      </c>
      <c r="BG55" s="22">
        <f t="shared" si="7"/>
        <v>359.34808292175944</v>
      </c>
      <c r="BH55" s="62">
        <f t="shared" si="8"/>
        <v>652.6814162550927</v>
      </c>
      <c r="BI55" s="62">
        <f ca="1">AVERAGE(OFFSET($BH$3,0,0,'Données projet'!$E$11+1,1))-AVERAGE(OFFSET($H$3,0,0,'Données projet'!$E$11+1,1))</f>
        <v>320.67081032419122</v>
      </c>
      <c r="BJ55" s="62">
        <f t="shared" si="38"/>
        <v>290.51177680335746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1.3095669969284203</v>
      </c>
      <c r="BR55" s="23">
        <f>EXP(-LN(2)/2)*BR54+(1-EXP(-LN(2)/2))/(LN(2)/2)*BL55*BO55*VLOOKUP('Données projet'!$B$11,Paramètres!$A$1:$I$89,3,0)*0.475*44/12</f>
        <v>5.2596246740848037E-3</v>
      </c>
      <c r="BS55" s="24">
        <f t="shared" si="9"/>
        <v>1.3148266216025051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254.91960000000006</v>
      </c>
      <c r="CA55" s="14">
        <f t="shared" si="39"/>
        <v>61.638201385772277</v>
      </c>
      <c r="CB55" s="22">
        <f t="shared" si="10"/>
        <v>551.33817074688682</v>
      </c>
      <c r="CC55" s="62">
        <f t="shared" si="11"/>
        <v>844.67150408022007</v>
      </c>
      <c r="CD55" s="62">
        <f ca="1">AVERAGE(OFFSET($CC$3,0,0,'Données projet'!$E$12+1,1))-AVERAGE(OFFSET($H$3,0,0,'Données projet'!$E$12+1,1))</f>
        <v>587.74247372331615</v>
      </c>
      <c r="CE55" s="62">
        <f t="shared" si="40"/>
        <v>306.61893266146666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5.6410256410256405</v>
      </c>
      <c r="CT55" s="13">
        <f>IF('Données projet'!$A$140&gt;35,CT54+CS55-DB54,IF(A55&lt;'Données projet'!$A$140,$CQ$205^A55,IF(A55='Données projet'!$A$140,'Données projet'!$B$140,CT54+CS55-DB54)))</f>
        <v>198.46153846153837</v>
      </c>
      <c r="CU55" s="18">
        <f>CT55*VLOOKUP('Données projet'!$B$13,Paramètres!$A$1:$I$89,3,0)*VLOOKUP('Données projet'!$B$13,Paramètres!$A$1:$I$89,5,0)</f>
        <v>188.85599999999991</v>
      </c>
      <c r="CV55" s="14">
        <f t="shared" si="41"/>
        <v>47.286941864448139</v>
      </c>
      <c r="CW55" s="22">
        <f t="shared" si="13"/>
        <v>411.28229041391364</v>
      </c>
      <c r="CX55" s="62">
        <f t="shared" si="14"/>
        <v>704.6156237472469</v>
      </c>
      <c r="CY55" s="62">
        <f ca="1">AVERAGE(OFFSET($CX$3,0,0,'Données projet'!$E$13+1,1))-AVERAGE(OFFSET($H$3,0,0,'Données projet'!$E$13+1,1))</f>
        <v>406.24139966722936</v>
      </c>
      <c r="CZ55" s="62">
        <f t="shared" si="42"/>
        <v>295.95724296920577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13.901282051282047</v>
      </c>
      <c r="DO55" s="13">
        <f>IF('Données projet'!$A$166&gt;35,DO54+DN55-DW54,IF(A55&lt;'Données projet'!$A$166,$DL$205^A55,IF(A55='Données projet'!$A$166,'Données projet'!$B$166,DO54+DN55-DW54)))</f>
        <v>372.59487179487189</v>
      </c>
      <c r="DP55" s="18">
        <f>DO55*VLOOKUP('Données projet'!$B$14,Paramètres!$A$1:$I$89,3,0)*VLOOKUP('Données projet'!$B$14,Paramètres!$A$1:$I$89,5,0)</f>
        <v>222.81173333333339</v>
      </c>
      <c r="DQ55" s="14">
        <f t="shared" si="43"/>
        <v>54.725549648376095</v>
      </c>
      <c r="DR55" s="22">
        <f t="shared" si="16"/>
        <v>483.37743452647737</v>
      </c>
      <c r="DS55" s="62">
        <f t="shared" si="17"/>
        <v>776.71076785981063</v>
      </c>
      <c r="DT55" s="62">
        <f ca="1">AVERAGE(OFFSET($DS$3,0,0,'Données projet'!$E$14+1,1))-AVERAGE(OFFSET($H$3,0,0,'Données projet'!$E$14+1,1))</f>
        <v>356.42779334565381</v>
      </c>
      <c r="DU55" s="62">
        <f t="shared" si="44"/>
        <v>320.06572891923685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2.1588625238808627</v>
      </c>
      <c r="EC55" s="23">
        <f>EXP(-LN(2)/2)*EC54+(1-EXP(-LN(2)/2))/(LN(2)/2)*DW55*DZ55*VLOOKUP('Données projet'!$B$14,Paramètres!$A$1:$I$89,3,0)*0.475*44/12</f>
        <v>8.2913002872461103E-3</v>
      </c>
      <c r="ED55" s="24">
        <f t="shared" si="18"/>
        <v>2.1671538241681088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7.3600000000000083</v>
      </c>
      <c r="FE55" s="13">
        <f>IF('Données projet'!$A$218&gt;35,FE54+FD55-FM54,IF(A55&lt;'Données projet'!$A$218,$FB$205^A55,IF(A55='Données projet'!$A$218,'Données projet'!$B$218,FE54+FD55-FM54)))</f>
        <v>256.51999999999992</v>
      </c>
      <c r="FF55" s="18">
        <f>FE55*VLOOKUP('Données projet'!$B$16,Paramètres!$A$1:$I$89,3,0)*VLOOKUP('Données projet'!$B$16,Paramètres!$A$1:$I$89,5,0)</f>
        <v>204.08731199999997</v>
      </c>
      <c r="FG55" s="14">
        <f t="shared" si="47"/>
        <v>50.641374824638383</v>
      </c>
      <c r="FH55" s="22">
        <f t="shared" si="22"/>
        <v>443.65246288624508</v>
      </c>
      <c r="FI55" s="62">
        <f t="shared" si="23"/>
        <v>736.98579621957833</v>
      </c>
      <c r="FJ55" s="62">
        <f ca="1">AVERAGE(OFFSET($FI$3,0,0,'Données projet'!$E$16+1,1))-AVERAGE(OFFSET($H$3,0,0,'Données projet'!$E$16+1,1))</f>
        <v>370.59298168107364</v>
      </c>
      <c r="FK55" s="62">
        <f t="shared" si="48"/>
        <v>404.61777090709171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10.199999999999999</v>
      </c>
      <c r="FZ55" s="13">
        <f>IF('Données projet'!$A$244&gt;35,FZ54+FY55-GH54,IF(A55&lt;'Données projet'!$A$244,$FW$205^A55,IF(A55='Données projet'!$A$244,'Données projet'!$B$244,FZ54+FY55-GH54)))</f>
        <v>251.40000000000003</v>
      </c>
      <c r="GA55" s="18">
        <f>FZ55*VLOOKUP('Données projet'!$B$17,Paramètres!$A$1:$I$89,3,0)*VLOOKUP('Données projet'!$B$17,Paramètres!$A$1:$I$89,5,0)</f>
        <v>243.15408000000005</v>
      </c>
      <c r="GB55" s="14">
        <f t="shared" si="49"/>
        <v>59.117629630943199</v>
      </c>
      <c r="GC55" s="22">
        <f t="shared" si="25"/>
        <v>526.45656094055948</v>
      </c>
      <c r="GD55" s="62">
        <f t="shared" si="26"/>
        <v>819.78989427389274</v>
      </c>
      <c r="GE55" s="62">
        <f ca="1">AVERAGE(OFFSET($GD$3,0,0,'Données projet'!$E$17+1,1))-AVERAGE(OFFSET($H$3,0,0,'Données projet'!$E$17+1,1))</f>
        <v>562.69380557620775</v>
      </c>
      <c r="GF55" s="62">
        <f t="shared" si="50"/>
        <v>294.45557293177131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6.6666666666666625</v>
      </c>
      <c r="GU55" s="13">
        <f>IF('Données projet'!$A$270&gt;35,GU54+GT55-HC54,IF(A55&lt;'Données projet'!$A$270,$GR$205^A55,IF(A55='Données projet'!$A$270,'Données projet'!$B$270,GU54+GT55-HC54)))</f>
        <v>238.3333333333334</v>
      </c>
      <c r="GV55" s="18">
        <f>GU55*VLOOKUP('Données projet'!$B$18,Paramètres!$A$1:$I$89,3,0)*VLOOKUP('Données projet'!$B$18,Paramètres!$A$1:$I$89,5,0)</f>
        <v>159.87400000000005</v>
      </c>
      <c r="GW55" s="14">
        <f t="shared" si="51"/>
        <v>40.81409445206225</v>
      </c>
      <c r="GX55" s="22">
        <f t="shared" si="28"/>
        <v>349.53176450400855</v>
      </c>
      <c r="GY55" s="62">
        <f t="shared" si="29"/>
        <v>642.86509783734186</v>
      </c>
      <c r="GZ55" s="62">
        <f ca="1">AVERAGE(OFFSET($GY$3,0,0,'Données projet'!$E$18+1,1))-AVERAGE(OFFSET($H$3,0,0,'Données projet'!$E$18+1,1))</f>
        <v>363.53487081291541</v>
      </c>
      <c r="HA55" s="62">
        <f t="shared" si="52"/>
        <v>308.1559670593121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529.25712986118265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220.37184000000002</v>
      </c>
      <c r="AK56" s="14">
        <f t="shared" si="35"/>
        <v>54.195695362491193</v>
      </c>
      <c r="AL56" s="22">
        <f t="shared" si="4"/>
        <v>478.20512408967215</v>
      </c>
      <c r="AM56" s="62">
        <f t="shared" si="5"/>
        <v>771.53845742300541</v>
      </c>
      <c r="AN56" s="62">
        <f ca="1">AVERAGE(OFFSET($AM$3,0,0,'Données projet'!$E$10+1,1))-AVERAGE(OFFSET($H$3,0,0,'Données projet'!$E$10+1,1))</f>
        <v>495.77338291316386</v>
      </c>
      <c r="AO56" s="62">
        <f t="shared" si="36"/>
        <v>261.95434270986397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9.1942307692307566</v>
      </c>
      <c r="BD56" s="13">
        <f>IF('Données projet'!$A$88&gt;35,BD55+BC56-BL55,IF(A56&lt;'Données projet'!$A$88,$BA$205^A56,IF(A56='Données projet'!$A$88,'Données projet'!$B$88,BD55+BC56-BL55)))</f>
        <v>296.73653846153866</v>
      </c>
      <c r="BE56" s="14">
        <f>BD56*VLOOKUP('Données projet'!$B$11,Paramètres!$A$1:$I$89,3,0)*VLOOKUP('Données projet'!$B$11,Paramètres!$A$1:$I$89,5,0)</f>
        <v>169.73330000000013</v>
      </c>
      <c r="BF56" s="14">
        <f t="shared" si="37"/>
        <v>43.030286200218278</v>
      </c>
      <c r="BG56" s="22">
        <f t="shared" si="7"/>
        <v>370.56324596538042</v>
      </c>
      <c r="BH56" s="62">
        <f t="shared" si="8"/>
        <v>663.89657929871373</v>
      </c>
      <c r="BI56" s="62">
        <f ca="1">AVERAGE(OFFSET($BH$3,0,0,'Données projet'!$E$11+1,1))-AVERAGE(OFFSET($H$3,0,0,'Données projet'!$E$11+1,1))</f>
        <v>320.67081032419122</v>
      </c>
      <c r="BJ56" s="62">
        <f t="shared" si="38"/>
        <v>290.51177680335746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1.2737568185302772</v>
      </c>
      <c r="BR56" s="23">
        <f>EXP(-LN(2)/2)*BR55+(1-EXP(-LN(2)/2))/(LN(2)/2)*BL56*BO56*VLOOKUP('Données projet'!$B$11,Paramètres!$A$1:$I$89,3,0)*0.475*44/12</f>
        <v>3.7191162735414496E-3</v>
      </c>
      <c r="BS56" s="24">
        <f t="shared" si="9"/>
        <v>1.2774759348038187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265.26240000000001</v>
      </c>
      <c r="CA56" s="14">
        <f t="shared" si="39"/>
        <v>63.842797461739814</v>
      </c>
      <c r="CB56" s="22">
        <f t="shared" si="10"/>
        <v>573.19155224586348</v>
      </c>
      <c r="CC56" s="62">
        <f t="shared" si="11"/>
        <v>866.52488557919673</v>
      </c>
      <c r="CD56" s="62">
        <f ca="1">AVERAGE(OFFSET($CC$3,0,0,'Données projet'!$E$12+1,1))-AVERAGE(OFFSET($H$3,0,0,'Données projet'!$E$12+1,1))</f>
        <v>587.74247372331615</v>
      </c>
      <c r="CE56" s="62">
        <f t="shared" si="40"/>
        <v>306.61893266146666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5.6410256410256405</v>
      </c>
      <c r="CT56" s="13">
        <f>IF('Données projet'!$A$140&gt;35,CT55+CS56-DB55,IF(A56&lt;'Données projet'!$A$140,$CQ$205^A56,IF(A56='Données projet'!$A$140,'Données projet'!$B$140,CT55+CS56-DB55)))</f>
        <v>204.102564102564</v>
      </c>
      <c r="CU56" s="18">
        <f>CT56*VLOOKUP('Données projet'!$B$13,Paramètres!$A$1:$I$89,3,0)*VLOOKUP('Données projet'!$B$13,Paramètres!$A$1:$I$89,5,0)</f>
        <v>194.2239999999999</v>
      </c>
      <c r="CV56" s="14">
        <f t="shared" si="41"/>
        <v>48.472620849341268</v>
      </c>
      <c r="CW56" s="22">
        <f t="shared" si="13"/>
        <v>422.69661464593588</v>
      </c>
      <c r="CX56" s="62">
        <f t="shared" si="14"/>
        <v>716.0299479792692</v>
      </c>
      <c r="CY56" s="62">
        <f ca="1">AVERAGE(OFFSET($CX$3,0,0,'Données projet'!$E$13+1,1))-AVERAGE(OFFSET($H$3,0,0,'Données projet'!$E$13+1,1))</f>
        <v>406.24139966722936</v>
      </c>
      <c r="CZ56" s="62">
        <f t="shared" si="42"/>
        <v>295.95724296920577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13.901282051282047</v>
      </c>
      <c r="DO56" s="13">
        <f>IF('Données projet'!$A$166&gt;35,DO55+DN56-DW55,IF(A56&lt;'Données projet'!$A$166,$DL$205^A56,IF(A56='Données projet'!$A$166,'Données projet'!$B$166,DO55+DN56-DW55)))</f>
        <v>386.49615384615396</v>
      </c>
      <c r="DP56" s="18">
        <f>DO56*VLOOKUP('Données projet'!$B$14,Paramètres!$A$1:$I$89,3,0)*VLOOKUP('Données projet'!$B$14,Paramètres!$A$1:$I$89,5,0)</f>
        <v>231.1247000000001</v>
      </c>
      <c r="DQ56" s="14">
        <f t="shared" si="43"/>
        <v>56.525798881877812</v>
      </c>
      <c r="DR56" s="22">
        <f t="shared" si="16"/>
        <v>500.99128555260404</v>
      </c>
      <c r="DS56" s="62">
        <f t="shared" si="17"/>
        <v>794.3246188859373</v>
      </c>
      <c r="DT56" s="62">
        <f ca="1">AVERAGE(OFFSET($DS$3,0,0,'Données projet'!$E$14+1,1))-AVERAGE(OFFSET($H$3,0,0,'Données projet'!$E$14+1,1))</f>
        <v>356.42779334565381</v>
      </c>
      <c r="DU56" s="62">
        <f t="shared" si="44"/>
        <v>320.06572891923685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2.0998283146356944</v>
      </c>
      <c r="EC56" s="23">
        <f>EXP(-LN(2)/2)*EC55+(1-EXP(-LN(2)/2))/(LN(2)/2)*DW56*DZ56*VLOOKUP('Données projet'!$B$14,Paramètres!$A$1:$I$89,3,0)*0.475*44/12</f>
        <v>5.862834657965694E-3</v>
      </c>
      <c r="ED56" s="24">
        <f t="shared" si="18"/>
        <v>2.1056911492936603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7.3600000000000083</v>
      </c>
      <c r="FE56" s="13">
        <f>IF('Données projet'!$A$218&gt;35,FE55+FD56-FM55,IF(A56&lt;'Données projet'!$A$218,$FB$205^A56,IF(A56='Données projet'!$A$218,'Données projet'!$B$218,FE55+FD56-FM55)))</f>
        <v>263.87999999999994</v>
      </c>
      <c r="FF56" s="18">
        <f>FE56*VLOOKUP('Données projet'!$B$16,Paramètres!$A$1:$I$89,3,0)*VLOOKUP('Données projet'!$B$16,Paramètres!$A$1:$I$89,5,0)</f>
        <v>209.94292799999997</v>
      </c>
      <c r="FG56" s="14">
        <f t="shared" si="47"/>
        <v>51.9231138331048</v>
      </c>
      <c r="FH56" s="22">
        <f t="shared" si="22"/>
        <v>456.08335619265745</v>
      </c>
      <c r="FI56" s="62">
        <f t="shared" si="23"/>
        <v>749.41668952599071</v>
      </c>
      <c r="FJ56" s="62">
        <f ca="1">AVERAGE(OFFSET($FI$3,0,0,'Données projet'!$E$16+1,1))-AVERAGE(OFFSET($H$3,0,0,'Données projet'!$E$16+1,1))</f>
        <v>370.59298168107364</v>
      </c>
      <c r="FK56" s="62">
        <f t="shared" si="48"/>
        <v>404.61777090709171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10.199999999999999</v>
      </c>
      <c r="FZ56" s="13">
        <f>IF('Données projet'!$A$244&gt;35,FZ55+FY56-GH55,IF(A56&lt;'Données projet'!$A$244,$FW$205^A56,IF(A56='Données projet'!$A$244,'Données projet'!$B$244,FZ55+FY56-GH55)))</f>
        <v>261.60000000000002</v>
      </c>
      <c r="GA56" s="18">
        <f>FZ56*VLOOKUP('Données projet'!$B$17,Paramètres!$A$1:$I$89,3,0)*VLOOKUP('Données projet'!$B$17,Paramètres!$A$1:$I$89,5,0)</f>
        <v>253.01952000000003</v>
      </c>
      <c r="GB56" s="14">
        <f t="shared" si="49"/>
        <v>61.232073131479261</v>
      </c>
      <c r="GC56" s="22">
        <f t="shared" si="25"/>
        <v>547.32152470399308</v>
      </c>
      <c r="GD56" s="62">
        <f t="shared" si="26"/>
        <v>840.65485803732645</v>
      </c>
      <c r="GE56" s="62">
        <f ca="1">AVERAGE(OFFSET($GD$3,0,0,'Données projet'!$E$17+1,1))-AVERAGE(OFFSET($H$3,0,0,'Données projet'!$E$17+1,1))</f>
        <v>562.69380557620775</v>
      </c>
      <c r="GF56" s="62">
        <f t="shared" si="50"/>
        <v>294.45557293177131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6.6666666666666625</v>
      </c>
      <c r="GU56" s="13">
        <f>IF('Données projet'!$A$270&gt;35,GU55+GT56-HC55,IF(A56&lt;'Données projet'!$A$270,$GR$205^A56,IF(A56='Données projet'!$A$270,'Données projet'!$B$270,GU55+GT56-HC55)))</f>
        <v>245.00000000000006</v>
      </c>
      <c r="GV56" s="18">
        <f>GU56*VLOOKUP('Données projet'!$B$18,Paramètres!$A$1:$I$89,3,0)*VLOOKUP('Données projet'!$B$18,Paramètres!$A$1:$I$89,5,0)</f>
        <v>164.34600000000003</v>
      </c>
      <c r="GW56" s="14">
        <f t="shared" si="51"/>
        <v>41.821233640915146</v>
      </c>
      <c r="GX56" s="22">
        <f t="shared" si="28"/>
        <v>359.07459859126061</v>
      </c>
      <c r="GY56" s="62">
        <f t="shared" si="29"/>
        <v>652.40793192459387</v>
      </c>
      <c r="GZ56" s="62">
        <f ca="1">AVERAGE(OFFSET($GY$3,0,0,'Données projet'!$E$18+1,1))-AVERAGE(OFFSET($H$3,0,0,'Données projet'!$E$18+1,1))</f>
        <v>363.53487081291541</v>
      </c>
      <c r="HA56" s="62">
        <f t="shared" si="52"/>
        <v>308.1559670593121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529.25712986118265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228.96432000000004</v>
      </c>
      <c r="AK57" s="14">
        <f t="shared" si="35"/>
        <v>56.058684514404661</v>
      </c>
      <c r="AL57" s="22">
        <f t="shared" si="4"/>
        <v>496.4150661959215</v>
      </c>
      <c r="AM57" s="62">
        <f t="shared" si="5"/>
        <v>789.74839952925481</v>
      </c>
      <c r="AN57" s="62">
        <f ca="1">AVERAGE(OFFSET($AM$3,0,0,'Données projet'!$E$10+1,1))-AVERAGE(OFFSET($H$3,0,0,'Données projet'!$E$10+1,1))</f>
        <v>495.77338291316386</v>
      </c>
      <c r="AO57" s="62">
        <f t="shared" si="36"/>
        <v>261.95434270986397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305.93076923076922</v>
      </c>
      <c r="BB57" s="13">
        <f>VLOOKUP(A57,'Données projet'!$A$87:$I$107,9,0)</f>
        <v>9.1942307692307566</v>
      </c>
      <c r="BC57" s="13">
        <f t="array" ref="BC57">INDEX(BB:BB,MIN(IF(ISNUMBER(BB57:BB253),ROW(BB57:BB253),"")))</f>
        <v>9.1942307692307566</v>
      </c>
      <c r="BD57" s="13">
        <f>IF('Données projet'!$A$88&gt;35,BD56+BC57-BL56,IF(A57&lt;'Données projet'!$A$88,$BA$205^A57,IF(A57='Données projet'!$A$88,'Données projet'!$B$88,BD56+BC57-BL56)))</f>
        <v>305.93076923076944</v>
      </c>
      <c r="BE57" s="14">
        <f>BD57*VLOOKUP('Données projet'!$B$11,Paramètres!$A$1:$I$89,3,0)*VLOOKUP('Données projet'!$B$11,Paramètres!$A$1:$I$89,5,0)</f>
        <v>174.99240000000015</v>
      </c>
      <c r="BF57" s="14">
        <f t="shared" si="37"/>
        <v>44.206264607412358</v>
      </c>
      <c r="BG57" s="22">
        <f t="shared" si="7"/>
        <v>381.77100752457676</v>
      </c>
      <c r="BH57" s="62">
        <f t="shared" si="8"/>
        <v>675.10434085791007</v>
      </c>
      <c r="BI57" s="62">
        <f ca="1">AVERAGE(OFFSET($BH$3,0,0,'Données projet'!$E$11+1,1))-AVERAGE(OFFSET($H$3,0,0,'Données projet'!$E$11+1,1))</f>
        <v>320.67081032419122</v>
      </c>
      <c r="BJ57" s="62">
        <f t="shared" si="38"/>
        <v>290.51177680335746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1.2389258713436069</v>
      </c>
      <c r="BR57" s="23">
        <f>EXP(-LN(2)/2)*BR56+(1-EXP(-LN(2)/2))/(LN(2)/2)*BL57*BO57*VLOOKUP('Données projet'!$B$11,Paramètres!$A$1:$I$89,3,0)*0.475*44/12</f>
        <v>2.6298123370424018E-3</v>
      </c>
      <c r="BS57" s="24">
        <f t="shared" si="9"/>
        <v>1.2415556836806492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275.60520000000002</v>
      </c>
      <c r="CA57" s="14">
        <f t="shared" si="39"/>
        <v>66.037407906416391</v>
      </c>
      <c r="CB57" s="22">
        <f t="shared" si="10"/>
        <v>595.02754210367516</v>
      </c>
      <c r="CC57" s="62">
        <f t="shared" si="11"/>
        <v>888.36087543700842</v>
      </c>
      <c r="CD57" s="62">
        <f ca="1">AVERAGE(OFFSET($CC$3,0,0,'Données projet'!$E$12+1,1))-AVERAGE(OFFSET($H$3,0,0,'Données projet'!$E$12+1,1))</f>
        <v>587.74247372331615</v>
      </c>
      <c r="CE57" s="62">
        <f t="shared" si="40"/>
        <v>306.61893266146666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5.6410256410256405</v>
      </c>
      <c r="CT57" s="13">
        <f>IF('Données projet'!$A$140&gt;35,CT56+CS57-DB56,IF(A57&lt;'Données projet'!$A$140,$CQ$205^A57,IF(A57='Données projet'!$A$140,'Données projet'!$B$140,CT56+CS57-DB56)))</f>
        <v>209.74358974358964</v>
      </c>
      <c r="CU57" s="18">
        <f>CT57*VLOOKUP('Données projet'!$B$13,Paramètres!$A$1:$I$89,3,0)*VLOOKUP('Données projet'!$B$13,Paramètres!$A$1:$I$89,5,0)</f>
        <v>199.5919999999999</v>
      </c>
      <c r="CV57" s="14">
        <f t="shared" si="41"/>
        <v>49.654491020353277</v>
      </c>
      <c r="CW57" s="22">
        <f t="shared" si="13"/>
        <v>434.10430519378178</v>
      </c>
      <c r="CX57" s="62">
        <f t="shared" si="14"/>
        <v>727.43763852711504</v>
      </c>
      <c r="CY57" s="62">
        <f ca="1">AVERAGE(OFFSET($CX$3,0,0,'Données projet'!$E$13+1,1))-AVERAGE(OFFSET($H$3,0,0,'Données projet'!$E$13+1,1))</f>
        <v>406.24139966722936</v>
      </c>
      <c r="CZ57" s="62">
        <f t="shared" si="42"/>
        <v>295.95724296920577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13.901282051282047</v>
      </c>
      <c r="DO57" s="13">
        <f>IF('Données projet'!$A$166&gt;35,DO56+DN57-DW56,IF(A57&lt;'Données projet'!$A$166,$DL$205^A57,IF(A57='Données projet'!$A$166,'Données projet'!$B$166,DO56+DN57-DW56)))</f>
        <v>400.39743589743603</v>
      </c>
      <c r="DP57" s="18">
        <f>DO57*VLOOKUP('Données projet'!$B$14,Paramètres!$A$1:$I$89,3,0)*VLOOKUP('Données projet'!$B$14,Paramètres!$A$1:$I$89,5,0)</f>
        <v>239.43766666666676</v>
      </c>
      <c r="DQ57" s="14">
        <f t="shared" si="43"/>
        <v>58.318525213065612</v>
      </c>
      <c r="DR57" s="22">
        <f t="shared" si="16"/>
        <v>518.59203419053381</v>
      </c>
      <c r="DS57" s="62">
        <f t="shared" si="17"/>
        <v>811.92536752386718</v>
      </c>
      <c r="DT57" s="62">
        <f ca="1">AVERAGE(OFFSET($DS$3,0,0,'Données projet'!$E$14+1,1))-AVERAGE(OFFSET($H$3,0,0,'Données projet'!$E$14+1,1))</f>
        <v>356.42779334565381</v>
      </c>
      <c r="DU57" s="62">
        <f t="shared" si="44"/>
        <v>320.06572891923685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2.0424083989468094</v>
      </c>
      <c r="EC57" s="23">
        <f>EXP(-LN(2)/2)*EC56+(1-EXP(-LN(2)/2))/(LN(2)/2)*DW57*DZ57*VLOOKUP('Données projet'!$B$14,Paramètres!$A$1:$I$89,3,0)*0.475*44/12</f>
        <v>4.1456501436230551E-3</v>
      </c>
      <c r="ED57" s="24">
        <f t="shared" si="18"/>
        <v>2.0465540490904326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7.3600000000000083</v>
      </c>
      <c r="FE57" s="13">
        <f>IF('Données projet'!$A$218&gt;35,FE56+FD57-FM56,IF(A57&lt;'Données projet'!$A$218,$FB$205^A57,IF(A57='Données projet'!$A$218,'Données projet'!$B$218,FE56+FD57-FM56)))</f>
        <v>271.23999999999995</v>
      </c>
      <c r="FF57" s="18">
        <f>FE57*VLOOKUP('Données projet'!$B$16,Paramètres!$A$1:$I$89,3,0)*VLOOKUP('Données projet'!$B$16,Paramètres!$A$1:$I$89,5,0)</f>
        <v>215.79854399999996</v>
      </c>
      <c r="FG57" s="14">
        <f t="shared" si="47"/>
        <v>53.200697768809484</v>
      </c>
      <c r="FH57" s="22">
        <f t="shared" si="22"/>
        <v>468.50701274734303</v>
      </c>
      <c r="FI57" s="62">
        <f t="shared" si="23"/>
        <v>761.84034608067634</v>
      </c>
      <c r="FJ57" s="62">
        <f ca="1">AVERAGE(OFFSET($FI$3,0,0,'Données projet'!$E$16+1,1))-AVERAGE(OFFSET($H$3,0,0,'Données projet'!$E$16+1,1))</f>
        <v>370.59298168107364</v>
      </c>
      <c r="FK57" s="62">
        <f t="shared" si="48"/>
        <v>404.61777090709171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10.199999999999999</v>
      </c>
      <c r="FZ57" s="13">
        <f>IF('Données projet'!$A$244&gt;35,FZ56+FY57-GH56,IF(A57&lt;'Données projet'!$A$244,$FW$205^A57,IF(A57='Données projet'!$A$244,'Données projet'!$B$244,FZ56+FY57-GH56)))</f>
        <v>271.8</v>
      </c>
      <c r="GA57" s="18">
        <f>FZ57*VLOOKUP('Données projet'!$B$17,Paramètres!$A$1:$I$89,3,0)*VLOOKUP('Données projet'!$B$17,Paramètres!$A$1:$I$89,5,0)</f>
        <v>262.88496000000004</v>
      </c>
      <c r="GB57" s="14">
        <f t="shared" si="49"/>
        <v>63.336939343271965</v>
      </c>
      <c r="GC57" s="22">
        <f t="shared" si="25"/>
        <v>568.16980802286537</v>
      </c>
      <c r="GD57" s="62">
        <f t="shared" si="26"/>
        <v>861.50314135619874</v>
      </c>
      <c r="GE57" s="62">
        <f ca="1">AVERAGE(OFFSET($GD$3,0,0,'Données projet'!$E$17+1,1))-AVERAGE(OFFSET($H$3,0,0,'Données projet'!$E$17+1,1))</f>
        <v>562.69380557620775</v>
      </c>
      <c r="GF57" s="62">
        <f t="shared" si="50"/>
        <v>294.45557293177131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6.6666666666666625</v>
      </c>
      <c r="GU57" s="13">
        <f>IF('Données projet'!$A$270&gt;35,GU56+GT57-HC56,IF(A57&lt;'Données projet'!$A$270,$GR$205^A57,IF(A57='Données projet'!$A$270,'Données projet'!$B$270,GU56+GT57-HC56)))</f>
        <v>251.66666666666671</v>
      </c>
      <c r="GV57" s="18">
        <f>GU57*VLOOKUP('Données projet'!$B$18,Paramètres!$A$1:$I$89,3,0)*VLOOKUP('Données projet'!$B$18,Paramètres!$A$1:$I$89,5,0)</f>
        <v>168.81800000000004</v>
      </c>
      <c r="GW57" s="14">
        <f t="shared" si="51"/>
        <v>42.825187501685285</v>
      </c>
      <c r="GX57" s="22">
        <f t="shared" si="28"/>
        <v>368.61188489876866</v>
      </c>
      <c r="GY57" s="62">
        <f t="shared" si="29"/>
        <v>661.94521823210198</v>
      </c>
      <c r="GZ57" s="62">
        <f ca="1">AVERAGE(OFFSET($GY$3,0,0,'Données projet'!$E$18+1,1))-AVERAGE(OFFSET($H$3,0,0,'Données projet'!$E$18+1,1))</f>
        <v>363.53487081291541</v>
      </c>
      <c r="HA57" s="62">
        <f t="shared" si="52"/>
        <v>308.1559670593121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529.25712986118265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237.55680000000001</v>
      </c>
      <c r="AK58" s="14">
        <f t="shared" si="35"/>
        <v>57.913551469467357</v>
      </c>
      <c r="AL58" s="22">
        <f t="shared" si="4"/>
        <v>514.61086214265561</v>
      </c>
      <c r="AM58" s="62">
        <f t="shared" si="5"/>
        <v>807.94419547598886</v>
      </c>
      <c r="AN58" s="62">
        <f ca="1">AVERAGE(OFFSET($AM$3,0,0,'Données projet'!$E$10+1,1))-AVERAGE(OFFSET($H$3,0,0,'Données projet'!$E$10+1,1))</f>
        <v>495.77338291316386</v>
      </c>
      <c r="AO58" s="62">
        <f t="shared" si="36"/>
        <v>261.95434270986397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9.2211538461538538</v>
      </c>
      <c r="BD58" s="13">
        <f>IF('Données projet'!$A$88&gt;35,BD57+BC58-BL57,IF(A58&lt;'Données projet'!$A$88,$BA$205^A58,IF(A58='Données projet'!$A$88,'Données projet'!$B$88,BD57+BC58-BL57)))</f>
        <v>315.15192307692331</v>
      </c>
      <c r="BE58" s="14">
        <f>BD58*VLOOKUP('Données projet'!$B$11,Paramètres!$A$1:$I$89,3,0)*VLOOKUP('Données projet'!$B$11,Paramètres!$A$1:$I$89,5,0)</f>
        <v>180.26690000000013</v>
      </c>
      <c r="BF58" s="14">
        <f t="shared" si="37"/>
        <v>45.381561377664568</v>
      </c>
      <c r="BG58" s="22">
        <f t="shared" si="7"/>
        <v>393.00440356609937</v>
      </c>
      <c r="BH58" s="62">
        <f t="shared" si="8"/>
        <v>686.33773689943268</v>
      </c>
      <c r="BI58" s="62">
        <f ca="1">AVERAGE(OFFSET($BH$3,0,0,'Données projet'!$E$11+1,1))-AVERAGE(OFFSET($H$3,0,0,'Données projet'!$E$11+1,1))</f>
        <v>320.67081032419122</v>
      </c>
      <c r="BJ58" s="62">
        <f t="shared" si="38"/>
        <v>290.51177680335746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1.205047378239436</v>
      </c>
      <c r="BR58" s="23">
        <f>EXP(-LN(2)/2)*BR57+(1-EXP(-LN(2)/2))/(LN(2)/2)*BL58*BO58*VLOOKUP('Données projet'!$B$11,Paramètres!$A$1:$I$89,3,0)*0.475*44/12</f>
        <v>1.8595581367707248E-3</v>
      </c>
      <c r="BS58" s="24">
        <f t="shared" si="9"/>
        <v>1.2069069363762066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285.94800000000004</v>
      </c>
      <c r="CA58" s="14">
        <f t="shared" si="39"/>
        <v>68.222450362989363</v>
      </c>
      <c r="CB58" s="22">
        <f t="shared" si="10"/>
        <v>616.84686771553982</v>
      </c>
      <c r="CC58" s="62">
        <f t="shared" si="11"/>
        <v>910.18020104887319</v>
      </c>
      <c r="CD58" s="62">
        <f ca="1">AVERAGE(OFFSET($CC$3,0,0,'Données projet'!$E$12+1,1))-AVERAGE(OFFSET($H$3,0,0,'Données projet'!$E$12+1,1))</f>
        <v>587.74247372331615</v>
      </c>
      <c r="CE58" s="62">
        <f t="shared" si="40"/>
        <v>306.61893266146666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215.38461538461539</v>
      </c>
      <c r="CR58" s="13">
        <f>VLOOKUP(A58,'Données projet'!$A$139:$I$159,9,0)</f>
        <v>5.6410256410256405</v>
      </c>
      <c r="CS58" s="13">
        <f t="array" ref="CS58">INDEX(CR:CR,MIN(IF(ISNUMBER(CR58:CR254),ROW(CR58:CR254),"")))</f>
        <v>5.6410256410256405</v>
      </c>
      <c r="CT58" s="13">
        <f>IF('Données projet'!$A$140&gt;35,CT57+CS58-DB57,IF(A58&lt;'Données projet'!$A$140,$CQ$205^A58,IF(A58='Données projet'!$A$140,'Données projet'!$B$140,CT57+CS58-DB57)))</f>
        <v>215.38461538461527</v>
      </c>
      <c r="CU58" s="18">
        <f>CT58*VLOOKUP('Données projet'!$B$13,Paramètres!$A$1:$I$89,3,0)*VLOOKUP('Données projet'!$B$13,Paramètres!$A$1:$I$89,5,0)</f>
        <v>204.95999999999987</v>
      </c>
      <c r="CV58" s="14">
        <f t="shared" si="41"/>
        <v>50.832666587809335</v>
      </c>
      <c r="CW58" s="22">
        <f t="shared" si="13"/>
        <v>445.50556097376767</v>
      </c>
      <c r="CX58" s="62">
        <f t="shared" si="14"/>
        <v>738.83889430710099</v>
      </c>
      <c r="CY58" s="62">
        <f ca="1">AVERAGE(OFFSET($CX$3,0,0,'Données projet'!$E$13+1,1))-AVERAGE(OFFSET($H$3,0,0,'Données projet'!$E$13+1,1))</f>
        <v>406.24139966722936</v>
      </c>
      <c r="CZ58" s="62">
        <f t="shared" si="42"/>
        <v>295.95724296920577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34.615384615384613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13.901282051282047</v>
      </c>
      <c r="DO58" s="13">
        <f>IF('Données projet'!$A$166&gt;35,DO57+DN58-DW57,IF(A58&lt;'Données projet'!$A$166,$DL$205^A58,IF(A58='Données projet'!$A$166,'Données projet'!$B$166,DO57+DN58-DW57)))</f>
        <v>414.29871794871809</v>
      </c>
      <c r="DP58" s="18">
        <f>DO58*VLOOKUP('Données projet'!$B$14,Paramètres!$A$1:$I$89,3,0)*VLOOKUP('Données projet'!$B$14,Paramètres!$A$1:$I$89,5,0)</f>
        <v>247.75063333333344</v>
      </c>
      <c r="DQ58" s="14">
        <f t="shared" si="43"/>
        <v>60.104019759858637</v>
      </c>
      <c r="DR58" s="22">
        <f t="shared" si="16"/>
        <v>536.18018747064286</v>
      </c>
      <c r="DS58" s="62">
        <f t="shared" si="17"/>
        <v>829.51352080397623</v>
      </c>
      <c r="DT58" s="62">
        <f ca="1">AVERAGE(OFFSET($DS$3,0,0,'Données projet'!$E$14+1,1))-AVERAGE(OFFSET($H$3,0,0,'Données projet'!$E$14+1,1))</f>
        <v>356.42779334565381</v>
      </c>
      <c r="DU58" s="62">
        <f t="shared" si="44"/>
        <v>320.06572891923685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1.9865586338720191</v>
      </c>
      <c r="EC58" s="23">
        <f>EXP(-LN(2)/2)*EC57+(1-EXP(-LN(2)/2))/(LN(2)/2)*DW58*DZ58*VLOOKUP('Données projet'!$B$14,Paramètres!$A$1:$I$89,3,0)*0.475*44/12</f>
        <v>2.931417328982847E-3</v>
      </c>
      <c r="ED58" s="24">
        <f t="shared" si="18"/>
        <v>1.9894900512010021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278.60000000000002</v>
      </c>
      <c r="FC58" s="13">
        <f>VLOOKUP(A58,'Données projet'!$A$217:$I$237,9,0)</f>
        <v>7.3600000000000083</v>
      </c>
      <c r="FD58" s="13">
        <f t="array" ref="FD58">INDEX(FC:FC,MIN(IF(ISNUMBER(FC58:FC254),ROW(FC58:FC254),"")))</f>
        <v>7.3600000000000083</v>
      </c>
      <c r="FE58" s="13">
        <f>IF('Données projet'!$A$218&gt;35,FE57+FD58-FM57,IF(A58&lt;'Données projet'!$A$218,$FB$205^A58,IF(A58='Données projet'!$A$218,'Données projet'!$B$218,FE57+FD58-FM57)))</f>
        <v>278.59999999999997</v>
      </c>
      <c r="FF58" s="18">
        <f>FE58*VLOOKUP('Données projet'!$B$16,Paramètres!$A$1:$I$89,3,0)*VLOOKUP('Données projet'!$B$16,Paramètres!$A$1:$I$89,5,0)</f>
        <v>221.65415999999999</v>
      </c>
      <c r="FG58" s="14">
        <f t="shared" si="47"/>
        <v>54.474252334510162</v>
      </c>
      <c r="FH58" s="22">
        <f t="shared" si="22"/>
        <v>480.92365148260507</v>
      </c>
      <c r="FI58" s="62">
        <f t="shared" si="23"/>
        <v>774.25698481593838</v>
      </c>
      <c r="FJ58" s="62">
        <f ca="1">AVERAGE(OFFSET($FI$3,0,0,'Données projet'!$E$16+1,1))-AVERAGE(OFFSET($H$3,0,0,'Données projet'!$E$16+1,1))</f>
        <v>370.59298168107364</v>
      </c>
      <c r="FK58" s="62">
        <f t="shared" si="48"/>
        <v>404.61777090709171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282</v>
      </c>
      <c r="FX58" s="13">
        <f>VLOOKUP(A58,'Données projet'!$A$243:$I$263,9,0)</f>
        <v>10.199999999999999</v>
      </c>
      <c r="FY58" s="13">
        <f t="array" ref="FY58">INDEX(FX:FX,MIN(IF(ISNUMBER(FX58:FX254),ROW(FX58:FX254),"")))</f>
        <v>10.199999999999999</v>
      </c>
      <c r="FZ58" s="13">
        <f>IF('Données projet'!$A$244&gt;35,FZ57+FY58-GH57,IF(A58&lt;'Données projet'!$A$244,$FW$205^A58,IF(A58='Données projet'!$A$244,'Données projet'!$B$244,FZ57+FY58-GH57)))</f>
        <v>282</v>
      </c>
      <c r="GA58" s="18">
        <f>FZ58*VLOOKUP('Données projet'!$B$17,Paramètres!$A$1:$I$89,3,0)*VLOOKUP('Données projet'!$B$17,Paramètres!$A$1:$I$89,5,0)</f>
        <v>272.75040000000001</v>
      </c>
      <c r="GB58" s="14">
        <f t="shared" si="49"/>
        <v>65.43262883082069</v>
      </c>
      <c r="GC58" s="22">
        <f t="shared" si="25"/>
        <v>589.00210854701277</v>
      </c>
      <c r="GD58" s="62">
        <f t="shared" si="26"/>
        <v>882.33544188034602</v>
      </c>
      <c r="GE58" s="62">
        <f ca="1">AVERAGE(OFFSET($GD$3,0,0,'Données projet'!$E$17+1,1))-AVERAGE(OFFSET($H$3,0,0,'Données projet'!$E$17+1,1))</f>
        <v>562.69380557620775</v>
      </c>
      <c r="GF58" s="62">
        <f t="shared" si="50"/>
        <v>294.45557293177131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56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258.33333333333331</v>
      </c>
      <c r="GS58" s="13">
        <f>VLOOKUP(A58,'Données projet'!$A$269:$I$289,9,0)</f>
        <v>6.6666666666666625</v>
      </c>
      <c r="GT58" s="13">
        <f t="array" ref="GT58">INDEX(GS:GS,MIN(IF(ISNUMBER(GS58:GS254),ROW(GS58:GS254),"")))</f>
        <v>6.6666666666666625</v>
      </c>
      <c r="GU58" s="13">
        <f>IF('Données projet'!$A$270&gt;35,GU57+GT58-HC57,IF(A58&lt;'Données projet'!$A$270,$GR$205^A58,IF(A58='Données projet'!$A$270,'Données projet'!$B$270,GU57+GT58-HC57)))</f>
        <v>258.33333333333337</v>
      </c>
      <c r="GV58" s="18">
        <f>GU58*VLOOKUP('Données projet'!$B$18,Paramètres!$A$1:$I$89,3,0)*VLOOKUP('Données projet'!$B$18,Paramètres!$A$1:$I$89,5,0)</f>
        <v>173.29000000000002</v>
      </c>
      <c r="GW58" s="14">
        <f t="shared" si="51"/>
        <v>43.826050112896048</v>
      </c>
      <c r="GX58" s="22">
        <f t="shared" si="28"/>
        <v>378.14378727996063</v>
      </c>
      <c r="GY58" s="62">
        <f t="shared" si="29"/>
        <v>671.47712061329389</v>
      </c>
      <c r="GZ58" s="62">
        <f ca="1">AVERAGE(OFFSET($GY$3,0,0,'Données projet'!$E$18+1,1))-AVERAGE(OFFSET($H$3,0,0,'Données projet'!$E$18+1,1))</f>
        <v>363.53487081291541</v>
      </c>
      <c r="HA58" s="62">
        <f t="shared" si="52"/>
        <v>308.1559670593121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529.25712986118265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724.6946074658581</v>
      </c>
      <c r="AN59" s="62">
        <f ca="1">AVERAGE(OFFSET($AM$3,0,0,'Données projet'!$E$10+1,1))-AVERAGE(OFFSET($H$3,0,0,'Données projet'!$E$10+1,1))</f>
        <v>495.77338291316386</v>
      </c>
      <c r="AO59" s="62">
        <f t="shared" si="36"/>
        <v>261.95434270986397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9.2211538461538538</v>
      </c>
      <c r="BD59" s="13">
        <f>IF('Données projet'!$A$88&gt;35,BD58+BC59-BL58,IF(A59&lt;'Données projet'!$A$88,$BA$205^A59,IF(A59='Données projet'!$A$88,'Données projet'!$B$88,BD58+BC59-BL58)))</f>
        <v>324.37307692307718</v>
      </c>
      <c r="BE59" s="14">
        <f>BD59*VLOOKUP('Données projet'!$B$11,Paramètres!$A$1:$I$89,3,0)*VLOOKUP('Données projet'!$B$11,Paramètres!$A$1:$I$89,5,0)</f>
        <v>185.54140000000015</v>
      </c>
      <c r="BF59" s="14">
        <f t="shared" si="37"/>
        <v>46.55286153616094</v>
      </c>
      <c r="BG59" s="22">
        <f t="shared" si="7"/>
        <v>404.23083884214725</v>
      </c>
      <c r="BH59" s="62">
        <f t="shared" si="8"/>
        <v>697.56417217548051</v>
      </c>
      <c r="BI59" s="62">
        <f ca="1">AVERAGE(OFFSET($BH$3,0,0,'Données projet'!$E$11+1,1))-AVERAGE(OFFSET($H$3,0,0,'Données projet'!$E$11+1,1))</f>
        <v>320.67081032419122</v>
      </c>
      <c r="BJ59" s="62">
        <f t="shared" si="38"/>
        <v>290.51177680335746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1.1720952943107912</v>
      </c>
      <c r="BR59" s="23">
        <f>EXP(-LN(2)/2)*BR58+(1-EXP(-LN(2)/2))/(LN(2)/2)*BL59*BO59*VLOOKUP('Données projet'!$B$11,Paramètres!$A$1:$I$89,3,0)*0.475*44/12</f>
        <v>1.3149061685212009E-3</v>
      </c>
      <c r="BS59" s="24">
        <f t="shared" si="9"/>
        <v>1.1734102004793123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2">
        <f t="shared" si="11"/>
        <v>810.35473537050575</v>
      </c>
      <c r="CD59" s="62">
        <f ca="1">AVERAGE(OFFSET($CC$3,0,0,'Données projet'!$E$12+1,1))-AVERAGE(OFFSET($H$3,0,0,'Données projet'!$E$12+1,1))</f>
        <v>587.74247372331615</v>
      </c>
      <c r="CE59" s="62">
        <f t="shared" si="40"/>
        <v>306.61893266146666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5.3846153846153815</v>
      </c>
      <c r="CT59" s="13">
        <f>IF('Données projet'!$A$140&gt;35,CT58+CS59-DB58,IF(A59&lt;'Données projet'!$A$140,$CQ$205^A59,IF(A59='Données projet'!$A$140,'Données projet'!$B$140,CT58+CS59-DB58)))</f>
        <v>186.15384615384605</v>
      </c>
      <c r="CU59" s="18">
        <f>CT59*VLOOKUP('Données projet'!$B$13,Paramètres!$A$1:$I$89,3,0)*VLOOKUP('Données projet'!$B$13,Paramètres!$A$1:$I$89,5,0)</f>
        <v>177.14399999999989</v>
      </c>
      <c r="CV59" s="14">
        <f t="shared" si="41"/>
        <v>44.6861885307368</v>
      </c>
      <c r="CW59" s="22">
        <f t="shared" si="13"/>
        <v>386.35424502436632</v>
      </c>
      <c r="CX59" s="62">
        <f t="shared" si="14"/>
        <v>679.68757835769964</v>
      </c>
      <c r="CY59" s="62">
        <f ca="1">AVERAGE(OFFSET($CX$3,0,0,'Données projet'!$E$13+1,1))-AVERAGE(OFFSET($H$3,0,0,'Données projet'!$E$13+1,1))</f>
        <v>406.24139966722936</v>
      </c>
      <c r="CZ59" s="62">
        <f t="shared" si="42"/>
        <v>295.95724296920577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428.2</v>
      </c>
      <c r="DM59" s="13">
        <f>VLOOKUP(A59,'Données projet'!$A$165:$I$185,9,0)</f>
        <v>13.901282051282047</v>
      </c>
      <c r="DN59" s="13">
        <f t="array" ref="DN59">INDEX(DM:DM,MIN(IF(ISNUMBER(DM59:DM255),ROW(DM59:DM255),"")))</f>
        <v>13.901282051282047</v>
      </c>
      <c r="DO59" s="13">
        <f>IF('Données projet'!$A$166&gt;35,DO58+DN59-DW58,IF(A59&lt;'Données projet'!$A$166,$DL$205^A59,IF(A59='Données projet'!$A$166,'Données projet'!$B$166,DO58+DN59-DW58)))</f>
        <v>428.20000000000016</v>
      </c>
      <c r="DP59" s="18">
        <f>DO59*VLOOKUP('Données projet'!$B$14,Paramètres!$A$1:$I$89,3,0)*VLOOKUP('Données projet'!$B$14,Paramètres!$A$1:$I$89,5,0)</f>
        <v>256.06360000000012</v>
      </c>
      <c r="DQ59" s="14">
        <f t="shared" si="43"/>
        <v>61.882552995500411</v>
      </c>
      <c r="DR59" s="22">
        <f t="shared" si="16"/>
        <v>553.75621646716343</v>
      </c>
      <c r="DS59" s="62">
        <f t="shared" si="17"/>
        <v>847.0895498004968</v>
      </c>
      <c r="DT59" s="62">
        <f ca="1">AVERAGE(OFFSET($DS$3,0,0,'Données projet'!$E$14+1,1))-AVERAGE(OFFSET($H$3,0,0,'Données projet'!$E$14+1,1))</f>
        <v>356.42779334565381</v>
      </c>
      <c r="DU59" s="62">
        <f t="shared" si="44"/>
        <v>320.06572891923685</v>
      </c>
      <c r="DV59" s="16">
        <f>IF(ISNA(VLOOKUP(A59,'Données projet'!$A$165:$I$185,3,0)),0,VLOOKUP(A59,'Données projet'!$A$165:$I$185,3,0))</f>
        <v>6</v>
      </c>
      <c r="DW59" s="16">
        <f>IF(ISNA(VLOOKUP(A59,'Données projet'!$A$165:$I$185,4,0)),0,VLOOKUP(A59,'Données projet'!$A$165:$I$185,4,0))</f>
        <v>60.092307692307692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1.9322360835602106</v>
      </c>
      <c r="EC59" s="23">
        <f>EXP(-LN(2)/2)*EC58+(1-EXP(-LN(2)/2))/(LN(2)/2)*DW59*DZ59*VLOOKUP('Données projet'!$B$14,Paramètres!$A$1:$I$89,3,0)*0.475*44/12</f>
        <v>2.0728250718115276E-3</v>
      </c>
      <c r="ED59" s="24">
        <f t="shared" si="18"/>
        <v>1.9343089086320222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6.2799999999999958</v>
      </c>
      <c r="FE59" s="13">
        <f>IF('Données projet'!$A$218&gt;35,FE58+FD59-FM58,IF(A59&lt;'Données projet'!$A$218,$FB$205^A59,IF(A59='Données projet'!$A$218,'Données projet'!$B$218,FE58+FD59-FM58)))</f>
        <v>284.87999999999994</v>
      </c>
      <c r="FF59" s="18">
        <f>FE59*VLOOKUP('Données projet'!$B$16,Paramètres!$A$1:$I$89,3,0)*VLOOKUP('Données projet'!$B$16,Paramètres!$A$1:$I$89,5,0)</f>
        <v>226.65052799999998</v>
      </c>
      <c r="FG59" s="14">
        <f t="shared" si="47"/>
        <v>55.557830188244751</v>
      </c>
      <c r="FH59" s="22">
        <f t="shared" si="22"/>
        <v>491.51289051119289</v>
      </c>
      <c r="FI59" s="62">
        <f t="shared" si="23"/>
        <v>784.84622384452621</v>
      </c>
      <c r="FJ59" s="62">
        <f ca="1">AVERAGE(OFFSET($FI$3,0,0,'Données projet'!$E$16+1,1))-AVERAGE(OFFSET($H$3,0,0,'Données projet'!$E$16+1,1))</f>
        <v>370.59298168107364</v>
      </c>
      <c r="FK59" s="62">
        <f t="shared" si="48"/>
        <v>404.61777090709171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IF('Données projet'!$A$244&gt;35,FZ58+FY59-GH58,IF(A59&lt;'Données projet'!$A$244,$FW$205^A59,IF(A59='Données projet'!$A$244,'Données projet'!$B$244,FZ58+FY59-GH58)))</f>
        <v>235.39999999999998</v>
      </c>
      <c r="GA59" s="18">
        <f>FZ59*VLOOKUP('Données projet'!$B$17,Paramètres!$A$1:$I$89,3,0)*VLOOKUP('Données projet'!$B$17,Paramètres!$A$1:$I$89,5,0)</f>
        <v>227.67887999999996</v>
      </c>
      <c r="GB59" s="14">
        <f t="shared" si="49"/>
        <v>55.780505229774469</v>
      </c>
      <c r="GC59" s="22">
        <f t="shared" si="25"/>
        <v>493.69176260852379</v>
      </c>
      <c r="GD59" s="62">
        <f t="shared" si="26"/>
        <v>787.0250959418571</v>
      </c>
      <c r="GE59" s="62">
        <f ca="1">AVERAGE(OFFSET($GD$3,0,0,'Données projet'!$E$17+1,1))-AVERAGE(OFFSET($H$3,0,0,'Données projet'!$E$17+1,1))</f>
        <v>562.69380557620775</v>
      </c>
      <c r="GF59" s="62">
        <f t="shared" si="50"/>
        <v>294.45557293177131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6.1538461538461551</v>
      </c>
      <c r="GU59" s="13">
        <f>IF('Données projet'!$A$270&gt;35,GU58+GT59-HC58,IF(A59&lt;'Données projet'!$A$270,$GR$205^A59,IF(A59='Données projet'!$A$270,'Données projet'!$B$270,GU58+GT59-HC58)))</f>
        <v>264.4871794871795</v>
      </c>
      <c r="GV59" s="18">
        <f>GU59*VLOOKUP('Données projet'!$B$18,Paramètres!$A$1:$I$89,3,0)*VLOOKUP('Données projet'!$B$18,Paramètres!$A$1:$I$89,5,0)</f>
        <v>177.41800000000001</v>
      </c>
      <c r="GW59" s="14">
        <f t="shared" si="51"/>
        <v>44.747256581968642</v>
      </c>
      <c r="GX59" s="22">
        <f t="shared" si="28"/>
        <v>386.93782188026211</v>
      </c>
      <c r="GY59" s="62">
        <f t="shared" si="29"/>
        <v>680.27115521359542</v>
      </c>
      <c r="GZ59" s="62">
        <f ca="1">AVERAGE(OFFSET($GY$3,0,0,'Données projet'!$E$18+1,1))-AVERAGE(OFFSET($H$3,0,0,'Données projet'!$E$18+1,1))</f>
        <v>363.53487081291541</v>
      </c>
      <c r="HA59" s="62">
        <f t="shared" si="52"/>
        <v>308.1559670593121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529.25712986118265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741.51311496241522</v>
      </c>
      <c r="AN60" s="62">
        <f ca="1">AVERAGE(OFFSET($AM$3,0,0,'Données projet'!$E$10+1,1))-AVERAGE(OFFSET($H$3,0,0,'Données projet'!$E$10+1,1))</f>
        <v>495.77338291316386</v>
      </c>
      <c r="AO60" s="62">
        <f t="shared" si="36"/>
        <v>261.95434270986397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9.2211538461538538</v>
      </c>
      <c r="BD60" s="13">
        <f>IF('Données projet'!$A$88&gt;35,BD59+BC60-BL59,IF(A60&lt;'Données projet'!$A$88,$BA$205^A60,IF(A60='Données projet'!$A$88,'Données projet'!$B$88,BD59+BC60-BL59)))</f>
        <v>333.59423076923105</v>
      </c>
      <c r="BE60" s="14">
        <f>BD60*VLOOKUP('Données projet'!$B$11,Paramètres!$A$1:$I$89,3,0)*VLOOKUP('Données projet'!$B$11,Paramètres!$A$1:$I$89,5,0)</f>
        <v>190.81590000000017</v>
      </c>
      <c r="BF60" s="14">
        <f t="shared" si="37"/>
        <v>47.720291746687735</v>
      </c>
      <c r="BG60" s="22">
        <f t="shared" si="7"/>
        <v>415.45053395881473</v>
      </c>
      <c r="BH60" s="62">
        <f t="shared" si="8"/>
        <v>708.78386729214799</v>
      </c>
      <c r="BI60" s="62">
        <f ca="1">AVERAGE(OFFSET($BH$3,0,0,'Données projet'!$E$11+1,1))-AVERAGE(OFFSET($H$3,0,0,'Données projet'!$E$11+1,1))</f>
        <v>320.67081032419122</v>
      </c>
      <c r="BJ60" s="62">
        <f t="shared" si="38"/>
        <v>290.51177680335746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1.14004428685005</v>
      </c>
      <c r="BR60" s="23">
        <f>EXP(-LN(2)/2)*BR59+(1-EXP(-LN(2)/2))/(LN(2)/2)*BL60*BO60*VLOOKUP('Données projet'!$B$11,Paramètres!$A$1:$I$89,3,0)*0.475*44/12</f>
        <v>9.2977906838536241E-4</v>
      </c>
      <c r="BS60" s="24">
        <f t="shared" si="9"/>
        <v>1.1409740659184353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2">
        <f t="shared" si="11"/>
        <v>830.52144461230614</v>
      </c>
      <c r="CD60" s="62">
        <f ca="1">AVERAGE(OFFSET($CC$3,0,0,'Données projet'!$E$12+1,1))-AVERAGE(OFFSET($H$3,0,0,'Données projet'!$E$12+1,1))</f>
        <v>587.74247372331615</v>
      </c>
      <c r="CE60" s="62">
        <f t="shared" si="40"/>
        <v>306.61893266146666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5.3846153846153815</v>
      </c>
      <c r="CT60" s="13">
        <f>IF('Données projet'!$A$140&gt;35,CT59+CS60-DB59,IF(A60&lt;'Données projet'!$A$140,$CQ$205^A60,IF(A60='Données projet'!$A$140,'Données projet'!$B$140,CT59+CS60-DB59)))</f>
        <v>191.53846153846143</v>
      </c>
      <c r="CU60" s="18">
        <f>CT60*VLOOKUP('Données projet'!$B$13,Paramètres!$A$1:$I$89,3,0)*VLOOKUP('Données projet'!$B$13,Paramètres!$A$1:$I$89,5,0)</f>
        <v>182.26799999999992</v>
      </c>
      <c r="CV60" s="14">
        <f t="shared" si="41"/>
        <v>45.82640608003836</v>
      </c>
      <c r="CW60" s="22">
        <f t="shared" si="13"/>
        <v>397.26442392273333</v>
      </c>
      <c r="CX60" s="62">
        <f t="shared" si="14"/>
        <v>690.59775725606664</v>
      </c>
      <c r="CY60" s="62">
        <f ca="1">AVERAGE(OFFSET($CX$3,0,0,'Données projet'!$E$13+1,1))-AVERAGE(OFFSET($H$3,0,0,'Données projet'!$E$13+1,1))</f>
        <v>406.24139966722936</v>
      </c>
      <c r="CZ60" s="62">
        <f t="shared" si="42"/>
        <v>295.95724296920577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12.210256410256401</v>
      </c>
      <c r="DO60" s="13">
        <f>IF('Données projet'!$A$166&gt;35,DO59+DN60-DW59,IF(A60&lt;'Données projet'!$A$166,$DL$205^A60,IF(A60='Données projet'!$A$166,'Données projet'!$B$166,DO59+DN60-DW59)))</f>
        <v>380.31794871794887</v>
      </c>
      <c r="DP60" s="18">
        <f>DO60*VLOOKUP('Données projet'!$B$14,Paramètres!$A$1:$I$89,3,0)*VLOOKUP('Données projet'!$B$14,Paramètres!$A$1:$I$89,5,0)</f>
        <v>227.43013333333346</v>
      </c>
      <c r="DQ60" s="14">
        <f t="shared" si="43"/>
        <v>55.726653420470718</v>
      </c>
      <c r="DR60" s="22">
        <f t="shared" si="16"/>
        <v>493.16473692954219</v>
      </c>
      <c r="DS60" s="62">
        <f t="shared" si="17"/>
        <v>786.49807026287544</v>
      </c>
      <c r="DT60" s="62">
        <f ca="1">AVERAGE(OFFSET($DS$3,0,0,'Données projet'!$E$14+1,1))-AVERAGE(OFFSET($H$3,0,0,'Données projet'!$E$14+1,1))</f>
        <v>356.42779334565381</v>
      </c>
      <c r="DU60" s="62">
        <f t="shared" si="44"/>
        <v>320.06572891923685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1.8793989862433771</v>
      </c>
      <c r="EC60" s="23">
        <f>EXP(-LN(2)/2)*EC59+(1-EXP(-LN(2)/2))/(LN(2)/2)*DW60*DZ60*VLOOKUP('Données projet'!$B$14,Paramètres!$A$1:$I$89,3,0)*0.475*44/12</f>
        <v>1.4657086644914235E-3</v>
      </c>
      <c r="ED60" s="24">
        <f t="shared" si="18"/>
        <v>1.8808646949078685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6.2799999999999958</v>
      </c>
      <c r="FE60" s="13">
        <f>IF('Données projet'!$A$218&gt;35,FE59+FD60-FM59,IF(A60&lt;'Données projet'!$A$218,$FB$205^A60,IF(A60='Données projet'!$A$218,'Données projet'!$B$218,FE59+FD60-FM59)))</f>
        <v>291.15999999999991</v>
      </c>
      <c r="FF60" s="18">
        <f>FE60*VLOOKUP('Données projet'!$B$16,Paramètres!$A$1:$I$89,3,0)*VLOOKUP('Données projet'!$B$16,Paramètres!$A$1:$I$89,5,0)</f>
        <v>231.64689599999994</v>
      </c>
      <c r="FG60" s="14">
        <f t="shared" si="47"/>
        <v>56.63863094599396</v>
      </c>
      <c r="FH60" s="22">
        <f t="shared" si="22"/>
        <v>502.09729276427265</v>
      </c>
      <c r="FI60" s="62">
        <f t="shared" si="23"/>
        <v>795.43062609760591</v>
      </c>
      <c r="FJ60" s="62">
        <f ca="1">AVERAGE(OFFSET($FI$3,0,0,'Données projet'!$E$16+1,1))-AVERAGE(OFFSET($H$3,0,0,'Données projet'!$E$16+1,1))</f>
        <v>370.59298168107364</v>
      </c>
      <c r="FK60" s="62">
        <f t="shared" si="48"/>
        <v>404.61777090709171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IF('Données projet'!$A$244&gt;35,FZ59+FY60-GH59,IF(A60&lt;'Données projet'!$A$244,$FW$205^A60,IF(A60='Données projet'!$A$244,'Données projet'!$B$244,FZ59+FY60-GH59)))</f>
        <v>244.79999999999998</v>
      </c>
      <c r="GA60" s="18">
        <f>FZ60*VLOOKUP('Données projet'!$B$17,Paramètres!$A$1:$I$89,3,0)*VLOOKUP('Données projet'!$B$17,Paramètres!$A$1:$I$89,5,0)</f>
        <v>236.77055999999999</v>
      </c>
      <c r="GB60" s="14">
        <f t="shared" si="49"/>
        <v>57.744153841586929</v>
      </c>
      <c r="GC60" s="22">
        <f t="shared" si="25"/>
        <v>512.94645994076382</v>
      </c>
      <c r="GD60" s="62">
        <f t="shared" si="26"/>
        <v>806.27979327409707</v>
      </c>
      <c r="GE60" s="62">
        <f ca="1">AVERAGE(OFFSET($GD$3,0,0,'Données projet'!$E$17+1,1))-AVERAGE(OFFSET($H$3,0,0,'Données projet'!$E$17+1,1))</f>
        <v>562.69380557620775</v>
      </c>
      <c r="GF60" s="62">
        <f t="shared" si="50"/>
        <v>294.45557293177131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6.1538461538461551</v>
      </c>
      <c r="GU60" s="13">
        <f>IF('Données projet'!$A$270&gt;35,GU59+GT60-HC59,IF(A60&lt;'Données projet'!$A$270,$GR$205^A60,IF(A60='Données projet'!$A$270,'Données projet'!$B$270,GU59+GT60-HC59)))</f>
        <v>270.64102564102564</v>
      </c>
      <c r="GV60" s="18">
        <f>GU60*VLOOKUP('Données projet'!$B$18,Paramètres!$A$1:$I$89,3,0)*VLOOKUP('Données projet'!$B$18,Paramètres!$A$1:$I$89,5,0)</f>
        <v>181.54599999999999</v>
      </c>
      <c r="GW60" s="14">
        <f t="shared" si="51"/>
        <v>45.665971295569292</v>
      </c>
      <c r="GX60" s="22">
        <f t="shared" si="28"/>
        <v>395.7275166731165</v>
      </c>
      <c r="GY60" s="62">
        <f t="shared" si="29"/>
        <v>689.06085000644975</v>
      </c>
      <c r="GZ60" s="62">
        <f ca="1">AVERAGE(OFFSET($GY$3,0,0,'Données projet'!$E$18+1,1))-AVERAGE(OFFSET($H$3,0,0,'Données projet'!$E$18+1,1))</f>
        <v>363.53487081291541</v>
      </c>
      <c r="HA60" s="62">
        <f t="shared" si="52"/>
        <v>308.1559670593121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529.25712986118265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758.31811957293462</v>
      </c>
      <c r="AN61" s="62">
        <f ca="1">AVERAGE(OFFSET($AM$3,0,0,'Données projet'!$E$10+1,1))-AVERAGE(OFFSET($H$3,0,0,'Données projet'!$E$10+1,1))</f>
        <v>495.77338291316386</v>
      </c>
      <c r="AO61" s="62">
        <f t="shared" si="36"/>
        <v>261.95434270986397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342.81538461538463</v>
      </c>
      <c r="BB61" s="13">
        <f>VLOOKUP(A61,'Données projet'!$A$87:$I$107,9,0)</f>
        <v>9.2211538461538538</v>
      </c>
      <c r="BC61" s="13">
        <f t="array" ref="BC61">INDEX(BB:BB,MIN(IF(ISNUMBER(BB61:BB257),ROW(BB61:BB257),"")))</f>
        <v>9.2211538461538538</v>
      </c>
      <c r="BD61" s="13">
        <f>IF('Données projet'!$A$88&gt;35,BD60+BC61-BL60,IF(A61&lt;'Données projet'!$A$88,$BA$205^A61,IF(A61='Données projet'!$A$88,'Données projet'!$B$88,BD60+BC61-BL60)))</f>
        <v>342.81538461538491</v>
      </c>
      <c r="BE61" s="14">
        <f>BD61*VLOOKUP('Données projet'!$B$11,Paramètres!$A$1:$I$89,3,0)*VLOOKUP('Données projet'!$B$11,Paramètres!$A$1:$I$89,5,0)</f>
        <v>196.09040000000019</v>
      </c>
      <c r="BF61" s="14">
        <f t="shared" si="37"/>
        <v>48.883971272111587</v>
      </c>
      <c r="BG61" s="22">
        <f t="shared" si="7"/>
        <v>426.66369663226129</v>
      </c>
      <c r="BH61" s="62">
        <f t="shared" si="8"/>
        <v>719.99702996559461</v>
      </c>
      <c r="BI61" s="62">
        <f ca="1">AVERAGE(OFFSET($BH$3,0,0,'Données projet'!$E$11+1,1))-AVERAGE(OFFSET($H$3,0,0,'Données projet'!$E$11+1,1))</f>
        <v>320.67081032419122</v>
      </c>
      <c r="BJ61" s="62">
        <f t="shared" si="38"/>
        <v>290.51177680335746</v>
      </c>
      <c r="BK61" s="16">
        <f>IF(ISNA(VLOOKUP(A61,'Données projet'!$A$87:$I$107,3,0)),0,VLOOKUP(A61,'Données projet'!$A$87:$I$107,3,0))</f>
        <v>7</v>
      </c>
      <c r="BL61" s="16">
        <f>IF(ISNA(VLOOKUP(A61,'Données projet'!$A$87:$I$107,4,0)),0,VLOOKUP(A61,'Données projet'!$A$87:$I$107,4,0))</f>
        <v>45.669230769230765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1.1088697158738119</v>
      </c>
      <c r="BR61" s="23">
        <f>EXP(-LN(2)/2)*BR60+(1-EXP(-LN(2)/2))/(LN(2)/2)*BL61*BO61*VLOOKUP('Données projet'!$B$11,Paramètres!$A$1:$I$89,3,0)*0.475*44/12</f>
        <v>6.5745308426060046E-4</v>
      </c>
      <c r="BS61" s="24">
        <f t="shared" si="9"/>
        <v>1.1095271689580726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2">
        <f t="shared" si="11"/>
        <v>850.6722473875011</v>
      </c>
      <c r="CD61" s="62">
        <f ca="1">AVERAGE(OFFSET($CC$3,0,0,'Données projet'!$E$12+1,1))-AVERAGE(OFFSET($H$3,0,0,'Données projet'!$E$12+1,1))</f>
        <v>587.74247372331615</v>
      </c>
      <c r="CE61" s="62">
        <f t="shared" si="40"/>
        <v>306.61893266146666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5.3846153846153815</v>
      </c>
      <c r="CT61" s="13">
        <f>IF('Données projet'!$A$140&gt;35,CT60+CS61-DB60,IF(A61&lt;'Données projet'!$A$140,$CQ$205^A61,IF(A61='Données projet'!$A$140,'Données projet'!$B$140,CT60+CS61-DB60)))</f>
        <v>196.92307692307682</v>
      </c>
      <c r="CU61" s="18">
        <f>CT61*VLOOKUP('Données projet'!$B$13,Paramètres!$A$1:$I$89,3,0)*VLOOKUP('Données projet'!$B$13,Paramètres!$A$1:$I$89,5,0)</f>
        <v>187.39199999999988</v>
      </c>
      <c r="CV61" s="14">
        <f t="shared" si="41"/>
        <v>46.962898087285787</v>
      </c>
      <c r="CW61" s="22">
        <f t="shared" si="13"/>
        <v>408.16811416868921</v>
      </c>
      <c r="CX61" s="62">
        <f t="shared" si="14"/>
        <v>701.50144750202253</v>
      </c>
      <c r="CY61" s="62">
        <f ca="1">AVERAGE(OFFSET($CX$3,0,0,'Données projet'!$E$13+1,1))-AVERAGE(OFFSET($H$3,0,0,'Données projet'!$E$13+1,1))</f>
        <v>406.24139966722936</v>
      </c>
      <c r="CZ61" s="62">
        <f t="shared" si="42"/>
        <v>295.95724296920577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12.210256410256401</v>
      </c>
      <c r="DO61" s="13">
        <f>IF('Données projet'!$A$166&gt;35,DO60+DN61-DW60,IF(A61&lt;'Données projet'!$A$166,$DL$205^A61,IF(A61='Données projet'!$A$166,'Données projet'!$B$166,DO60+DN61-DW60)))</f>
        <v>392.52820512820529</v>
      </c>
      <c r="DP61" s="18">
        <f>DO61*VLOOKUP('Données projet'!$B$14,Paramètres!$A$1:$I$89,3,0)*VLOOKUP('Données projet'!$B$14,Paramètres!$A$1:$I$89,5,0)</f>
        <v>234.73186666666678</v>
      </c>
      <c r="DQ61" s="14">
        <f t="shared" si="43"/>
        <v>57.304605938595728</v>
      </c>
      <c r="DR61" s="22">
        <f t="shared" si="16"/>
        <v>508.63018978749875</v>
      </c>
      <c r="DS61" s="62">
        <f t="shared" si="17"/>
        <v>801.96352312083206</v>
      </c>
      <c r="DT61" s="62">
        <f ca="1">AVERAGE(OFFSET($DS$3,0,0,'Données projet'!$E$14+1,1))-AVERAGE(OFFSET($H$3,0,0,'Données projet'!$E$14+1,1))</f>
        <v>356.42779334565381</v>
      </c>
      <c r="DU61" s="62">
        <f t="shared" si="44"/>
        <v>320.06572891923685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1.8280067221312546</v>
      </c>
      <c r="EC61" s="23">
        <f>EXP(-LN(2)/2)*EC60+(1-EXP(-LN(2)/2))/(LN(2)/2)*DW61*DZ61*VLOOKUP('Données projet'!$B$14,Paramètres!$A$1:$I$89,3,0)*0.475*44/12</f>
        <v>1.0364125359057638E-3</v>
      </c>
      <c r="ED61" s="24">
        <f t="shared" si="18"/>
        <v>1.8290431346671603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6.2799999999999958</v>
      </c>
      <c r="FE61" s="13">
        <f>IF('Données projet'!$A$218&gt;35,FE60+FD61-FM60,IF(A61&lt;'Données projet'!$A$218,$FB$205^A61,IF(A61='Données projet'!$A$218,'Données projet'!$B$218,FE60+FD61-FM60)))</f>
        <v>297.43999999999988</v>
      </c>
      <c r="FF61" s="18">
        <f>FE61*VLOOKUP('Données projet'!$B$16,Paramètres!$A$1:$I$89,3,0)*VLOOKUP('Données projet'!$B$16,Paramètres!$A$1:$I$89,5,0)</f>
        <v>236.64326399999993</v>
      </c>
      <c r="FG61" s="14">
        <f t="shared" si="47"/>
        <v>57.716721405473052</v>
      </c>
      <c r="FH61" s="22">
        <f t="shared" si="22"/>
        <v>512.67697458119881</v>
      </c>
      <c r="FI61" s="62">
        <f t="shared" si="23"/>
        <v>806.01030791453218</v>
      </c>
      <c r="FJ61" s="62">
        <f ca="1">AVERAGE(OFFSET($FI$3,0,0,'Données projet'!$E$16+1,1))-AVERAGE(OFFSET($H$3,0,0,'Données projet'!$E$16+1,1))</f>
        <v>370.59298168107364</v>
      </c>
      <c r="FK61" s="62">
        <f t="shared" si="48"/>
        <v>404.61777090709171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IF('Données projet'!$A$244&gt;35,FZ60+FY61-GH60,IF(A61&lt;'Données projet'!$A$244,$FW$205^A61,IF(A61='Données projet'!$A$244,'Données projet'!$B$244,FZ60+FY61-GH60)))</f>
        <v>254.2</v>
      </c>
      <c r="GA61" s="18">
        <f>FZ61*VLOOKUP('Données projet'!$B$17,Paramètres!$A$1:$I$89,3,0)*VLOOKUP('Données projet'!$B$17,Paramètres!$A$1:$I$89,5,0)</f>
        <v>245.86223999999999</v>
      </c>
      <c r="GB61" s="14">
        <f t="shared" si="49"/>
        <v>59.699043025687963</v>
      </c>
      <c r="GC61" s="22">
        <f t="shared" si="25"/>
        <v>532.18590126973982</v>
      </c>
      <c r="GD61" s="62">
        <f t="shared" si="26"/>
        <v>825.51923460307307</v>
      </c>
      <c r="GE61" s="62">
        <f ca="1">AVERAGE(OFFSET($GD$3,0,0,'Données projet'!$E$17+1,1))-AVERAGE(OFFSET($H$3,0,0,'Données projet'!$E$17+1,1))</f>
        <v>562.69380557620775</v>
      </c>
      <c r="GF61" s="62">
        <f t="shared" si="50"/>
        <v>294.45557293177131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6.1538461538461551</v>
      </c>
      <c r="GU61" s="13">
        <f>IF('Données projet'!$A$270&gt;35,GU60+GT61-HC60,IF(A61&lt;'Données projet'!$A$270,$GR$205^A61,IF(A61='Données projet'!$A$270,'Données projet'!$B$270,GU60+GT61-HC60)))</f>
        <v>276.79487179487177</v>
      </c>
      <c r="GV61" s="18">
        <f>GU61*VLOOKUP('Données projet'!$B$18,Paramètres!$A$1:$I$89,3,0)*VLOOKUP('Données projet'!$B$18,Paramètres!$A$1:$I$89,5,0)</f>
        <v>185.67399999999998</v>
      </c>
      <c r="GW61" s="14">
        <f t="shared" si="51"/>
        <v>46.582257433649239</v>
      </c>
      <c r="GX61" s="22">
        <f t="shared" si="28"/>
        <v>404.51298169693899</v>
      </c>
      <c r="GY61" s="62">
        <f t="shared" si="29"/>
        <v>697.84631503027231</v>
      </c>
      <c r="GZ61" s="62">
        <f ca="1">AVERAGE(OFFSET($GY$3,0,0,'Données projet'!$E$18+1,1))-AVERAGE(OFFSET($H$3,0,0,'Données projet'!$E$18+1,1))</f>
        <v>363.53487081291541</v>
      </c>
      <c r="HA61" s="62">
        <f t="shared" si="52"/>
        <v>308.1559670593121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529.25712986118265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775.11017779828455</v>
      </c>
      <c r="AN62" s="62">
        <f ca="1">AVERAGE(OFFSET($AM$3,0,0,'Données projet'!$E$10+1,1))-AVERAGE(OFFSET($H$3,0,0,'Données projet'!$E$10+1,1))</f>
        <v>495.77338291316386</v>
      </c>
      <c r="AO62" s="62">
        <f t="shared" si="36"/>
        <v>261.95434270986397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8.1461538461538332</v>
      </c>
      <c r="BD62" s="13">
        <f>IF('Données projet'!$A$88&gt;35,BD61+BC62-BL61,IF(A62&lt;'Données projet'!$A$88,$BA$205^A62,IF(A62='Données projet'!$A$88,'Données projet'!$B$88,BD61+BC62-BL61)))</f>
        <v>305.29230769230799</v>
      </c>
      <c r="BE62" s="14">
        <f>BD62*VLOOKUP('Données projet'!$B$11,Paramètres!$A$1:$I$89,3,0)*VLOOKUP('Données projet'!$B$11,Paramètres!$A$1:$I$89,5,0)</f>
        <v>174.62720000000019</v>
      </c>
      <c r="BF62" s="14">
        <f t="shared" si="37"/>
        <v>44.124737150631994</v>
      </c>
      <c r="BG62" s="22">
        <f t="shared" si="7"/>
        <v>380.99295720401773</v>
      </c>
      <c r="BH62" s="62">
        <f t="shared" si="8"/>
        <v>674.32629053735104</v>
      </c>
      <c r="BI62" s="62">
        <f ca="1">AVERAGE(OFFSET($BH$3,0,0,'Données projet'!$E$11+1,1))-AVERAGE(OFFSET($H$3,0,0,'Données projet'!$E$11+1,1))</f>
        <v>320.67081032419122</v>
      </c>
      <c r="BJ62" s="62">
        <f t="shared" si="38"/>
        <v>290.51177680335746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1.0785476151803186</v>
      </c>
      <c r="BR62" s="23">
        <f>EXP(-LN(2)/2)*BR61+(1-EXP(-LN(2)/2))/(LN(2)/2)*BL62*BO62*VLOOKUP('Données projet'!$B$11,Paramètres!$A$1:$I$89,3,0)*0.475*44/12</f>
        <v>4.6488953419268121E-4</v>
      </c>
      <c r="BS62" s="24">
        <f t="shared" si="9"/>
        <v>1.0790125047145114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2">
        <f t="shared" si="11"/>
        <v>870.80779925686852</v>
      </c>
      <c r="CD62" s="62">
        <f ca="1">AVERAGE(OFFSET($CC$3,0,0,'Données projet'!$E$12+1,1))-AVERAGE(OFFSET($H$3,0,0,'Données projet'!$E$12+1,1))</f>
        <v>587.74247372331615</v>
      </c>
      <c r="CE62" s="62">
        <f t="shared" si="40"/>
        <v>306.61893266146666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5.3846153846153815</v>
      </c>
      <c r="CT62" s="13">
        <f>IF('Données projet'!$A$140&gt;35,CT61+CS62-DB61,IF(A62&lt;'Données projet'!$A$140,$CQ$205^A62,IF(A62='Données projet'!$A$140,'Données projet'!$B$140,CT61+CS62-DB61)))</f>
        <v>202.30769230769221</v>
      </c>
      <c r="CU62" s="18">
        <f>CT62*VLOOKUP('Données projet'!$B$13,Paramètres!$A$1:$I$89,3,0)*VLOOKUP('Données projet'!$B$13,Paramètres!$A$1:$I$89,5,0)</f>
        <v>192.51599999999991</v>
      </c>
      <c r="CV62" s="14">
        <f t="shared" si="41"/>
        <v>48.095778128339838</v>
      </c>
      <c r="CW62" s="22">
        <f t="shared" si="13"/>
        <v>419.06551357352504</v>
      </c>
      <c r="CX62" s="62">
        <f t="shared" si="14"/>
        <v>712.39884690685835</v>
      </c>
      <c r="CY62" s="62">
        <f ca="1">AVERAGE(OFFSET($CX$3,0,0,'Données projet'!$E$13+1,1))-AVERAGE(OFFSET($H$3,0,0,'Données projet'!$E$13+1,1))</f>
        <v>406.24139966722936</v>
      </c>
      <c r="CZ62" s="62">
        <f t="shared" si="42"/>
        <v>295.95724296920577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>
        <f>VLOOKUP(A62,'Données projet'!$A$165:$I$185,2,0)</f>
        <v>404.73846153846148</v>
      </c>
      <c r="DM62" s="13">
        <f>VLOOKUP(A62,'Données projet'!$A$165:$I$185,9,0)</f>
        <v>12.210256410256401</v>
      </c>
      <c r="DN62" s="13">
        <f t="array" ref="DN62">INDEX(DM:DM,MIN(IF(ISNUMBER(DM62:DM258),ROW(DM62:DM258),"")))</f>
        <v>12.210256410256401</v>
      </c>
      <c r="DO62" s="13">
        <f>IF('Données projet'!$A$166&gt;35,DO61+DN62-DW61,IF(A62&lt;'Données projet'!$A$166,$DL$205^A62,IF(A62='Données projet'!$A$166,'Données projet'!$B$166,DO61+DN62-DW61)))</f>
        <v>404.73846153846171</v>
      </c>
      <c r="DP62" s="18">
        <f>DO62*VLOOKUP('Données projet'!$B$14,Paramètres!$A$1:$I$89,3,0)*VLOOKUP('Données projet'!$B$14,Paramètres!$A$1:$I$89,5,0)</f>
        <v>242.03360000000012</v>
      </c>
      <c r="DQ62" s="14">
        <f t="shared" si="43"/>
        <v>58.876854334559404</v>
      </c>
      <c r="DR62" s="22">
        <f t="shared" si="16"/>
        <v>524.08570796602442</v>
      </c>
      <c r="DS62" s="62">
        <f t="shared" si="17"/>
        <v>817.41904129935779</v>
      </c>
      <c r="DT62" s="62">
        <f ca="1">AVERAGE(OFFSET($DS$3,0,0,'Données projet'!$E$14+1,1))-AVERAGE(OFFSET($H$3,0,0,'Données projet'!$E$14+1,1))</f>
        <v>356.42779334565381</v>
      </c>
      <c r="DU62" s="62">
        <f t="shared" si="44"/>
        <v>320.06572891923685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1.7780197821838799</v>
      </c>
      <c r="EC62" s="23">
        <f>EXP(-LN(2)/2)*EC61+(1-EXP(-LN(2)/2))/(LN(2)/2)*DW62*DZ62*VLOOKUP('Données projet'!$B$14,Paramètres!$A$1:$I$89,3,0)*0.475*44/12</f>
        <v>7.3285433224571175E-4</v>
      </c>
      <c r="ED62" s="24">
        <f t="shared" si="18"/>
        <v>1.7787526365161257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6.2799999999999958</v>
      </c>
      <c r="FE62" s="13">
        <f>IF('Données projet'!$A$218&gt;35,FE61+FD62-FM61,IF(A62&lt;'Données projet'!$A$218,$FB$205^A62,IF(A62='Données projet'!$A$218,'Données projet'!$B$218,FE61+FD62-FM61)))</f>
        <v>303.71999999999986</v>
      </c>
      <c r="FF62" s="18">
        <f>FE62*VLOOKUP('Données projet'!$B$16,Paramètres!$A$1:$I$89,3,0)*VLOOKUP('Données projet'!$B$16,Paramètres!$A$1:$I$89,5,0)</f>
        <v>241.63963199999992</v>
      </c>
      <c r="FG62" s="14">
        <f t="shared" si="47"/>
        <v>58.792165382566672</v>
      </c>
      <c r="FH62" s="22">
        <f t="shared" si="22"/>
        <v>523.25204710797016</v>
      </c>
      <c r="FI62" s="62">
        <f t="shared" si="23"/>
        <v>816.58538044130341</v>
      </c>
      <c r="FJ62" s="62">
        <f ca="1">AVERAGE(OFFSET($FI$3,0,0,'Données projet'!$E$16+1,1))-AVERAGE(OFFSET($H$3,0,0,'Données projet'!$E$16+1,1))</f>
        <v>370.59298168107364</v>
      </c>
      <c r="FK62" s="62">
        <f t="shared" si="48"/>
        <v>404.61777090709171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IF('Données projet'!$A$244&gt;35,FZ61+FY62-GH61,IF(A62&lt;'Données projet'!$A$244,$FW$205^A62,IF(A62='Données projet'!$A$244,'Données projet'!$B$244,FZ61+FY62-GH61)))</f>
        <v>263.59999999999997</v>
      </c>
      <c r="GA62" s="18">
        <f>FZ62*VLOOKUP('Données projet'!$B$17,Paramètres!$A$1:$I$89,3,0)*VLOOKUP('Données projet'!$B$17,Paramètres!$A$1:$I$89,5,0)</f>
        <v>254.95391999999998</v>
      </c>
      <c r="GB62" s="14">
        <f t="shared" si="49"/>
        <v>61.645533788540583</v>
      </c>
      <c r="GC62" s="22">
        <f t="shared" si="25"/>
        <v>551.41071534837477</v>
      </c>
      <c r="GD62" s="62">
        <f t="shared" si="26"/>
        <v>844.74404868170814</v>
      </c>
      <c r="GE62" s="62">
        <f ca="1">AVERAGE(OFFSET($GD$3,0,0,'Données projet'!$E$17+1,1))-AVERAGE(OFFSET($H$3,0,0,'Données projet'!$E$17+1,1))</f>
        <v>562.69380557620775</v>
      </c>
      <c r="GF62" s="62">
        <f t="shared" si="50"/>
        <v>294.45557293177131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6.1538461538461551</v>
      </c>
      <c r="GU62" s="13">
        <f>IF('Données projet'!$A$270&gt;35,GU61+GT62-HC61,IF(A62&lt;'Données projet'!$A$270,$GR$205^A62,IF(A62='Données projet'!$A$270,'Données projet'!$B$270,GU61+GT62-HC61)))</f>
        <v>282.9487179487179</v>
      </c>
      <c r="GV62" s="18">
        <f>GU62*VLOOKUP('Données projet'!$B$18,Paramètres!$A$1:$I$89,3,0)*VLOOKUP('Données projet'!$B$18,Paramètres!$A$1:$I$89,5,0)</f>
        <v>189.80199999999996</v>
      </c>
      <c r="GW62" s="14">
        <f t="shared" si="51"/>
        <v>47.496175206468138</v>
      </c>
      <c r="GX62" s="22">
        <f t="shared" si="28"/>
        <v>413.29432181793192</v>
      </c>
      <c r="GY62" s="62">
        <f t="shared" si="29"/>
        <v>706.62765515126523</v>
      </c>
      <c r="GZ62" s="62">
        <f ca="1">AVERAGE(OFFSET($GY$3,0,0,'Données projet'!$E$18+1,1))-AVERAGE(OFFSET($H$3,0,0,'Données projet'!$E$18+1,1))</f>
        <v>363.53487081291541</v>
      </c>
      <c r="HA62" s="62">
        <f t="shared" si="52"/>
        <v>308.1559670593121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529.25712986118265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791.88980419959853</v>
      </c>
      <c r="AN63" s="62">
        <f ca="1">AVERAGE(OFFSET($AM$3,0,0,'Données projet'!$E$10+1,1))-AVERAGE(OFFSET($H$3,0,0,'Données projet'!$E$10+1,1))</f>
        <v>495.77338291316386</v>
      </c>
      <c r="AO63" s="62">
        <f t="shared" si="36"/>
        <v>261.95434270986397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8.1461538461538332</v>
      </c>
      <c r="BD63" s="13">
        <f>IF('Données projet'!$A$88&gt;35,BD62+BC63-BL62,IF(A63&lt;'Données projet'!$A$88,$BA$205^A63,IF(A63='Données projet'!$A$88,'Données projet'!$B$88,BD62+BC63-BL62)))</f>
        <v>313.43846153846181</v>
      </c>
      <c r="BE63" s="14">
        <f>BD63*VLOOKUP('Données projet'!$B$11,Paramètres!$A$1:$I$89,3,0)*VLOOKUP('Données projet'!$B$11,Paramètres!$A$1:$I$89,5,0)</f>
        <v>179.28680000000017</v>
      </c>
      <c r="BF63" s="14">
        <f t="shared" si="37"/>
        <v>45.163475662025675</v>
      </c>
      <c r="BG63" s="22">
        <f t="shared" si="7"/>
        <v>390.91756344469496</v>
      </c>
      <c r="BH63" s="62">
        <f t="shared" si="8"/>
        <v>684.25089677802828</v>
      </c>
      <c r="BI63" s="62">
        <f ca="1">AVERAGE(OFFSET($BH$3,0,0,'Données projet'!$E$11+1,1))-AVERAGE(OFFSET($H$3,0,0,'Données projet'!$E$11+1,1))</f>
        <v>320.67081032419122</v>
      </c>
      <c r="BJ63" s="62">
        <f t="shared" si="38"/>
        <v>290.51177680335746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1.0490546739248587</v>
      </c>
      <c r="BR63" s="23">
        <f>EXP(-LN(2)/2)*BR62+(1-EXP(-LN(2)/2))/(LN(2)/2)*BL63*BO63*VLOOKUP('Données projet'!$B$11,Paramètres!$A$1:$I$89,3,0)*0.475*44/12</f>
        <v>3.2872654213030023E-4</v>
      </c>
      <c r="BS63" s="24">
        <f t="shared" si="9"/>
        <v>1.0493834004669891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2">
        <f t="shared" si="11"/>
        <v>890.92870637597116</v>
      </c>
      <c r="CD63" s="62">
        <f ca="1">AVERAGE(OFFSET($CC$3,0,0,'Données projet'!$E$12+1,1))-AVERAGE(OFFSET($H$3,0,0,'Données projet'!$E$12+1,1))</f>
        <v>587.74247372331615</v>
      </c>
      <c r="CE63" s="62">
        <f t="shared" si="40"/>
        <v>306.61893266146666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207.69230769230768</v>
      </c>
      <c r="CR63" s="13">
        <f>VLOOKUP(A63,'Données projet'!$A$139:$I$159,9,0)</f>
        <v>5.3846153846153815</v>
      </c>
      <c r="CS63" s="13">
        <f t="array" ref="CS63">INDEX(CR:CR,MIN(IF(ISNUMBER(CR63:CR259),ROW(CR63:CR259),"")))</f>
        <v>5.3846153846153815</v>
      </c>
      <c r="CT63" s="13">
        <f>IF('Données projet'!$A$140&gt;35,CT62+CS63-DB62,IF(A63&lt;'Données projet'!$A$140,$CQ$205^A63,IF(A63='Données projet'!$A$140,'Données projet'!$B$140,CT62+CS63-DB62)))</f>
        <v>207.69230769230759</v>
      </c>
      <c r="CU63" s="18">
        <f>CT63*VLOOKUP('Données projet'!$B$13,Paramètres!$A$1:$I$89,3,0)*VLOOKUP('Données projet'!$B$13,Paramètres!$A$1:$I$89,5,0)</f>
        <v>197.63999999999993</v>
      </c>
      <c r="CV63" s="14">
        <f t="shared" si="41"/>
        <v>49.22515338895078</v>
      </c>
      <c r="CW63" s="22">
        <f t="shared" si="13"/>
        <v>429.95680881908919</v>
      </c>
      <c r="CX63" s="62">
        <f t="shared" si="14"/>
        <v>723.2901421524225</v>
      </c>
      <c r="CY63" s="62">
        <f ca="1">AVERAGE(OFFSET($CX$3,0,0,'Données projet'!$E$13+1,1))-AVERAGE(OFFSET($H$3,0,0,'Données projet'!$E$13+1,1))</f>
        <v>406.24139966722936</v>
      </c>
      <c r="CZ63" s="62">
        <f t="shared" si="42"/>
        <v>295.95724296920577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11.987912087912093</v>
      </c>
      <c r="DO63" s="13">
        <f>IF('Données projet'!$A$166&gt;35,DO62+DN63-DW62,IF(A63&lt;'Données projet'!$A$166,$DL$205^A63,IF(A63='Données projet'!$A$166,'Données projet'!$B$166,DO62+DN63-DW62)))</f>
        <v>416.7263736263738</v>
      </c>
      <c r="DP63" s="18">
        <f>DO63*VLOOKUP('Données projet'!$B$14,Paramètres!$A$1:$I$89,3,0)*VLOOKUP('Données projet'!$B$14,Paramètres!$A$1:$I$89,5,0)</f>
        <v>249.20237142857155</v>
      </c>
      <c r="DQ63" s="14">
        <f t="shared" si="43"/>
        <v>60.415108945356366</v>
      </c>
      <c r="DR63" s="22">
        <f t="shared" si="16"/>
        <v>539.25044498459113</v>
      </c>
      <c r="DS63" s="62">
        <f t="shared" si="17"/>
        <v>832.5837783179245</v>
      </c>
      <c r="DT63" s="62">
        <f ca="1">AVERAGE(OFFSET($DS$3,0,0,'Données projet'!$E$14+1,1))-AVERAGE(OFFSET($H$3,0,0,'Données projet'!$E$14+1,1))</f>
        <v>356.42779334565381</v>
      </c>
      <c r="DU63" s="62">
        <f t="shared" si="44"/>
        <v>320.06572891923685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1.729399737738065</v>
      </c>
      <c r="EC63" s="23">
        <f>EXP(-LN(2)/2)*EC62+(1-EXP(-LN(2)/2))/(LN(2)/2)*DW63*DZ63*VLOOKUP('Données projet'!$B$14,Paramètres!$A$1:$I$89,3,0)*0.475*44/12</f>
        <v>5.1820626795288189E-4</v>
      </c>
      <c r="ED63" s="24">
        <f t="shared" si="18"/>
        <v>1.7299179440060179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310</v>
      </c>
      <c r="FC63" s="13">
        <f>VLOOKUP(A63,'Données projet'!$A$217:$I$237,9,0)</f>
        <v>6.2799999999999958</v>
      </c>
      <c r="FD63" s="13">
        <f t="array" ref="FD63">INDEX(FC:FC,MIN(IF(ISNUMBER(FC63:FC259),ROW(FC63:FC259),"")))</f>
        <v>6.2799999999999958</v>
      </c>
      <c r="FE63" s="13">
        <f>IF('Données projet'!$A$218&gt;35,FE62+FD63-FM62,IF(A63&lt;'Données projet'!$A$218,$FB$205^A63,IF(A63='Données projet'!$A$218,'Données projet'!$B$218,FE62+FD63-FM62)))</f>
        <v>309.99999999999983</v>
      </c>
      <c r="FF63" s="18">
        <f>FE63*VLOOKUP('Données projet'!$B$16,Paramètres!$A$1:$I$89,3,0)*VLOOKUP('Données projet'!$B$16,Paramètres!$A$1:$I$89,5,0)</f>
        <v>246.63599999999985</v>
      </c>
      <c r="FG63" s="14">
        <f t="shared" si="47"/>
        <v>59.865023903294535</v>
      </c>
      <c r="FH63" s="22">
        <f t="shared" si="22"/>
        <v>533.8226166315709</v>
      </c>
      <c r="FI63" s="62">
        <f t="shared" si="23"/>
        <v>827.15594996490427</v>
      </c>
      <c r="FJ63" s="62">
        <f ca="1">AVERAGE(OFFSET($FI$3,0,0,'Données projet'!$E$16+1,1))-AVERAGE(OFFSET($H$3,0,0,'Données projet'!$E$16+1,1))</f>
        <v>370.59298168107364</v>
      </c>
      <c r="FK63" s="62">
        <f t="shared" si="48"/>
        <v>404.61777090709171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30.2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273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IF('Données projet'!$A$244&gt;35,FZ62+FY63-GH62,IF(A63&lt;'Données projet'!$A$244,$FW$205^A63,IF(A63='Données projet'!$A$244,'Données projet'!$B$244,FZ62+FY63-GH62)))</f>
        <v>272.99999999999994</v>
      </c>
      <c r="GA63" s="18">
        <f>FZ63*VLOOKUP('Données projet'!$B$17,Paramètres!$A$1:$I$89,3,0)*VLOOKUP('Données projet'!$B$17,Paramètres!$A$1:$I$89,5,0)</f>
        <v>264.04559999999992</v>
      </c>
      <c r="GB63" s="14">
        <f t="shared" si="49"/>
        <v>63.58395992997368</v>
      </c>
      <c r="GC63" s="22">
        <f t="shared" si="25"/>
        <v>570.62148354470401</v>
      </c>
      <c r="GD63" s="62">
        <f t="shared" si="26"/>
        <v>863.95481687803726</v>
      </c>
      <c r="GE63" s="62">
        <f ca="1">AVERAGE(OFFSET($GD$3,0,0,'Données projet'!$E$17+1,1))-AVERAGE(OFFSET($H$3,0,0,'Données projet'!$E$17+1,1))</f>
        <v>562.69380557620775</v>
      </c>
      <c r="GF63" s="62">
        <f t="shared" si="50"/>
        <v>294.45557293177131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289.10256410256409</v>
      </c>
      <c r="GS63" s="13">
        <f>VLOOKUP(A63,'Données projet'!$A$269:$I$289,9,0)</f>
        <v>6.1538461538461551</v>
      </c>
      <c r="GT63" s="13">
        <f t="array" ref="GT63">INDEX(GS:GS,MIN(IF(ISNUMBER(GS63:GS259),ROW(GS63:GS259),"")))</f>
        <v>6.1538461538461551</v>
      </c>
      <c r="GU63" s="13">
        <f>IF('Données projet'!$A$270&gt;35,GU62+GT63-HC62,IF(A63&lt;'Données projet'!$A$270,$GR$205^A63,IF(A63='Données projet'!$A$270,'Données projet'!$B$270,GU62+GT63-HC62)))</f>
        <v>289.10256410256403</v>
      </c>
      <c r="GV63" s="18">
        <f>GU63*VLOOKUP('Données projet'!$B$18,Paramètres!$A$1:$I$89,3,0)*VLOOKUP('Données projet'!$B$18,Paramètres!$A$1:$I$89,5,0)</f>
        <v>193.92999999999995</v>
      </c>
      <c r="GW63" s="14">
        <f t="shared" si="51"/>
        <v>48.407782055683938</v>
      </c>
      <c r="GX63" s="22">
        <f t="shared" si="28"/>
        <v>422.07163708031607</v>
      </c>
      <c r="GY63" s="62">
        <f t="shared" si="29"/>
        <v>715.40497041364938</v>
      </c>
      <c r="GZ63" s="62">
        <f ca="1">AVERAGE(OFFSET($GY$3,0,0,'Données projet'!$E$18+1,1))-AVERAGE(OFFSET($H$3,0,0,'Données projet'!$E$18+1,1))</f>
        <v>363.53487081291541</v>
      </c>
      <c r="HA63" s="62">
        <f t="shared" si="52"/>
        <v>308.1559670593121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35.256410256410255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529.25712986118265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237.38831999999999</v>
      </c>
      <c r="AK64" s="14">
        <f t="shared" si="35"/>
        <v>57.877257478787087</v>
      </c>
      <c r="AL64" s="22">
        <f t="shared" si="4"/>
        <v>514.25421410888737</v>
      </c>
      <c r="AM64" s="62">
        <f t="shared" si="5"/>
        <v>807.58754744222074</v>
      </c>
      <c r="AN64" s="62">
        <f ca="1">AVERAGE(OFFSET($AM$3,0,0,'Données projet'!$E$10+1,1))-AVERAGE(OFFSET($H$3,0,0,'Données projet'!$E$10+1,1))</f>
        <v>495.77338291316386</v>
      </c>
      <c r="AO64" s="62">
        <f t="shared" si="36"/>
        <v>261.95434270986397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8.1461538461538332</v>
      </c>
      <c r="BD64" s="13">
        <f>IF('Données projet'!$A$88&gt;35,BD63+BC64-BL63,IF(A64&lt;'Données projet'!$A$88,$BA$205^A64,IF(A64='Données projet'!$A$88,'Données projet'!$B$88,BD63+BC64-BL63)))</f>
        <v>321.58461538461563</v>
      </c>
      <c r="BE64" s="14">
        <f>BD64*VLOOKUP('Données projet'!$B$11,Paramètres!$A$1:$I$89,3,0)*VLOOKUP('Données projet'!$B$11,Paramètres!$A$1:$I$89,5,0)</f>
        <v>183.94640000000012</v>
      </c>
      <c r="BF64" s="14">
        <f t="shared" si="37"/>
        <v>46.199076162446346</v>
      </c>
      <c r="BG64" s="22">
        <f t="shared" si="7"/>
        <v>400.83670431626092</v>
      </c>
      <c r="BH64" s="62">
        <f t="shared" si="8"/>
        <v>694.17003764959418</v>
      </c>
      <c r="BI64" s="62">
        <f ca="1">AVERAGE(OFFSET($BH$3,0,0,'Données projet'!$E$11+1,1))-AVERAGE(OFFSET($H$3,0,0,'Données projet'!$E$11+1,1))</f>
        <v>320.67081032419122</v>
      </c>
      <c r="BJ64" s="62">
        <f t="shared" si="38"/>
        <v>290.51177680335746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1.0203682186989957</v>
      </c>
      <c r="BR64" s="23">
        <f>EXP(-LN(2)/2)*BR63+(1-EXP(-LN(2)/2))/(LN(2)/2)*BL64*BO64*VLOOKUP('Données projet'!$B$11,Paramètres!$A$1:$I$89,3,0)*0.475*44/12</f>
        <v>2.324447670963406E-4</v>
      </c>
      <c r="BS64" s="24">
        <f t="shared" si="9"/>
        <v>1.020600663466092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285.74520000000001</v>
      </c>
      <c r="CA64" s="14">
        <f t="shared" si="39"/>
        <v>68.179695862275295</v>
      </c>
      <c r="CB64" s="22">
        <f t="shared" si="10"/>
        <v>616.41919362679607</v>
      </c>
      <c r="CC64" s="62">
        <f t="shared" si="11"/>
        <v>909.75252696012944</v>
      </c>
      <c r="CD64" s="62">
        <f ca="1">AVERAGE(OFFSET($CC$3,0,0,'Données projet'!$E$12+1,1))-AVERAGE(OFFSET($H$3,0,0,'Données projet'!$E$12+1,1))</f>
        <v>587.74247372331615</v>
      </c>
      <c r="CE64" s="62">
        <f t="shared" si="40"/>
        <v>306.61893266146666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</v>
      </c>
      <c r="CT64" s="13">
        <f>IF('Données projet'!$A$140&gt;35,CT63+CS64-DB63,IF(A64&lt;'Données projet'!$A$140,$CQ$205^A64,IF(A64='Données projet'!$A$140,'Données projet'!$B$140,CT63+CS64-DB63)))</f>
        <v>212.69230769230759</v>
      </c>
      <c r="CU64" s="18">
        <f>CT64*VLOOKUP('Données projet'!$B$13,Paramètres!$A$1:$I$89,3,0)*VLOOKUP('Données projet'!$B$13,Paramètres!$A$1:$I$89,5,0)</f>
        <v>202.39799999999991</v>
      </c>
      <c r="CV64" s="14">
        <f t="shared" si="41"/>
        <v>50.270809420148282</v>
      </c>
      <c r="CW64" s="22">
        <f t="shared" si="13"/>
        <v>440.06484307342475</v>
      </c>
      <c r="CX64" s="62">
        <f t="shared" si="14"/>
        <v>733.39817640675801</v>
      </c>
      <c r="CY64" s="62">
        <f ca="1">AVERAGE(OFFSET($CX$3,0,0,'Données projet'!$E$13+1,1))-AVERAGE(OFFSET($H$3,0,0,'Données projet'!$E$13+1,1))</f>
        <v>406.24139966722936</v>
      </c>
      <c r="CZ64" s="62">
        <f t="shared" si="42"/>
        <v>295.95724296920577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11.987912087912093</v>
      </c>
      <c r="DO64" s="13">
        <f>IF('Données projet'!$A$166&gt;35,DO63+DN64-DW63,IF(A64&lt;'Données projet'!$A$166,$DL$205^A64,IF(A64='Données projet'!$A$166,'Données projet'!$B$166,DO63+DN64-DW63)))</f>
        <v>428.71428571428589</v>
      </c>
      <c r="DP64" s="18">
        <f>DO64*VLOOKUP('Données projet'!$B$14,Paramètres!$A$1:$I$89,3,0)*VLOOKUP('Données projet'!$B$14,Paramètres!$A$1:$I$89,5,0)</f>
        <v>256.37114285714301</v>
      </c>
      <c r="DQ64" s="14">
        <f t="shared" si="43"/>
        <v>61.948220631544302</v>
      </c>
      <c r="DR64" s="22">
        <f t="shared" si="16"/>
        <v>554.40622474279701</v>
      </c>
      <c r="DS64" s="62">
        <f t="shared" si="17"/>
        <v>847.73955807613038</v>
      </c>
      <c r="DT64" s="62">
        <f ca="1">AVERAGE(OFFSET($DS$3,0,0,'Données projet'!$E$14+1,1))-AVERAGE(OFFSET($H$3,0,0,'Données projet'!$E$14+1,1))</f>
        <v>356.42779334565381</v>
      </c>
      <c r="DU64" s="62">
        <f t="shared" si="44"/>
        <v>320.06572891923685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1.682109210964438</v>
      </c>
      <c r="EC64" s="23">
        <f>EXP(-LN(2)/2)*EC63+(1-EXP(-LN(2)/2))/(LN(2)/2)*DW64*DZ64*VLOOKUP('Données projet'!$B$14,Paramètres!$A$1:$I$89,3,0)*0.475*44/12</f>
        <v>3.6642716612285588E-4</v>
      </c>
      <c r="ED64" s="24">
        <f t="shared" si="18"/>
        <v>1.6824756381305608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5.2399999999999975</v>
      </c>
      <c r="FE64" s="13">
        <f>IF('Données projet'!$A$218&gt;35,FE63+FD64-FM63,IF(A64&lt;'Données projet'!$A$218,$FB$205^A64,IF(A64='Données projet'!$A$218,'Données projet'!$B$218,FE63+FD64-FM63)))</f>
        <v>285.03999999999985</v>
      </c>
      <c r="FF64" s="18">
        <f>FE64*VLOOKUP('Données projet'!$B$16,Paramètres!$A$1:$I$89,3,0)*VLOOKUP('Données projet'!$B$16,Paramètres!$A$1:$I$89,5,0)</f>
        <v>226.7778239999999</v>
      </c>
      <c r="FG64" s="14">
        <f t="shared" si="47"/>
        <v>55.585400699018884</v>
      </c>
      <c r="FH64" s="22">
        <f t="shared" si="22"/>
        <v>491.78261635079099</v>
      </c>
      <c r="FI64" s="62">
        <f t="shared" si="23"/>
        <v>785.1159496841243</v>
      </c>
      <c r="FJ64" s="62">
        <f ca="1">AVERAGE(OFFSET($FI$3,0,0,'Données projet'!$E$16+1,1))-AVERAGE(OFFSET($H$3,0,0,'Données projet'!$E$16+1,1))</f>
        <v>370.59298168107364</v>
      </c>
      <c r="FK64" s="62">
        <f t="shared" si="48"/>
        <v>404.61777090709171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8.8000000000000007</v>
      </c>
      <c r="FZ64" s="13">
        <f>IF('Données projet'!$A$244&gt;35,FZ63+FY64-GH63,IF(A64&lt;'Données projet'!$A$244,$FW$205^A64,IF(A64='Données projet'!$A$244,'Données projet'!$B$244,FZ63+FY64-GH63)))</f>
        <v>281.79999999999995</v>
      </c>
      <c r="GA64" s="18">
        <f>FZ64*VLOOKUP('Données projet'!$B$17,Paramètres!$A$1:$I$89,3,0)*VLOOKUP('Données projet'!$B$17,Paramètres!$A$1:$I$89,5,0)</f>
        <v>272.55696</v>
      </c>
      <c r="GB64" s="14">
        <f t="shared" si="49"/>
        <v>65.391622690449097</v>
      </c>
      <c r="GC64" s="22">
        <f t="shared" si="25"/>
        <v>588.59378151919873</v>
      </c>
      <c r="GD64" s="62">
        <f t="shared" si="26"/>
        <v>881.92711485253199</v>
      </c>
      <c r="GE64" s="62">
        <f ca="1">AVERAGE(OFFSET($GD$3,0,0,'Données projet'!$E$17+1,1))-AVERAGE(OFFSET($H$3,0,0,'Données projet'!$E$17+1,1))</f>
        <v>562.69380557620775</v>
      </c>
      <c r="GF64" s="62">
        <f t="shared" si="50"/>
        <v>294.45557293177131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5.7692307692307683</v>
      </c>
      <c r="GU64" s="13">
        <f>IF('Données projet'!$A$270&gt;35,GU63+GT64-HC63,IF(A64&lt;'Données projet'!$A$270,$GR$205^A64,IF(A64='Données projet'!$A$270,'Données projet'!$B$270,GU63+GT64-HC63)))</f>
        <v>259.61538461538453</v>
      </c>
      <c r="GV64" s="18">
        <f>GU64*VLOOKUP('Données projet'!$B$18,Paramètres!$A$1:$I$89,3,0)*VLOOKUP('Données projet'!$B$18,Paramètres!$A$1:$I$89,5,0)</f>
        <v>174.14999999999995</v>
      </c>
      <c r="GW64" s="14">
        <f t="shared" si="51"/>
        <v>44.018176829931868</v>
      </c>
      <c r="GX64" s="22">
        <f t="shared" si="28"/>
        <v>379.97624131213121</v>
      </c>
      <c r="GY64" s="62">
        <f t="shared" si="29"/>
        <v>673.30957464546452</v>
      </c>
      <c r="GZ64" s="62">
        <f ca="1">AVERAGE(OFFSET($GY$3,0,0,'Données projet'!$E$18+1,1))-AVERAGE(OFFSET($H$3,0,0,'Données projet'!$E$18+1,1))</f>
        <v>363.53487081291541</v>
      </c>
      <c r="HA64" s="62">
        <f t="shared" si="52"/>
        <v>308.1559670593121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529.25712986118265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244.80143999999999</v>
      </c>
      <c r="AK65" s="14">
        <f t="shared" si="35"/>
        <v>59.471389714596519</v>
      </c>
      <c r="AL65" s="22">
        <f t="shared" si="4"/>
        <v>529.94184508625551</v>
      </c>
      <c r="AM65" s="62">
        <f t="shared" si="5"/>
        <v>823.27517841958888</v>
      </c>
      <c r="AN65" s="62">
        <f ca="1">AVERAGE(OFFSET($AM$3,0,0,'Données projet'!$E$10+1,1))-AVERAGE(OFFSET($H$3,0,0,'Données projet'!$E$10+1,1))</f>
        <v>495.77338291316386</v>
      </c>
      <c r="AO65" s="62">
        <f t="shared" si="36"/>
        <v>261.95434270986397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8.1461538461538332</v>
      </c>
      <c r="BD65" s="13">
        <f>IF('Données projet'!$A$88&gt;35,BD64+BC65-BL64,IF(A65&lt;'Données projet'!$A$88,$BA$205^A65,IF(A65='Données projet'!$A$88,'Données projet'!$B$88,BD64+BC65-BL64)))</f>
        <v>329.73076923076945</v>
      </c>
      <c r="BE65" s="14">
        <f>BD65*VLOOKUP('Données projet'!$B$11,Paramètres!$A$1:$I$89,3,0)*VLOOKUP('Données projet'!$B$11,Paramètres!$A$1:$I$89,5,0)</f>
        <v>188.60600000000014</v>
      </c>
      <c r="BF65" s="14">
        <f t="shared" si="37"/>
        <v>47.231627282863762</v>
      </c>
      <c r="BG65" s="22">
        <f t="shared" si="7"/>
        <v>410.75053418432134</v>
      </c>
      <c r="BH65" s="62">
        <f t="shared" si="8"/>
        <v>704.08386751765465</v>
      </c>
      <c r="BI65" s="62">
        <f ca="1">AVERAGE(OFFSET($BH$3,0,0,'Données projet'!$E$11+1,1))-AVERAGE(OFFSET($H$3,0,0,'Données projet'!$E$11+1,1))</f>
        <v>320.67081032419122</v>
      </c>
      <c r="BJ65" s="62">
        <f t="shared" si="38"/>
        <v>290.51177680335746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0.99246619609983922</v>
      </c>
      <c r="BR65" s="23">
        <f>EXP(-LN(2)/2)*BR64+(1-EXP(-LN(2)/2))/(LN(2)/2)*BL65*BO65*VLOOKUP('Données projet'!$B$11,Paramètres!$A$1:$I$89,3,0)*0.475*44/12</f>
        <v>1.6436327106515011E-4</v>
      </c>
      <c r="BS65" s="24">
        <f t="shared" si="9"/>
        <v>0.99263055937090439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294.66839999999996</v>
      </c>
      <c r="CA65" s="14">
        <f t="shared" si="39"/>
        <v>70.057591528661547</v>
      </c>
      <c r="CB65" s="22">
        <f t="shared" si="10"/>
        <v>635.23110191241869</v>
      </c>
      <c r="CC65" s="62">
        <f t="shared" si="11"/>
        <v>928.56443524575207</v>
      </c>
      <c r="CD65" s="62">
        <f ca="1">AVERAGE(OFFSET($CC$3,0,0,'Données projet'!$E$12+1,1))-AVERAGE(OFFSET($H$3,0,0,'Données projet'!$E$12+1,1))</f>
        <v>587.74247372331615</v>
      </c>
      <c r="CE65" s="62">
        <f t="shared" si="40"/>
        <v>306.61893266146666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</v>
      </c>
      <c r="CT65" s="13">
        <f>IF('Données projet'!$A$140&gt;35,CT64+CS65-DB64,IF(A65&lt;'Données projet'!$A$140,$CQ$205^A65,IF(A65='Données projet'!$A$140,'Données projet'!$B$140,CT64+CS65-DB64)))</f>
        <v>217.69230769230759</v>
      </c>
      <c r="CU65" s="18">
        <f>CT65*VLOOKUP('Données projet'!$B$13,Paramètres!$A$1:$I$89,3,0)*VLOOKUP('Données projet'!$B$13,Paramètres!$A$1:$I$89,5,0)</f>
        <v>207.15599999999989</v>
      </c>
      <c r="CV65" s="14">
        <f t="shared" si="41"/>
        <v>51.313607806372978</v>
      </c>
      <c r="CW65" s="22">
        <f t="shared" si="13"/>
        <v>450.16790026276612</v>
      </c>
      <c r="CX65" s="62">
        <f t="shared" si="14"/>
        <v>743.50123359609938</v>
      </c>
      <c r="CY65" s="62">
        <f ca="1">AVERAGE(OFFSET($CX$3,0,0,'Données projet'!$E$13+1,1))-AVERAGE(OFFSET($H$3,0,0,'Données projet'!$E$13+1,1))</f>
        <v>406.24139966722936</v>
      </c>
      <c r="CZ65" s="62">
        <f t="shared" si="42"/>
        <v>295.95724296920577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11.987912087912093</v>
      </c>
      <c r="DO65" s="13">
        <f>IF('Données projet'!$A$166&gt;35,DO64+DN65-DW64,IF(A65&lt;'Données projet'!$A$166,$DL$205^A65,IF(A65='Données projet'!$A$166,'Données projet'!$B$166,DO64+DN65-DW64)))</f>
        <v>440.70219780219799</v>
      </c>
      <c r="DP65" s="18">
        <f>DO65*VLOOKUP('Données projet'!$B$14,Paramètres!$A$1:$I$89,3,0)*VLOOKUP('Données projet'!$B$14,Paramètres!$A$1:$I$89,5,0)</f>
        <v>263.53991428571442</v>
      </c>
      <c r="DQ65" s="14">
        <f t="shared" si="43"/>
        <v>63.476349722707205</v>
      </c>
      <c r="DR65" s="22">
        <f t="shared" si="16"/>
        <v>569.55332648133424</v>
      </c>
      <c r="DS65" s="62">
        <f t="shared" si="17"/>
        <v>862.88665981466761</v>
      </c>
      <c r="DT65" s="62">
        <f ca="1">AVERAGE(OFFSET($DS$3,0,0,'Données projet'!$E$14+1,1))-AVERAGE(OFFSET($H$3,0,0,'Données projet'!$E$14+1,1))</f>
        <v>356.42779334565381</v>
      </c>
      <c r="DU65" s="62">
        <f t="shared" si="44"/>
        <v>320.06572891923685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1.6361118461323365</v>
      </c>
      <c r="EC65" s="23">
        <f>EXP(-LN(2)/2)*EC64+(1-EXP(-LN(2)/2))/(LN(2)/2)*DW65*DZ65*VLOOKUP('Données projet'!$B$14,Paramètres!$A$1:$I$89,3,0)*0.475*44/12</f>
        <v>2.5910313397644095E-4</v>
      </c>
      <c r="ED65" s="24">
        <f t="shared" si="18"/>
        <v>1.636370949266313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5.2399999999999975</v>
      </c>
      <c r="FE65" s="13">
        <f>IF('Données projet'!$A$218&gt;35,FE64+FD65-FM64,IF(A65&lt;'Données projet'!$A$218,$FB$205^A65,IF(A65='Données projet'!$A$218,'Données projet'!$B$218,FE64+FD65-FM64)))</f>
        <v>290.27999999999986</v>
      </c>
      <c r="FF65" s="18">
        <f>FE65*VLOOKUP('Données projet'!$B$16,Paramètres!$A$1:$I$89,3,0)*VLOOKUP('Données projet'!$B$16,Paramètres!$A$1:$I$89,5,0)</f>
        <v>230.94676799999991</v>
      </c>
      <c r="FG65" s="14">
        <f t="shared" si="47"/>
        <v>56.487345939251334</v>
      </c>
      <c r="FH65" s="22">
        <f t="shared" si="22"/>
        <v>500.61441511086258</v>
      </c>
      <c r="FI65" s="62">
        <f t="shared" si="23"/>
        <v>793.94774844419589</v>
      </c>
      <c r="FJ65" s="62">
        <f ca="1">AVERAGE(OFFSET($FI$3,0,0,'Données projet'!$E$16+1,1))-AVERAGE(OFFSET($H$3,0,0,'Données projet'!$E$16+1,1))</f>
        <v>370.59298168107364</v>
      </c>
      <c r="FK65" s="62">
        <f t="shared" si="48"/>
        <v>404.61777090709171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8.8000000000000007</v>
      </c>
      <c r="FZ65" s="13">
        <f>IF('Données projet'!$A$244&gt;35,FZ64+FY65-GH64,IF(A65&lt;'Données projet'!$A$244,$FW$205^A65,IF(A65='Données projet'!$A$244,'Données projet'!$B$244,FZ64+FY65-GH64)))</f>
        <v>290.59999999999997</v>
      </c>
      <c r="GA65" s="18">
        <f>FZ65*VLOOKUP('Données projet'!$B$17,Paramètres!$A$1:$I$89,3,0)*VLOOKUP('Données projet'!$B$17,Paramètres!$A$1:$I$89,5,0)</f>
        <v>281.06831999999997</v>
      </c>
      <c r="GB65" s="14">
        <f t="shared" si="49"/>
        <v>67.19272554541665</v>
      </c>
      <c r="GC65" s="22">
        <f t="shared" si="25"/>
        <v>606.55465432493395</v>
      </c>
      <c r="GD65" s="62">
        <f t="shared" si="26"/>
        <v>899.88798765826732</v>
      </c>
      <c r="GE65" s="62">
        <f ca="1">AVERAGE(OFFSET($GD$3,0,0,'Données projet'!$E$17+1,1))-AVERAGE(OFFSET($H$3,0,0,'Données projet'!$E$17+1,1))</f>
        <v>562.69380557620775</v>
      </c>
      <c r="GF65" s="62">
        <f t="shared" si="50"/>
        <v>294.45557293177131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5.7692307692307683</v>
      </c>
      <c r="GU65" s="13">
        <f>IF('Données projet'!$A$270&gt;35,GU64+GT65-HC64,IF(A65&lt;'Données projet'!$A$270,$GR$205^A65,IF(A65='Données projet'!$A$270,'Données projet'!$B$270,GU64+GT65-HC64)))</f>
        <v>265.3846153846153</v>
      </c>
      <c r="GV65" s="18">
        <f>GU65*VLOOKUP('Données projet'!$B$18,Paramètres!$A$1:$I$89,3,0)*VLOOKUP('Données projet'!$B$18,Paramètres!$A$1:$I$89,5,0)</f>
        <v>178.01999999999995</v>
      </c>
      <c r="GW65" s="14">
        <f t="shared" si="51"/>
        <v>44.881389467952083</v>
      </c>
      <c r="GX65" s="22">
        <f t="shared" si="28"/>
        <v>388.21991999001648</v>
      </c>
      <c r="GY65" s="62">
        <f t="shared" si="29"/>
        <v>681.55325332334974</v>
      </c>
      <c r="GZ65" s="62">
        <f ca="1">AVERAGE(OFFSET($GY$3,0,0,'Données projet'!$E$18+1,1))-AVERAGE(OFFSET($H$3,0,0,'Données projet'!$E$18+1,1))</f>
        <v>363.53487081291541</v>
      </c>
      <c r="HA65" s="62">
        <f t="shared" si="52"/>
        <v>308.1559670593121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529.25712986118265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252.21455999999998</v>
      </c>
      <c r="AK66" s="14">
        <f t="shared" si="35"/>
        <v>61.059911866756252</v>
      </c>
      <c r="AL66" s="22">
        <f t="shared" si="4"/>
        <v>545.61970516793383</v>
      </c>
      <c r="AM66" s="62">
        <f t="shared" si="5"/>
        <v>838.9530385012672</v>
      </c>
      <c r="AN66" s="62">
        <f ca="1">AVERAGE(OFFSET($AM$3,0,0,'Données projet'!$E$10+1,1))-AVERAGE(OFFSET($H$3,0,0,'Données projet'!$E$10+1,1))</f>
        <v>495.77338291316386</v>
      </c>
      <c r="AO66" s="62">
        <f t="shared" si="36"/>
        <v>261.95434270986397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337.87692307692305</v>
      </c>
      <c r="BB66" s="13">
        <f>VLOOKUP(A66,'Données projet'!$A$87:$I$107,9,0)</f>
        <v>8.1461538461538332</v>
      </c>
      <c r="BC66" s="13">
        <f t="array" ref="BC66">INDEX(BB:BB,MIN(IF(ISNUMBER(BB66:BB262),ROW(BB66:BB262),"")))</f>
        <v>8.1461538461538332</v>
      </c>
      <c r="BD66" s="13">
        <f>IF('Données projet'!$A$88&gt;35,BD65+BC66-BL65,IF(A66&lt;'Données projet'!$A$88,$BA$205^A66,IF(A66='Données projet'!$A$88,'Données projet'!$B$88,BD65+BC66-BL65)))</f>
        <v>337.87692307692328</v>
      </c>
      <c r="BE66" s="14">
        <f>BD66*VLOOKUP('Données projet'!$B$11,Paramètres!$A$1:$I$89,3,0)*VLOOKUP('Données projet'!$B$11,Paramètres!$A$1:$I$89,5,0)</f>
        <v>193.26560000000012</v>
      </c>
      <c r="BF66" s="14">
        <f t="shared" si="37"/>
        <v>48.261213025268106</v>
      </c>
      <c r="BG66" s="22">
        <f t="shared" si="7"/>
        <v>420.65919935234211</v>
      </c>
      <c r="BH66" s="62">
        <f t="shared" si="8"/>
        <v>713.99253268567543</v>
      </c>
      <c r="BI66" s="62">
        <f ca="1">AVERAGE(OFFSET($BH$3,0,0,'Données projet'!$E$11+1,1))-AVERAGE(OFFSET($H$3,0,0,'Données projet'!$E$11+1,1))</f>
        <v>320.67081032419122</v>
      </c>
      <c r="BJ66" s="62">
        <f t="shared" si="38"/>
        <v>290.51177680335746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0.96532715577596018</v>
      </c>
      <c r="BR66" s="23">
        <f>EXP(-LN(2)/2)*BR65+(1-EXP(-LN(2)/2))/(LN(2)/2)*BL66*BO66*VLOOKUP('Données projet'!$B$11,Paramètres!$A$1:$I$89,3,0)*0.475*44/12</f>
        <v>1.162223835481703E-4</v>
      </c>
      <c r="BS66" s="24">
        <f t="shared" si="9"/>
        <v>0.96544337815950831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303.59159999999997</v>
      </c>
      <c r="CA66" s="14">
        <f t="shared" si="39"/>
        <v>71.928878488732749</v>
      </c>
      <c r="CB66" s="22">
        <f t="shared" si="10"/>
        <v>654.03150003454277</v>
      </c>
      <c r="CC66" s="62">
        <f t="shared" si="11"/>
        <v>947.36483336787614</v>
      </c>
      <c r="CD66" s="62">
        <f ca="1">AVERAGE(OFFSET($CC$3,0,0,'Données projet'!$E$12+1,1))-AVERAGE(OFFSET($H$3,0,0,'Données projet'!$E$12+1,1))</f>
        <v>587.74247372331615</v>
      </c>
      <c r="CE66" s="62">
        <f t="shared" si="40"/>
        <v>306.61893266146666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</v>
      </c>
      <c r="CT66" s="13">
        <f>IF('Données projet'!$A$140&gt;35,CT65+CS66-DB65,IF(A66&lt;'Données projet'!$A$140,$CQ$205^A66,IF(A66='Données projet'!$A$140,'Données projet'!$B$140,CT65+CS66-DB65)))</f>
        <v>222.69230769230759</v>
      </c>
      <c r="CU66" s="18">
        <f>CT66*VLOOKUP('Données projet'!$B$13,Paramètres!$A$1:$I$89,3,0)*VLOOKUP('Données projet'!$B$13,Paramètres!$A$1:$I$89,5,0)</f>
        <v>211.9139999999999</v>
      </c>
      <c r="CV66" s="14">
        <f t="shared" si="41"/>
        <v>52.353621737631663</v>
      </c>
      <c r="CW66" s="22">
        <f t="shared" si="13"/>
        <v>460.26610785970826</v>
      </c>
      <c r="CX66" s="62">
        <f t="shared" si="14"/>
        <v>753.59944119304157</v>
      </c>
      <c r="CY66" s="62">
        <f ca="1">AVERAGE(OFFSET($CX$3,0,0,'Données projet'!$E$13+1,1))-AVERAGE(OFFSET($H$3,0,0,'Données projet'!$E$13+1,1))</f>
        <v>406.24139966722936</v>
      </c>
      <c r="CZ66" s="62">
        <f t="shared" si="42"/>
        <v>295.95724296920577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11.987912087912093</v>
      </c>
      <c r="DO66" s="13">
        <f>IF('Données projet'!$A$166&gt;35,DO65+DN66-DW65,IF(A66&lt;'Données projet'!$A$166,$DL$205^A66,IF(A66='Données projet'!$A$166,'Données projet'!$B$166,DO65+DN66-DW65)))</f>
        <v>452.69010989011008</v>
      </c>
      <c r="DP66" s="18">
        <f>DO66*VLOOKUP('Données projet'!$B$14,Paramètres!$A$1:$I$89,3,0)*VLOOKUP('Données projet'!$B$14,Paramètres!$A$1:$I$89,5,0)</f>
        <v>270.70868571428582</v>
      </c>
      <c r="DQ66" s="14">
        <f t="shared" si="43"/>
        <v>64.999647329419957</v>
      </c>
      <c r="DR66" s="22">
        <f t="shared" si="16"/>
        <v>584.6920133844543</v>
      </c>
      <c r="DS66" s="62">
        <f t="shared" si="17"/>
        <v>878.02534671778767</v>
      </c>
      <c r="DT66" s="62">
        <f ca="1">AVERAGE(OFFSET($DS$3,0,0,'Données projet'!$E$14+1,1))-AVERAGE(OFFSET($H$3,0,0,'Données projet'!$E$14+1,1))</f>
        <v>356.42779334565381</v>
      </c>
      <c r="DU66" s="62">
        <f t="shared" si="44"/>
        <v>320.06572891923685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1.5913722816604652</v>
      </c>
      <c r="EC66" s="23">
        <f>EXP(-LN(2)/2)*EC65+(1-EXP(-LN(2)/2))/(LN(2)/2)*DW66*DZ66*VLOOKUP('Données projet'!$B$14,Paramètres!$A$1:$I$89,3,0)*0.475*44/12</f>
        <v>1.8321358306142794E-4</v>
      </c>
      <c r="ED66" s="24">
        <f t="shared" si="18"/>
        <v>1.5915554952435267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5.2399999999999975</v>
      </c>
      <c r="FE66" s="13">
        <f>IF('Données projet'!$A$218&gt;35,FE65+FD66-FM65,IF(A66&lt;'Données projet'!$A$218,$FB$205^A66,IF(A66='Données projet'!$A$218,'Données projet'!$B$218,FE65+FD66-FM65)))</f>
        <v>295.51999999999987</v>
      </c>
      <c r="FF66" s="18">
        <f>FE66*VLOOKUP('Données projet'!$B$16,Paramètres!$A$1:$I$89,3,0)*VLOOKUP('Données projet'!$B$16,Paramètres!$A$1:$I$89,5,0)</f>
        <v>235.11571199999989</v>
      </c>
      <c r="FG66" s="14">
        <f t="shared" si="47"/>
        <v>57.387397894153374</v>
      </c>
      <c r="FH66" s="22">
        <f t="shared" si="22"/>
        <v>509.44291639898364</v>
      </c>
      <c r="FI66" s="62">
        <f t="shared" si="23"/>
        <v>802.77624973231696</v>
      </c>
      <c r="FJ66" s="62">
        <f ca="1">AVERAGE(OFFSET($FI$3,0,0,'Données projet'!$E$16+1,1))-AVERAGE(OFFSET($H$3,0,0,'Données projet'!$E$16+1,1))</f>
        <v>370.59298168107364</v>
      </c>
      <c r="FK66" s="62">
        <f t="shared" si="48"/>
        <v>404.61777090709171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8.8000000000000007</v>
      </c>
      <c r="FZ66" s="13">
        <f>IF('Données projet'!$A$244&gt;35,FZ65+FY66-GH65,IF(A66&lt;'Données projet'!$A$244,$FW$205^A66,IF(A66='Données projet'!$A$244,'Données projet'!$B$244,FZ65+FY66-GH65)))</f>
        <v>299.39999999999998</v>
      </c>
      <c r="GA66" s="18">
        <f>FZ66*VLOOKUP('Données projet'!$B$17,Paramètres!$A$1:$I$89,3,0)*VLOOKUP('Données projet'!$B$17,Paramètres!$A$1:$I$89,5,0)</f>
        <v>289.57968</v>
      </c>
      <c r="GB66" s="14">
        <f t="shared" si="49"/>
        <v>68.987489943980663</v>
      </c>
      <c r="GC66" s="22">
        <f t="shared" si="25"/>
        <v>624.504487652433</v>
      </c>
      <c r="GD66" s="62">
        <f t="shared" si="26"/>
        <v>917.83782098576626</v>
      </c>
      <c r="GE66" s="62">
        <f ca="1">AVERAGE(OFFSET($GD$3,0,0,'Données projet'!$E$17+1,1))-AVERAGE(OFFSET($H$3,0,0,'Données projet'!$E$17+1,1))</f>
        <v>562.69380557620775</v>
      </c>
      <c r="GF66" s="62">
        <f t="shared" si="50"/>
        <v>294.45557293177131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5.7692307692307683</v>
      </c>
      <c r="GU66" s="13">
        <f>IF('Données projet'!$A$270&gt;35,GU65+GT66-HC65,IF(A66&lt;'Données projet'!$A$270,$GR$205^A66,IF(A66='Données projet'!$A$270,'Données projet'!$B$270,GU65+GT66-HC65)))</f>
        <v>271.15384615384608</v>
      </c>
      <c r="GV66" s="18">
        <f>GU66*VLOOKUP('Données projet'!$B$18,Paramètres!$A$1:$I$89,3,0)*VLOOKUP('Données projet'!$B$18,Paramètres!$A$1:$I$89,5,0)</f>
        <v>181.88999999999996</v>
      </c>
      <c r="GW66" s="14">
        <f t="shared" si="51"/>
        <v>45.742420382341599</v>
      </c>
      <c r="GX66" s="22">
        <f t="shared" si="28"/>
        <v>396.4597988325782</v>
      </c>
      <c r="GY66" s="62">
        <f t="shared" si="29"/>
        <v>689.79313216591152</v>
      </c>
      <c r="GZ66" s="62">
        <f ca="1">AVERAGE(OFFSET($GY$3,0,0,'Données projet'!$E$18+1,1))-AVERAGE(OFFSET($H$3,0,0,'Données projet'!$E$18+1,1))</f>
        <v>363.53487081291541</v>
      </c>
      <c r="HA66" s="62">
        <f t="shared" si="52"/>
        <v>308.1559670593121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529.25712986118265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259.62768</v>
      </c>
      <c r="AK67" s="14">
        <f t="shared" si="35"/>
        <v>62.643007760076095</v>
      </c>
      <c r="AL67" s="22">
        <f t="shared" si="4"/>
        <v>561.28811451546585</v>
      </c>
      <c r="AM67" s="62">
        <f t="shared" si="5"/>
        <v>854.62144784879911</v>
      </c>
      <c r="AN67" s="62">
        <f ca="1">AVERAGE(OFFSET($AM$3,0,0,'Données projet'!$E$10+1,1))-AVERAGE(OFFSET($H$3,0,0,'Données projet'!$E$10+1,1))</f>
        <v>495.77338291316386</v>
      </c>
      <c r="AO67" s="62">
        <f t="shared" si="36"/>
        <v>261.95434270986397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7.9553846153846166</v>
      </c>
      <c r="BD67" s="13">
        <f>IF('Données projet'!$A$88&gt;35,BD66+BC67-BL66,IF(A67&lt;'Données projet'!$A$88,$BA$205^A67,IF(A67='Données projet'!$A$88,'Données projet'!$B$88,BD66+BC67-BL66)))</f>
        <v>345.83230769230789</v>
      </c>
      <c r="BE67" s="14">
        <f>BD67*VLOOKUP('Données projet'!$B$11,Paramètres!$A$1:$I$89,3,0)*VLOOKUP('Données projet'!$B$11,Paramètres!$A$1:$I$89,5,0)</f>
        <v>197.81608000000011</v>
      </c>
      <c r="BF67" s="14">
        <f t="shared" si="37"/>
        <v>49.263901939159069</v>
      </c>
      <c r="BG67" s="22">
        <f t="shared" si="7"/>
        <v>430.33096854403556</v>
      </c>
      <c r="BH67" s="62">
        <f t="shared" si="8"/>
        <v>723.66430187736887</v>
      </c>
      <c r="BI67" s="62">
        <f ca="1">AVERAGE(OFFSET($BH$3,0,0,'Données projet'!$E$11+1,1))-AVERAGE(OFFSET($H$3,0,0,'Données projet'!$E$11+1,1))</f>
        <v>320.67081032419122</v>
      </c>
      <c r="BJ67" s="62">
        <f t="shared" si="38"/>
        <v>290.51177680335746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0.93893023393691766</v>
      </c>
      <c r="BR67" s="23">
        <f>EXP(-LN(2)/2)*BR66+(1-EXP(-LN(2)/2))/(LN(2)/2)*BL67*BO67*VLOOKUP('Données projet'!$B$11,Paramètres!$A$1:$I$89,3,0)*0.475*44/12</f>
        <v>8.2181635532575057E-5</v>
      </c>
      <c r="BS67" s="24">
        <f t="shared" si="9"/>
        <v>0.93901241557245019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312.51480000000004</v>
      </c>
      <c r="CA67" s="14">
        <f t="shared" si="39"/>
        <v>73.793773289024969</v>
      </c>
      <c r="CB67" s="22">
        <f t="shared" si="10"/>
        <v>672.82076514505184</v>
      </c>
      <c r="CC67" s="62">
        <f t="shared" si="11"/>
        <v>966.15409847838509</v>
      </c>
      <c r="CD67" s="62">
        <f ca="1">AVERAGE(OFFSET($CC$3,0,0,'Données projet'!$E$12+1,1))-AVERAGE(OFFSET($H$3,0,0,'Données projet'!$E$12+1,1))</f>
        <v>587.74247372331615</v>
      </c>
      <c r="CE67" s="62">
        <f t="shared" si="40"/>
        <v>306.61893266146666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</v>
      </c>
      <c r="CT67" s="13">
        <f>IF('Données projet'!$A$140&gt;35,CT66+CS67-DB66,IF(A67&lt;'Données projet'!$A$140,$CQ$205^A67,IF(A67='Données projet'!$A$140,'Données projet'!$B$140,CT66+CS67-DB66)))</f>
        <v>227.69230769230759</v>
      </c>
      <c r="CU67" s="18">
        <f>CT67*VLOOKUP('Données projet'!$B$13,Paramètres!$A$1:$I$89,3,0)*VLOOKUP('Données projet'!$B$13,Paramètres!$A$1:$I$89,5,0)</f>
        <v>216.67199999999991</v>
      </c>
      <c r="CV67" s="14">
        <f t="shared" si="41"/>
        <v>53.390920929716366</v>
      </c>
      <c r="CW67" s="22">
        <f t="shared" si="13"/>
        <v>470.35958728592249</v>
      </c>
      <c r="CX67" s="62">
        <f t="shared" si="14"/>
        <v>763.6929206192558</v>
      </c>
      <c r="CY67" s="62">
        <f ca="1">AVERAGE(OFFSET($CX$3,0,0,'Données projet'!$E$13+1,1))-AVERAGE(OFFSET($H$3,0,0,'Données projet'!$E$13+1,1))</f>
        <v>406.24139966722936</v>
      </c>
      <c r="CZ67" s="62">
        <f t="shared" si="42"/>
        <v>295.95724296920577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11.987912087912093</v>
      </c>
      <c r="DO67" s="13">
        <f>IF('Données projet'!$A$166&gt;35,DO66+DN67-DW66,IF(A67&lt;'Données projet'!$A$166,$DL$205^A67,IF(A67='Données projet'!$A$166,'Données projet'!$B$166,DO66+DN67-DW66)))</f>
        <v>464.67802197802217</v>
      </c>
      <c r="DP67" s="18">
        <f>DO67*VLOOKUP('Données projet'!$B$14,Paramètres!$A$1:$I$89,3,0)*VLOOKUP('Données projet'!$B$14,Paramètres!$A$1:$I$89,5,0)</f>
        <v>277.87745714285728</v>
      </c>
      <c r="DQ67" s="14">
        <f t="shared" si="43"/>
        <v>66.518256103252753</v>
      </c>
      <c r="DR67" s="22">
        <f t="shared" si="16"/>
        <v>599.82253390364167</v>
      </c>
      <c r="DS67" s="62">
        <f t="shared" si="17"/>
        <v>893.15586723697493</v>
      </c>
      <c r="DT67" s="62">
        <f ca="1">AVERAGE(OFFSET($DS$3,0,0,'Données projet'!$E$14+1,1))-AVERAGE(OFFSET($H$3,0,0,'Données projet'!$E$14+1,1))</f>
        <v>356.42779334565381</v>
      </c>
      <c r="DU67" s="62">
        <f t="shared" si="44"/>
        <v>320.06572891923685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1.5478561229318286</v>
      </c>
      <c r="EC67" s="23">
        <f>EXP(-LN(2)/2)*EC66+(1-EXP(-LN(2)/2))/(LN(2)/2)*DW67*DZ67*VLOOKUP('Données projet'!$B$14,Paramètres!$A$1:$I$89,3,0)*0.475*44/12</f>
        <v>1.2955156698822047E-4</v>
      </c>
      <c r="ED67" s="24">
        <f t="shared" si="18"/>
        <v>1.5479856744988167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5.2399999999999975</v>
      </c>
      <c r="FE67" s="13">
        <f>IF('Données projet'!$A$218&gt;35,FE66+FD67-FM66,IF(A67&lt;'Données projet'!$A$218,$FB$205^A67,IF(A67='Données projet'!$A$218,'Données projet'!$B$218,FE66+FD67-FM66)))</f>
        <v>300.75999999999988</v>
      </c>
      <c r="FF67" s="18">
        <f>FE67*VLOOKUP('Données projet'!$B$16,Paramètres!$A$1:$I$89,3,0)*VLOOKUP('Données projet'!$B$16,Paramètres!$A$1:$I$89,5,0)</f>
        <v>239.2846559999999</v>
      </c>
      <c r="FG67" s="14">
        <f t="shared" si="47"/>
        <v>58.285594007367486</v>
      </c>
      <c r="FH67" s="22">
        <f t="shared" si="22"/>
        <v>518.2681854294982</v>
      </c>
      <c r="FI67" s="62">
        <f t="shared" si="23"/>
        <v>811.60151876283157</v>
      </c>
      <c r="FJ67" s="62">
        <f ca="1">AVERAGE(OFFSET($FI$3,0,0,'Données projet'!$E$16+1,1))-AVERAGE(OFFSET($H$3,0,0,'Données projet'!$E$16+1,1))</f>
        <v>370.59298168107364</v>
      </c>
      <c r="FK67" s="62">
        <f t="shared" si="48"/>
        <v>404.61777090709171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8.8000000000000007</v>
      </c>
      <c r="FZ67" s="13">
        <f>IF('Données projet'!$A$244&gt;35,FZ66+FY67-GH66,IF(A67&lt;'Données projet'!$A$244,$FW$205^A67,IF(A67='Données projet'!$A$244,'Données projet'!$B$244,FZ66+FY67-GH66)))</f>
        <v>308.2</v>
      </c>
      <c r="GA67" s="18">
        <f>FZ67*VLOOKUP('Données projet'!$B$17,Paramètres!$A$1:$I$89,3,0)*VLOOKUP('Données projet'!$B$17,Paramètres!$A$1:$I$89,5,0)</f>
        <v>298.09104000000002</v>
      </c>
      <c r="GB67" s="14">
        <f t="shared" si="49"/>
        <v>70.776123577436934</v>
      </c>
      <c r="GC67" s="22">
        <f t="shared" si="25"/>
        <v>642.44364323070261</v>
      </c>
      <c r="GD67" s="62">
        <f t="shared" si="26"/>
        <v>935.77697656403598</v>
      </c>
      <c r="GE67" s="62">
        <f ca="1">AVERAGE(OFFSET($GD$3,0,0,'Données projet'!$E$17+1,1))-AVERAGE(OFFSET($H$3,0,0,'Données projet'!$E$17+1,1))</f>
        <v>562.69380557620775</v>
      </c>
      <c r="GF67" s="62">
        <f t="shared" si="50"/>
        <v>294.45557293177131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5.7692307692307683</v>
      </c>
      <c r="GU67" s="13">
        <f>IF('Données projet'!$A$270&gt;35,GU66+GT67-HC66,IF(A67&lt;'Données projet'!$A$270,$GR$205^A67,IF(A67='Données projet'!$A$270,'Données projet'!$B$270,GU66+GT67-HC66)))</f>
        <v>276.92307692307685</v>
      </c>
      <c r="GV67" s="18">
        <f>GU67*VLOOKUP('Données projet'!$B$18,Paramètres!$A$1:$I$89,3,0)*VLOOKUP('Données projet'!$B$18,Paramètres!$A$1:$I$89,5,0)</f>
        <v>185.75999999999993</v>
      </c>
      <c r="GW67" s="14">
        <f t="shared" si="51"/>
        <v>46.601321339767978</v>
      </c>
      <c r="GX67" s="22">
        <f t="shared" si="28"/>
        <v>404.69596800009577</v>
      </c>
      <c r="GY67" s="62">
        <f t="shared" si="29"/>
        <v>698.02930133342909</v>
      </c>
      <c r="GZ67" s="62">
        <f ca="1">AVERAGE(OFFSET($GY$3,0,0,'Données projet'!$E$18+1,1))-AVERAGE(OFFSET($H$3,0,0,'Données projet'!$E$18+1,1))</f>
        <v>363.53487081291541</v>
      </c>
      <c r="HA67" s="62">
        <f t="shared" si="52"/>
        <v>308.1559670593121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529.25712986118265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267.04080000000005</v>
      </c>
      <c r="AK68" s="14">
        <f t="shared" si="35"/>
        <v>64.220850124833518</v>
      </c>
      <c r="AL68" s="22">
        <f t="shared" ref="AL68:AL131" si="58">(AJ68+AK68)*0.475*44/12</f>
        <v>576.94737396741846</v>
      </c>
      <c r="AM68" s="62">
        <f t="shared" ref="AM68:AM131" si="59">AL68+(AD68+AE68)*44/12</f>
        <v>870.28070730075183</v>
      </c>
      <c r="AN68" s="62">
        <f ca="1">AVERAGE(OFFSET($AM$3,0,0,'Données projet'!$E$10+1,1))-AVERAGE(OFFSET($H$3,0,0,'Données projet'!$E$10+1,1))</f>
        <v>495.77338291316386</v>
      </c>
      <c r="AO68" s="62">
        <f t="shared" si="36"/>
        <v>261.95434270986397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7.9553846153846166</v>
      </c>
      <c r="BD68" s="13">
        <f>IF('Données projet'!$A$88&gt;35,BD67+BC68-BL67,IF(A68&lt;'Données projet'!$A$88,$BA$205^A68,IF(A68='Données projet'!$A$88,'Données projet'!$B$88,BD67+BC68-BL67)))</f>
        <v>353.78769230769251</v>
      </c>
      <c r="BE68" s="14">
        <f>BD68*VLOOKUP('Données projet'!$B$11,Paramètres!$A$1:$I$89,3,0)*VLOOKUP('Données projet'!$B$11,Paramètres!$A$1:$I$89,5,0)</f>
        <v>202.36656000000011</v>
      </c>
      <c r="BF68" s="14">
        <f t="shared" si="37"/>
        <v>50.263909376590384</v>
      </c>
      <c r="BG68" s="22">
        <f t="shared" ref="BG68:BG131" si="61">(BE68+BF68)*0.475*44/12</f>
        <v>439.99806749756181</v>
      </c>
      <c r="BH68" s="62">
        <f t="shared" ref="BH68:BH131" si="62">BG68+(AY68+AZ68)*44/12</f>
        <v>733.33140083089506</v>
      </c>
      <c r="BI68" s="62">
        <f ca="1">AVERAGE(OFFSET($BH$3,0,0,'Données projet'!$E$11+1,1))-AVERAGE(OFFSET($H$3,0,0,'Données projet'!$E$11+1,1))</f>
        <v>320.67081032419122</v>
      </c>
      <c r="BJ68" s="62">
        <f t="shared" si="38"/>
        <v>290.51177680335746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0.91325513731371755</v>
      </c>
      <c r="BR68" s="23">
        <f>EXP(-LN(2)/2)*BR67+(1-EXP(-LN(2)/2))/(LN(2)/2)*BL68*BO68*VLOOKUP('Données projet'!$B$11,Paramètres!$A$1:$I$89,3,0)*0.475*44/12</f>
        <v>5.8111191774085151E-5</v>
      </c>
      <c r="BS68" s="24">
        <f t="shared" ref="BS68:BS131" si="63">SUM(BP68:BR68)</f>
        <v>0.91331324850549167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321.43800000000005</v>
      </c>
      <c r="CA68" s="14">
        <f t="shared" si="39"/>
        <v>75.652479406660248</v>
      </c>
      <c r="CB68" s="22">
        <f t="shared" ref="CB68:CB131" si="64">(BZ68+CA68)*0.475*44/12</f>
        <v>691.59925163326659</v>
      </c>
      <c r="CC68" s="62">
        <f t="shared" ref="CC68:CC131" si="65">CB68+(BT68+BU68)*44/12</f>
        <v>984.93258496659996</v>
      </c>
      <c r="CD68" s="62">
        <f ca="1">AVERAGE(OFFSET($CC$3,0,0,'Données projet'!$E$12+1,1))-AVERAGE(OFFSET($H$3,0,0,'Données projet'!$E$12+1,1))</f>
        <v>587.74247372331615</v>
      </c>
      <c r="CE68" s="62">
        <f t="shared" si="40"/>
        <v>306.61893266146666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232.69230769230768</v>
      </c>
      <c r="CR68" s="13">
        <f>VLOOKUP(A68,'Données projet'!$A$139:$I$159,9,0)</f>
        <v>5</v>
      </c>
      <c r="CS68" s="13">
        <f t="array" ref="CS68">INDEX(CR:CR,MIN(IF(ISNUMBER(CR68:CR264),ROW(CR68:CR264),"")))</f>
        <v>5</v>
      </c>
      <c r="CT68" s="13">
        <f>IF('Données projet'!$A$140&gt;35,CT67+CS68-DB67,IF(A68&lt;'Données projet'!$A$140,$CQ$205^A68,IF(A68='Données projet'!$A$140,'Données projet'!$B$140,CT67+CS68-DB67)))</f>
        <v>232.69230769230759</v>
      </c>
      <c r="CU68" s="18">
        <f>CT68*VLOOKUP('Données projet'!$B$13,Paramètres!$A$1:$I$89,3,0)*VLOOKUP('Données projet'!$B$13,Paramètres!$A$1:$I$89,5,0)</f>
        <v>221.42999999999989</v>
      </c>
      <c r="CV68" s="14">
        <f t="shared" si="41"/>
        <v>54.425571861733111</v>
      </c>
      <c r="CW68" s="22">
        <f t="shared" ref="CW68:CW131" si="67">(CU68+CV68)*0.475*44/12</f>
        <v>480.44845432585157</v>
      </c>
      <c r="CX68" s="62">
        <f t="shared" ref="CX68:CX131" si="68">CW68+(CO68+CP68)*44/12</f>
        <v>773.78178765918483</v>
      </c>
      <c r="CY68" s="62">
        <f ca="1">AVERAGE(OFFSET($CX$3,0,0,'Données projet'!$E$13+1,1))-AVERAGE(OFFSET($H$3,0,0,'Données projet'!$E$13+1,1))</f>
        <v>406.24139966722936</v>
      </c>
      <c r="CZ68" s="62">
        <f t="shared" si="42"/>
        <v>295.95724296920577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32.692307692307693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11.987912087912093</v>
      </c>
      <c r="DO68" s="13">
        <f>IF('Données projet'!$A$166&gt;35,DO67+DN68-DW67,IF(A68&lt;'Données projet'!$A$166,$DL$205^A68,IF(A68='Données projet'!$A$166,'Données projet'!$B$166,DO67+DN68-DW67)))</f>
        <v>476.66593406593427</v>
      </c>
      <c r="DP68" s="18">
        <f>DO68*VLOOKUP('Données projet'!$B$14,Paramètres!$A$1:$I$89,3,0)*VLOOKUP('Données projet'!$B$14,Paramètres!$A$1:$I$89,5,0)</f>
        <v>285.04622857142874</v>
      </c>
      <c r="DQ68" s="14">
        <f t="shared" si="43"/>
        <v>68.032310916141483</v>
      </c>
      <c r="DR68" s="22">
        <f t="shared" ref="DR68:DR131" si="70">(DP68+DQ68)*0.475*44/12</f>
        <v>614.94512294085143</v>
      </c>
      <c r="DS68" s="62">
        <f t="shared" ref="DS68:DS131" si="71">DR68+(DJ68+DK68)*44/12</f>
        <v>908.27845627418469</v>
      </c>
      <c r="DT68" s="62">
        <f ca="1">AVERAGE(OFFSET($DS$3,0,0,'Données projet'!$E$14+1,1))-AVERAGE(OFFSET($H$3,0,0,'Données projet'!$E$14+1,1))</f>
        <v>356.42779334565381</v>
      </c>
      <c r="DU68" s="62">
        <f t="shared" si="44"/>
        <v>320.06572891923685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1.5055299158520419</v>
      </c>
      <c r="EC68" s="23">
        <f>EXP(-LN(2)/2)*EC67+(1-EXP(-LN(2)/2))/(LN(2)/2)*DW68*DZ68*VLOOKUP('Données projet'!$B$14,Paramètres!$A$1:$I$89,3,0)*0.475*44/12</f>
        <v>9.1606791530713969E-5</v>
      </c>
      <c r="ED68" s="24">
        <f t="shared" ref="ED68:ED131" si="72">SUM(EA68:EC68)</f>
        <v>1.5056215226435725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306</v>
      </c>
      <c r="FC68" s="13">
        <f>VLOOKUP(A68,'Données projet'!$A$217:$I$237,9,0)</f>
        <v>5.2399999999999975</v>
      </c>
      <c r="FD68" s="13">
        <f t="array" ref="FD68">INDEX(FC:FC,MIN(IF(ISNUMBER(FC68:FC264),ROW(FC68:FC264),"")))</f>
        <v>5.2399999999999975</v>
      </c>
      <c r="FE68" s="13">
        <f>IF('Données projet'!$A$218&gt;35,FE67+FD68-FM67,IF(A68&lt;'Données projet'!$A$218,$FB$205^A68,IF(A68='Données projet'!$A$218,'Données projet'!$B$218,FE67+FD68-FM67)))</f>
        <v>305.99999999999989</v>
      </c>
      <c r="FF68" s="18">
        <f>FE68*VLOOKUP('Données projet'!$B$16,Paramètres!$A$1:$I$89,3,0)*VLOOKUP('Données projet'!$B$16,Paramètres!$A$1:$I$89,5,0)</f>
        <v>243.45359999999991</v>
      </c>
      <c r="FG68" s="14">
        <f t="shared" si="47"/>
        <v>59.181970343065267</v>
      </c>
      <c r="FH68" s="22">
        <f t="shared" ref="FH68:FH131" si="76">(FF68+FG68)*0.475*44/12</f>
        <v>527.09028501417185</v>
      </c>
      <c r="FI68" s="62">
        <f t="shared" ref="FI68:FI131" si="77">FH68+(EZ68+FA68)*44/12</f>
        <v>820.42361834750523</v>
      </c>
      <c r="FJ68" s="62">
        <f ca="1">AVERAGE(OFFSET($FI$3,0,0,'Données projet'!$E$16+1,1))-AVERAGE(OFFSET($H$3,0,0,'Données projet'!$E$16+1,1))</f>
        <v>370.59298168107364</v>
      </c>
      <c r="FK68" s="62">
        <f t="shared" si="48"/>
        <v>404.61777090709171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317</v>
      </c>
      <c r="FX68" s="13">
        <f>VLOOKUP(A68,'Données projet'!$A$243:$I$263,9,0)</f>
        <v>8.8000000000000007</v>
      </c>
      <c r="FY68" s="13">
        <f t="array" ref="FY68">INDEX(FX:FX,MIN(IF(ISNUMBER(FX68:FX264),ROW(FX68:FX264),"")))</f>
        <v>8.8000000000000007</v>
      </c>
      <c r="FZ68" s="13">
        <f>IF('Données projet'!$A$244&gt;35,FZ67+FY68-GH67,IF(A68&lt;'Données projet'!$A$244,$FW$205^A68,IF(A68='Données projet'!$A$244,'Données projet'!$B$244,FZ67+FY68-GH67)))</f>
        <v>317</v>
      </c>
      <c r="GA68" s="18">
        <f>FZ68*VLOOKUP('Données projet'!$B$17,Paramètres!$A$1:$I$89,3,0)*VLOOKUP('Données projet'!$B$17,Paramètres!$A$1:$I$89,5,0)</f>
        <v>306.60239999999999</v>
      </c>
      <c r="GB68" s="14">
        <f t="shared" si="49"/>
        <v>72.558821602115088</v>
      </c>
      <c r="GC68" s="22">
        <f t="shared" ref="GC68:GC131" si="79">(GA68+GB68)*0.475*44/12</f>
        <v>660.3724609570171</v>
      </c>
      <c r="GD68" s="62">
        <f t="shared" ref="GD68:GD131" si="80">GC68+(FU68+FV68)*44/12</f>
        <v>953.70579429035047</v>
      </c>
      <c r="GE68" s="62">
        <f ca="1">AVERAGE(OFFSET($GD$3,0,0,'Données projet'!$E$17+1,1))-AVERAGE(OFFSET($H$3,0,0,'Données projet'!$E$17+1,1))</f>
        <v>562.69380557620775</v>
      </c>
      <c r="GF68" s="62">
        <f t="shared" si="50"/>
        <v>294.45557293177131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56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282.69230769230768</v>
      </c>
      <c r="GS68" s="13">
        <f>VLOOKUP(A68,'Données projet'!$A$269:$I$289,9,0)</f>
        <v>5.7692307692307683</v>
      </c>
      <c r="GT68" s="13">
        <f t="array" ref="GT68">INDEX(GS:GS,MIN(IF(ISNUMBER(GS68:GS264),ROW(GS68:GS264),"")))</f>
        <v>5.7692307692307683</v>
      </c>
      <c r="GU68" s="13">
        <f>IF('Données projet'!$A$270&gt;35,GU67+GT68-HC67,IF(A68&lt;'Données projet'!$A$270,$GR$205^A68,IF(A68='Données projet'!$A$270,'Données projet'!$B$270,GU67+GT68-HC67)))</f>
        <v>282.69230769230762</v>
      </c>
      <c r="GV68" s="18">
        <f>GU68*VLOOKUP('Données projet'!$B$18,Paramètres!$A$1:$I$89,3,0)*VLOOKUP('Données projet'!$B$18,Paramètres!$A$1:$I$89,5,0)</f>
        <v>189.62999999999997</v>
      </c>
      <c r="GW68" s="14">
        <f t="shared" si="51"/>
        <v>47.458141826690017</v>
      </c>
      <c r="GX68" s="22">
        <f t="shared" ref="GX68:GX131" si="82">(GV68+GW68)*0.475*44/12</f>
        <v>412.92851368148507</v>
      </c>
      <c r="GY68" s="62">
        <f t="shared" ref="GY68:GY131" si="83">GX68+(GP68+GQ68)*44/12</f>
        <v>706.26184701481839</v>
      </c>
      <c r="GZ68" s="62">
        <f ca="1">AVERAGE(OFFSET($GY$3,0,0,'Données projet'!$E$18+1,1))-AVERAGE(OFFSET($H$3,0,0,'Données projet'!$E$18+1,1))</f>
        <v>363.53487081291541</v>
      </c>
      <c r="HA68" s="62">
        <f t="shared" si="52"/>
        <v>308.1559670593121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529.25712986118265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785.10801661598521</v>
      </c>
      <c r="AN69" s="62">
        <f ca="1">AVERAGE(OFFSET($AM$3,0,0,'Données projet'!$E$10+1,1))-AVERAGE(OFFSET($H$3,0,0,'Données projet'!$E$10+1,1))</f>
        <v>495.77338291316386</v>
      </c>
      <c r="AO69" s="62">
        <f t="shared" ref="AO69:AO132" si="90">$AO$3</f>
        <v>261.95434270986397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7.9553846153846166</v>
      </c>
      <c r="BD69" s="13">
        <f>IF('Données projet'!$A$88&gt;35,BD68+BC69-BL68,IF(A69&lt;'Données projet'!$A$88,$BA$205^A69,IF(A69='Données projet'!$A$88,'Données projet'!$B$88,BD68+BC69-BL68)))</f>
        <v>361.74307692307713</v>
      </c>
      <c r="BE69" s="14">
        <f>BD69*VLOOKUP('Données projet'!$B$11,Paramètres!$A$1:$I$89,3,0)*VLOOKUP('Données projet'!$B$11,Paramètres!$A$1:$I$89,5,0)</f>
        <v>206.91704000000013</v>
      </c>
      <c r="BF69" s="14">
        <f t="shared" ref="BF69:BF132" si="91">EXP(-1.0587+0.8836*LN(BE69)+0.284)</f>
        <v>51.261302576058974</v>
      </c>
      <c r="BG69" s="22">
        <f t="shared" si="61"/>
        <v>449.66061331996957</v>
      </c>
      <c r="BH69" s="62">
        <f t="shared" si="62"/>
        <v>742.99394665330283</v>
      </c>
      <c r="BI69" s="62">
        <f ca="1">AVERAGE(OFFSET($BH$3,0,0,'Données projet'!$E$11+1,1))-AVERAGE(OFFSET($H$3,0,0,'Données projet'!$E$11+1,1))</f>
        <v>320.67081032419122</v>
      </c>
      <c r="BJ69" s="62">
        <f t="shared" ref="BJ69:BJ132" si="92">$BJ$3</f>
        <v>290.51177680335746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0.8882821275578735</v>
      </c>
      <c r="BR69" s="23">
        <f>EXP(-LN(2)/2)*BR68+(1-EXP(-LN(2)/2))/(LN(2)/2)*BL69*BO69*VLOOKUP('Données projet'!$B$11,Paramètres!$A$1:$I$89,3,0)*0.475*44/12</f>
        <v>4.1090817766287529E-5</v>
      </c>
      <c r="BS69" s="24">
        <f t="shared" si="63"/>
        <v>0.88832321837563977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2">
        <f t="shared" si="65"/>
        <v>882.79644918103463</v>
      </c>
      <c r="CD69" s="62">
        <f ca="1">AVERAGE(OFFSET($CC$3,0,0,'Données projet'!$E$12+1,1))-AVERAGE(OFFSET($H$3,0,0,'Données projet'!$E$12+1,1))</f>
        <v>587.74247372331615</v>
      </c>
      <c r="CE69" s="62">
        <f t="shared" ref="CE69:CE132" si="94">$CE$3</f>
        <v>306.61893266146666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4.7435897435897401</v>
      </c>
      <c r="CT69" s="13">
        <f>IF('Données projet'!$A$140&gt;35,CT68+CS69-DB68,IF(A69&lt;'Données projet'!$A$140,$CQ$205^A69,IF(A69='Données projet'!$A$140,'Données projet'!$B$140,CT68+CS69-DB68)))</f>
        <v>204.74358974358967</v>
      </c>
      <c r="CU69" s="18">
        <f>CT69*VLOOKUP('Données projet'!$B$13,Paramètres!$A$1:$I$89,3,0)*VLOOKUP('Données projet'!$B$13,Paramètres!$A$1:$I$89,5,0)</f>
        <v>194.83399999999995</v>
      </c>
      <c r="CV69" s="14">
        <f t="shared" ref="CV69:CV132" si="95">EXP(-1.0587+0.8836*LN(CU69)+0.284)</f>
        <v>48.607113902081203</v>
      </c>
      <c r="CW69" s="22">
        <f t="shared" si="67"/>
        <v>423.993273379458</v>
      </c>
      <c r="CX69" s="62">
        <f t="shared" si="68"/>
        <v>717.32660671279132</v>
      </c>
      <c r="CY69" s="62">
        <f ca="1">AVERAGE(OFFSET($CX$3,0,0,'Données projet'!$E$13+1,1))-AVERAGE(OFFSET($H$3,0,0,'Données projet'!$E$13+1,1))</f>
        <v>406.24139966722936</v>
      </c>
      <c r="CZ69" s="62">
        <f t="shared" ref="CZ69:CZ132" si="96">$CZ$3</f>
        <v>295.95724296920577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>
        <f>VLOOKUP(A69,'Données projet'!$A$165:$I$185,2,0)</f>
        <v>488.65384615384613</v>
      </c>
      <c r="DM69" s="13">
        <f>VLOOKUP(A69,'Données projet'!$A$165:$I$185,9,0)</f>
        <v>11.987912087912093</v>
      </c>
      <c r="DN69" s="13">
        <f t="array" ref="DN69">INDEX(DM:DM,MIN(IF(ISNUMBER(DM69:DM265),ROW(DM69:DM265),"")))</f>
        <v>11.987912087912093</v>
      </c>
      <c r="DO69" s="13">
        <f>IF('Données projet'!$A$166&gt;35,DO68+DN69-DW68,IF(A69&lt;'Données projet'!$A$166,$DL$205^A69,IF(A69='Données projet'!$A$166,'Données projet'!$B$166,DO68+DN69-DW68)))</f>
        <v>488.65384615384636</v>
      </c>
      <c r="DP69" s="18">
        <f>DO69*VLOOKUP('Données projet'!$B$14,Paramètres!$A$1:$I$89,3,0)*VLOOKUP('Données projet'!$B$14,Paramètres!$A$1:$I$89,5,0)</f>
        <v>292.21500000000015</v>
      </c>
      <c r="DQ69" s="14">
        <f t="shared" ref="DQ69:DQ132" si="97">EXP(-1.0587+0.8836*LN(DP69)+0.284)</f>
        <v>69.541939469490984</v>
      </c>
      <c r="DR69" s="22">
        <f t="shared" si="70"/>
        <v>630.06000290936367</v>
      </c>
      <c r="DS69" s="62">
        <f t="shared" si="71"/>
        <v>923.39333624269693</v>
      </c>
      <c r="DT69" s="62">
        <f ca="1">AVERAGE(OFFSET($DS$3,0,0,'Données projet'!$E$14+1,1))-AVERAGE(OFFSET($H$3,0,0,'Données projet'!$E$14+1,1))</f>
        <v>356.42779334565381</v>
      </c>
      <c r="DU69" s="62">
        <f t="shared" ref="DU69:DU132" si="98">$DU$3</f>
        <v>320.06572891923685</v>
      </c>
      <c r="DV69" s="16">
        <f>IF(ISNA(VLOOKUP(A69,'Données projet'!$A$165:$I$185,3,0)),0,VLOOKUP(A69,'Données projet'!$A$165:$I$185,3,0))</f>
        <v>7</v>
      </c>
      <c r="DW69" s="16">
        <f>IF(ISNA(VLOOKUP(A69,'Données projet'!$A$165:$I$185,4,0)),0,VLOOKUP(A69,'Données projet'!$A$165:$I$185,4,0))</f>
        <v>68.146153846153851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1.4643611211306904</v>
      </c>
      <c r="EC69" s="23">
        <f>EXP(-LN(2)/2)*EC68+(1-EXP(-LN(2)/2))/(LN(2)/2)*DW69*DZ69*VLOOKUP('Données projet'!$B$14,Paramètres!$A$1:$I$89,3,0)*0.475*44/12</f>
        <v>6.4775783494110237E-5</v>
      </c>
      <c r="ED69" s="24">
        <f t="shared" si="72"/>
        <v>1.4644258969141846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4.5</v>
      </c>
      <c r="FE69" s="13">
        <f>IF('Données projet'!$A$218&gt;35,FE68+FD69-FM68,IF(A69&lt;'Données projet'!$A$218,$FB$205^A69,IF(A69='Données projet'!$A$218,'Données projet'!$B$218,FE68+FD69-FM68)))</f>
        <v>310.49999999999989</v>
      </c>
      <c r="FF69" s="18">
        <f>FE69*VLOOKUP('Données projet'!$B$16,Paramètres!$A$1:$I$89,3,0)*VLOOKUP('Données projet'!$B$16,Paramètres!$A$1:$I$89,5,0)</f>
        <v>247.0337999999999</v>
      </c>
      <c r="FG69" s="14">
        <f t="shared" ref="FG69:FG132" si="101">EXP(-1.0587+0.8836*LN(FF69)+0.284)</f>
        <v>59.950333213989722</v>
      </c>
      <c r="FH69" s="22">
        <f t="shared" si="76"/>
        <v>534.66403201436515</v>
      </c>
      <c r="FI69" s="62">
        <f t="shared" si="77"/>
        <v>827.99736534769841</v>
      </c>
      <c r="FJ69" s="62">
        <f ca="1">AVERAGE(OFFSET($FI$3,0,0,'Données projet'!$E$16+1,1))-AVERAGE(OFFSET($H$3,0,0,'Données projet'!$E$16+1,1))</f>
        <v>370.59298168107364</v>
      </c>
      <c r="FK69" s="62">
        <f t="shared" ref="FK69:FK132" si="102">$FK$3</f>
        <v>404.61777090709171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8.1999999999999993</v>
      </c>
      <c r="FZ69" s="13">
        <f>IF('Données projet'!$A$244&gt;35,FZ68+FY69-GH68,IF(A69&lt;'Données projet'!$A$244,$FW$205^A69,IF(A69='Données projet'!$A$244,'Données projet'!$B$244,FZ68+FY69-GH68)))</f>
        <v>269.2</v>
      </c>
      <c r="GA69" s="18">
        <f>FZ69*VLOOKUP('Données projet'!$B$17,Paramètres!$A$1:$I$89,3,0)*VLOOKUP('Données projet'!$B$17,Paramètres!$A$1:$I$89,5,0)</f>
        <v>260.37024000000002</v>
      </c>
      <c r="GB69" s="14">
        <f t="shared" ref="GB69:GB132" si="103">EXP(-1.0587+0.8836*LN(GA69)+0.284)</f>
        <v>62.801291625234725</v>
      </c>
      <c r="GC69" s="22">
        <f t="shared" si="79"/>
        <v>562.85708424728386</v>
      </c>
      <c r="GD69" s="62">
        <f t="shared" si="80"/>
        <v>856.19041758061712</v>
      </c>
      <c r="GE69" s="62">
        <f ca="1">AVERAGE(OFFSET($GD$3,0,0,'Données projet'!$E$17+1,1))-AVERAGE(OFFSET($H$3,0,0,'Données projet'!$E$17+1,1))</f>
        <v>562.69380557620775</v>
      </c>
      <c r="GF69" s="62">
        <f t="shared" ref="GF69:GF132" si="104">$GF$3</f>
        <v>294.45557293177131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5.2564102564102537</v>
      </c>
      <c r="GU69" s="13">
        <f>IF('Données projet'!$A$270&gt;35,GU68+GT69-HC68,IF(A69&lt;'Données projet'!$A$270,$GR$205^A69,IF(A69='Données projet'!$A$270,'Données projet'!$B$270,GU68+GT69-HC68)))</f>
        <v>287.9487179487179</v>
      </c>
      <c r="GV69" s="18">
        <f>GU69*VLOOKUP('Données projet'!$B$18,Paramètres!$A$1:$I$89,3,0)*VLOOKUP('Données projet'!$B$18,Paramètres!$A$1:$I$89,5,0)</f>
        <v>193.15599999999998</v>
      </c>
      <c r="GW69" s="14">
        <f t="shared" ref="GW69:GW132" si="105">EXP(-1.0587+0.8836*LN(GV69)+0.284)</f>
        <v>48.237029240325811</v>
      </c>
      <c r="GX69" s="22">
        <f t="shared" si="82"/>
        <v>420.42619259356735</v>
      </c>
      <c r="GY69" s="62">
        <f t="shared" si="83"/>
        <v>713.75952592690066</v>
      </c>
      <c r="GZ69" s="62">
        <f ca="1">AVERAGE(OFFSET($GY$3,0,0,'Données projet'!$E$18+1,1))-AVERAGE(OFFSET($H$3,0,0,'Données projet'!$E$18+1,1))</f>
        <v>363.53487081291541</v>
      </c>
      <c r="HA69" s="62">
        <f t="shared" ref="HA69:HA132" si="106">$HA$3</f>
        <v>308.1559670593121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529.25712986118265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799.73996207461278</v>
      </c>
      <c r="AN70" s="62">
        <f ca="1">AVERAGE(OFFSET($AM$3,0,0,'Données projet'!$E$10+1,1))-AVERAGE(OFFSET($H$3,0,0,'Données projet'!$E$10+1,1))</f>
        <v>495.77338291316386</v>
      </c>
      <c r="AO70" s="62">
        <f t="shared" si="90"/>
        <v>261.95434270986397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7.9553846153846166</v>
      </c>
      <c r="BD70" s="13">
        <f>IF('Données projet'!$A$88&gt;35,BD69+BC70-BL69,IF(A70&lt;'Données projet'!$A$88,$BA$205^A70,IF(A70='Données projet'!$A$88,'Données projet'!$B$88,BD69+BC70-BL69)))</f>
        <v>369.69846153846174</v>
      </c>
      <c r="BE70" s="14">
        <f>BD70*VLOOKUP('Données projet'!$B$11,Paramètres!$A$1:$I$89,3,0)*VLOOKUP('Données projet'!$B$11,Paramètres!$A$1:$I$89,5,0)</f>
        <v>211.46752000000012</v>
      </c>
      <c r="BF70" s="14">
        <f t="shared" si="91"/>
        <v>52.256145649794036</v>
      </c>
      <c r="BG70" s="22">
        <f t="shared" si="61"/>
        <v>459.31871767339152</v>
      </c>
      <c r="BH70" s="62">
        <f t="shared" si="62"/>
        <v>752.65205100672483</v>
      </c>
      <c r="BI70" s="62">
        <f ca="1">AVERAGE(OFFSET($BH$3,0,0,'Données projet'!$E$11+1,1))-AVERAGE(OFFSET($H$3,0,0,'Données projet'!$E$11+1,1))</f>
        <v>320.67081032419122</v>
      </c>
      <c r="BJ70" s="62">
        <f t="shared" si="92"/>
        <v>290.51177680335746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0.8639920060670766</v>
      </c>
      <c r="BR70" s="23">
        <f>EXP(-LN(2)/2)*BR69+(1-EXP(-LN(2)/2))/(LN(2)/2)*BL70*BO70*VLOOKUP('Données projet'!$B$11,Paramètres!$A$1:$I$89,3,0)*0.475*44/12</f>
        <v>2.9055595887042575E-5</v>
      </c>
      <c r="BS70" s="24">
        <f t="shared" si="63"/>
        <v>0.86402106166296366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2">
        <f t="shared" si="65"/>
        <v>900.34213188128092</v>
      </c>
      <c r="CD70" s="62">
        <f ca="1">AVERAGE(OFFSET($CC$3,0,0,'Données projet'!$E$12+1,1))-AVERAGE(OFFSET($H$3,0,0,'Données projet'!$E$12+1,1))</f>
        <v>587.74247372331615</v>
      </c>
      <c r="CE70" s="62">
        <f t="shared" si="94"/>
        <v>306.61893266146666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4.7435897435897401</v>
      </c>
      <c r="CT70" s="13">
        <f>IF('Données projet'!$A$140&gt;35,CT69+CS70-DB69,IF(A70&lt;'Données projet'!$A$140,$CQ$205^A70,IF(A70='Données projet'!$A$140,'Données projet'!$B$140,CT69+CS70-DB69)))</f>
        <v>209.48717948717942</v>
      </c>
      <c r="CU70" s="18">
        <f>CT70*VLOOKUP('Données projet'!$B$13,Paramètres!$A$1:$I$89,3,0)*VLOOKUP('Données projet'!$B$13,Paramètres!$A$1:$I$89,5,0)</f>
        <v>199.34799999999993</v>
      </c>
      <c r="CV70" s="14">
        <f t="shared" si="95"/>
        <v>49.600850639748678</v>
      </c>
      <c r="CW70" s="22">
        <f t="shared" si="67"/>
        <v>433.58591486422876</v>
      </c>
      <c r="CX70" s="62">
        <f t="shared" si="68"/>
        <v>726.91924819756207</v>
      </c>
      <c r="CY70" s="62">
        <f ca="1">AVERAGE(OFFSET($CX$3,0,0,'Données projet'!$E$13+1,1))-AVERAGE(OFFSET($H$3,0,0,'Données projet'!$E$13+1,1))</f>
        <v>406.24139966722936</v>
      </c>
      <c r="CZ70" s="62">
        <f t="shared" si="96"/>
        <v>295.95724296920577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10.023076923076928</v>
      </c>
      <c r="DO70" s="13">
        <f>IF('Données projet'!$A$166&gt;35,DO69+DN70-DW69,IF(A70&lt;'Données projet'!$A$166,$DL$205^A70,IF(A70='Données projet'!$A$166,'Données projet'!$B$166,DO69+DN70-DW69)))</f>
        <v>430.53076923076947</v>
      </c>
      <c r="DP70" s="18">
        <f>DO70*VLOOKUP('Données projet'!$B$14,Paramètres!$A$1:$I$89,3,0)*VLOOKUP('Données projet'!$B$14,Paramètres!$A$1:$I$89,5,0)</f>
        <v>257.45740000000018</v>
      </c>
      <c r="DQ70" s="14">
        <f t="shared" si="97"/>
        <v>62.180088788200372</v>
      </c>
      <c r="DR70" s="22">
        <f t="shared" si="70"/>
        <v>556.70195963944923</v>
      </c>
      <c r="DS70" s="62">
        <f t="shared" si="71"/>
        <v>850.0352929727826</v>
      </c>
      <c r="DT70" s="62">
        <f ca="1">AVERAGE(OFFSET($DS$3,0,0,'Données projet'!$E$14+1,1))-AVERAGE(OFFSET($H$3,0,0,'Données projet'!$E$14+1,1))</f>
        <v>356.42779334565381</v>
      </c>
      <c r="DU70" s="62">
        <f t="shared" si="98"/>
        <v>320.06572891923685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1.424318089265967</v>
      </c>
      <c r="EC70" s="23">
        <f>EXP(-LN(2)/2)*EC69+(1-EXP(-LN(2)/2))/(LN(2)/2)*DW70*DZ70*VLOOKUP('Données projet'!$B$14,Paramètres!$A$1:$I$89,3,0)*0.475*44/12</f>
        <v>4.5803395765356984E-5</v>
      </c>
      <c r="ED70" s="24">
        <f t="shared" si="72"/>
        <v>1.4243638926617324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4.5</v>
      </c>
      <c r="FE70" s="13">
        <f>IF('Données projet'!$A$218&gt;35,FE69+FD70-FM69,IF(A70&lt;'Données projet'!$A$218,$FB$205^A70,IF(A70='Données projet'!$A$218,'Données projet'!$B$218,FE69+FD70-FM69)))</f>
        <v>314.99999999999989</v>
      </c>
      <c r="FF70" s="18">
        <f>FE70*VLOOKUP('Données projet'!$B$16,Paramètres!$A$1:$I$89,3,0)*VLOOKUP('Données projet'!$B$16,Paramètres!$A$1:$I$89,5,0)</f>
        <v>250.61399999999992</v>
      </c>
      <c r="FG70" s="14">
        <f t="shared" si="101"/>
        <v>60.717400934916043</v>
      </c>
      <c r="FH70" s="22">
        <f t="shared" si="76"/>
        <v>542.23552329497863</v>
      </c>
      <c r="FI70" s="62">
        <f t="shared" si="77"/>
        <v>835.56885662831201</v>
      </c>
      <c r="FJ70" s="62">
        <f ca="1">AVERAGE(OFFSET($FI$3,0,0,'Données projet'!$E$16+1,1))-AVERAGE(OFFSET($H$3,0,0,'Données projet'!$E$16+1,1))</f>
        <v>370.59298168107364</v>
      </c>
      <c r="FK70" s="62">
        <f t="shared" si="102"/>
        <v>404.61777090709171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8.1999999999999993</v>
      </c>
      <c r="FZ70" s="13">
        <f>IF('Données projet'!$A$244&gt;35,FZ69+FY70-GH69,IF(A70&lt;'Données projet'!$A$244,$FW$205^A70,IF(A70='Données projet'!$A$244,'Données projet'!$B$244,FZ69+FY70-GH69)))</f>
        <v>277.39999999999998</v>
      </c>
      <c r="GA70" s="18">
        <f>FZ70*VLOOKUP('Données projet'!$B$17,Paramètres!$A$1:$I$89,3,0)*VLOOKUP('Données projet'!$B$17,Paramètres!$A$1:$I$89,5,0)</f>
        <v>268.30127999999996</v>
      </c>
      <c r="GB70" s="14">
        <f t="shared" si="103"/>
        <v>64.488625713042012</v>
      </c>
      <c r="GC70" s="22">
        <f t="shared" si="79"/>
        <v>579.60908578354815</v>
      </c>
      <c r="GD70" s="62">
        <f t="shared" si="80"/>
        <v>872.94241911688141</v>
      </c>
      <c r="GE70" s="62">
        <f ca="1">AVERAGE(OFFSET($GD$3,0,0,'Données projet'!$E$17+1,1))-AVERAGE(OFFSET($H$3,0,0,'Données projet'!$E$17+1,1))</f>
        <v>562.69380557620775</v>
      </c>
      <c r="GF70" s="62">
        <f t="shared" si="104"/>
        <v>294.45557293177131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5.2564102564102537</v>
      </c>
      <c r="GU70" s="13">
        <f>IF('Données projet'!$A$270&gt;35,GU69+GT70-HC69,IF(A70&lt;'Données projet'!$A$270,$GR$205^A70,IF(A70='Données projet'!$A$270,'Données projet'!$B$270,GU69+GT70-HC69)))</f>
        <v>293.20512820512818</v>
      </c>
      <c r="GV70" s="18">
        <f>GU70*VLOOKUP('Données projet'!$B$18,Paramètres!$A$1:$I$89,3,0)*VLOOKUP('Données projet'!$B$18,Paramètres!$A$1:$I$89,5,0)</f>
        <v>196.68199999999999</v>
      </c>
      <c r="GW70" s="14">
        <f t="shared" si="105"/>
        <v>49.014263299588542</v>
      </c>
      <c r="GX70" s="22">
        <f t="shared" si="82"/>
        <v>427.92099191345005</v>
      </c>
      <c r="GY70" s="62">
        <f t="shared" si="83"/>
        <v>721.25432524678331</v>
      </c>
      <c r="GZ70" s="62">
        <f ca="1">AVERAGE(OFFSET($GY$3,0,0,'Données projet'!$E$18+1,1))-AVERAGE(OFFSET($H$3,0,0,'Données projet'!$E$18+1,1))</f>
        <v>363.53487081291541</v>
      </c>
      <c r="HA70" s="62">
        <f t="shared" si="106"/>
        <v>308.1559670593121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529.25712986118265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814.3629717585161</v>
      </c>
      <c r="AN71" s="62">
        <f ca="1">AVERAGE(OFFSET($AM$3,0,0,'Données projet'!$E$10+1,1))-AVERAGE(OFFSET($H$3,0,0,'Données projet'!$E$10+1,1))</f>
        <v>495.77338291316386</v>
      </c>
      <c r="AO71" s="62">
        <f t="shared" si="90"/>
        <v>261.95434270986397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>
        <f>VLOOKUP(A71,'Données projet'!$A$87:$I$107,2,0)</f>
        <v>377.65384615384613</v>
      </c>
      <c r="BB71" s="13">
        <f>VLOOKUP(A71,'Données projet'!$A$87:$I$107,9,0)</f>
        <v>7.9553846153846166</v>
      </c>
      <c r="BC71" s="13">
        <f t="array" ref="BC71">INDEX(BB:BB,MIN(IF(ISNUMBER(BB71:BB267),ROW(BB71:BB267),"")))</f>
        <v>7.9553846153846166</v>
      </c>
      <c r="BD71" s="13">
        <f>IF('Données projet'!$A$88&gt;35,BD70+BC71-BL70,IF(A71&lt;'Données projet'!$A$88,$BA$205^A71,IF(A71='Données projet'!$A$88,'Données projet'!$B$88,BD70+BC71-BL70)))</f>
        <v>377.65384615384636</v>
      </c>
      <c r="BE71" s="14">
        <f>BD71*VLOOKUP('Données projet'!$B$11,Paramètres!$A$1:$I$89,3,0)*VLOOKUP('Données projet'!$B$11,Paramètres!$A$1:$I$89,5,0)</f>
        <v>216.01800000000011</v>
      </c>
      <c r="BF71" s="14">
        <f t="shared" si="91"/>
        <v>53.248499793208481</v>
      </c>
      <c r="BG71" s="22">
        <f t="shared" si="61"/>
        <v>468.97248713983828</v>
      </c>
      <c r="BH71" s="62">
        <f t="shared" si="62"/>
        <v>762.30582047317159</v>
      </c>
      <c r="BI71" s="62">
        <f ca="1">AVERAGE(OFFSET($BH$3,0,0,'Données projet'!$E$11+1,1))-AVERAGE(OFFSET($H$3,0,0,'Données projet'!$E$11+1,1))</f>
        <v>320.67081032419122</v>
      </c>
      <c r="BJ71" s="62">
        <f t="shared" si="92"/>
        <v>290.51177680335746</v>
      </c>
      <c r="BK71" s="16">
        <f>IF(ISNA(VLOOKUP(A71,'Données projet'!$A$87:$I$107,3,0)),0,VLOOKUP(A71,'Données projet'!$A$87:$I$107,3,0))</f>
        <v>8</v>
      </c>
      <c r="BL71" s="16">
        <f>IF(ISNA(VLOOKUP(A71,'Données projet'!$A$87:$I$107,4,0)),0,VLOOKUP(A71,'Données projet'!$A$87:$I$107,4,0))</f>
        <v>46.069230769230771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0.84036609922580752</v>
      </c>
      <c r="BR71" s="23">
        <f>EXP(-LN(2)/2)*BR70+(1-EXP(-LN(2)/2))/(LN(2)/2)*BL71*BO71*VLOOKUP('Données projet'!$B$11,Paramètres!$A$1:$I$89,3,0)*0.475*44/12</f>
        <v>2.0545408883143764E-5</v>
      </c>
      <c r="BS71" s="24">
        <f t="shared" si="63"/>
        <v>0.8403866446346907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2">
        <f t="shared" si="65"/>
        <v>917.87728819466042</v>
      </c>
      <c r="CD71" s="62">
        <f ca="1">AVERAGE(OFFSET($CC$3,0,0,'Données projet'!$E$12+1,1))-AVERAGE(OFFSET($H$3,0,0,'Données projet'!$E$12+1,1))</f>
        <v>587.74247372331615</v>
      </c>
      <c r="CE71" s="62">
        <f t="shared" si="94"/>
        <v>306.61893266146666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4.7435897435897401</v>
      </c>
      <c r="CT71" s="13">
        <f>IF('Données projet'!$A$140&gt;35,CT70+CS71-DB70,IF(A71&lt;'Données projet'!$A$140,$CQ$205^A71,IF(A71='Données projet'!$A$140,'Données projet'!$B$140,CT70+CS71-DB70)))</f>
        <v>214.23076923076917</v>
      </c>
      <c r="CU71" s="18">
        <f>CT71*VLOOKUP('Données projet'!$B$13,Paramètres!$A$1:$I$89,3,0)*VLOOKUP('Données projet'!$B$13,Paramètres!$A$1:$I$89,5,0)</f>
        <v>203.86199999999994</v>
      </c>
      <c r="CV71" s="14">
        <f t="shared" si="95"/>
        <v>50.591971357727658</v>
      </c>
      <c r="CW71" s="22">
        <f t="shared" si="67"/>
        <v>443.17400011470886</v>
      </c>
      <c r="CX71" s="62">
        <f t="shared" si="68"/>
        <v>736.50733344804212</v>
      </c>
      <c r="CY71" s="62">
        <f ca="1">AVERAGE(OFFSET($CX$3,0,0,'Données projet'!$E$13+1,1))-AVERAGE(OFFSET($H$3,0,0,'Données projet'!$E$13+1,1))</f>
        <v>406.24139966722936</v>
      </c>
      <c r="CZ71" s="62">
        <f t="shared" si="96"/>
        <v>295.95724296920577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>
        <f>VLOOKUP(A71,'Données projet'!$A$165:$I$185,2,0)</f>
        <v>440.55384615384617</v>
      </c>
      <c r="DM71" s="13">
        <f>VLOOKUP(A71,'Données projet'!$A$165:$I$185,9,0)</f>
        <v>10.023076923076928</v>
      </c>
      <c r="DN71" s="13">
        <f t="array" ref="DN71">INDEX(DM:DM,MIN(IF(ISNUMBER(DM71:DM267),ROW(DM71:DM267),"")))</f>
        <v>10.023076923076928</v>
      </c>
      <c r="DO71" s="13">
        <f>IF('Données projet'!$A$166&gt;35,DO70+DN71-DW70,IF(A71&lt;'Données projet'!$A$166,$DL$205^A71,IF(A71='Données projet'!$A$166,'Données projet'!$B$166,DO70+DN71-DW70)))</f>
        <v>440.55384615384639</v>
      </c>
      <c r="DP71" s="18">
        <f>DO71*VLOOKUP('Données projet'!$B$14,Paramètres!$A$1:$I$89,3,0)*VLOOKUP('Données projet'!$B$14,Paramètres!$A$1:$I$89,5,0)</f>
        <v>263.45120000000014</v>
      </c>
      <c r="DQ71" s="14">
        <f t="shared" si="97"/>
        <v>63.457468795375583</v>
      </c>
      <c r="DR71" s="22">
        <f t="shared" si="70"/>
        <v>569.36593148527936</v>
      </c>
      <c r="DS71" s="62">
        <f t="shared" si="71"/>
        <v>862.69926481861262</v>
      </c>
      <c r="DT71" s="62">
        <f ca="1">AVERAGE(OFFSET($DS$3,0,0,'Données projet'!$E$14+1,1))-AVERAGE(OFFSET($H$3,0,0,'Données projet'!$E$14+1,1))</f>
        <v>356.42779334565381</v>
      </c>
      <c r="DU71" s="62">
        <f t="shared" si="98"/>
        <v>320.06572891923685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1.3853700362133561</v>
      </c>
      <c r="EC71" s="23">
        <f>EXP(-LN(2)/2)*EC70+(1-EXP(-LN(2)/2))/(LN(2)/2)*DW71*DZ71*VLOOKUP('Données projet'!$B$14,Paramètres!$A$1:$I$89,3,0)*0.475*44/12</f>
        <v>3.2387891747055118E-5</v>
      </c>
      <c r="ED71" s="24">
        <f t="shared" si="72"/>
        <v>1.3854024241051031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4.5</v>
      </c>
      <c r="FE71" s="13">
        <f>IF('Données projet'!$A$218&gt;35,FE70+FD71-FM70,IF(A71&lt;'Données projet'!$A$218,$FB$205^A71,IF(A71='Données projet'!$A$218,'Données projet'!$B$218,FE70+FD71-FM70)))</f>
        <v>319.49999999999989</v>
      </c>
      <c r="FF71" s="18">
        <f>FE71*VLOOKUP('Données projet'!$B$16,Paramètres!$A$1:$I$89,3,0)*VLOOKUP('Données projet'!$B$16,Paramètres!$A$1:$I$89,5,0)</f>
        <v>254.19419999999991</v>
      </c>
      <c r="FG71" s="14">
        <f t="shared" si="101"/>
        <v>61.483194145885243</v>
      </c>
      <c r="FH71" s="22">
        <f t="shared" si="76"/>
        <v>549.80479480408326</v>
      </c>
      <c r="FI71" s="62">
        <f t="shared" si="77"/>
        <v>843.13812813741652</v>
      </c>
      <c r="FJ71" s="62">
        <f ca="1">AVERAGE(OFFSET($FI$3,0,0,'Données projet'!$E$16+1,1))-AVERAGE(OFFSET($H$3,0,0,'Données projet'!$E$16+1,1))</f>
        <v>370.59298168107364</v>
      </c>
      <c r="FK71" s="62">
        <f t="shared" si="102"/>
        <v>404.61777090709171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8.1999999999999993</v>
      </c>
      <c r="FZ71" s="13">
        <f>IF('Données projet'!$A$244&gt;35,FZ70+FY71-GH70,IF(A71&lt;'Données projet'!$A$244,$FW$205^A71,IF(A71='Données projet'!$A$244,'Données projet'!$B$244,FZ70+FY71-GH70)))</f>
        <v>285.59999999999997</v>
      </c>
      <c r="GA71" s="18">
        <f>FZ71*VLOOKUP('Données projet'!$B$17,Paramètres!$A$1:$I$89,3,0)*VLOOKUP('Données projet'!$B$17,Paramètres!$A$1:$I$89,5,0)</f>
        <v>276.23231999999996</v>
      </c>
      <c r="GB71" s="14">
        <f t="shared" si="103"/>
        <v>66.170163093943458</v>
      </c>
      <c r="GC71" s="22">
        <f t="shared" si="79"/>
        <v>596.35099138861813</v>
      </c>
      <c r="GD71" s="62">
        <f t="shared" si="80"/>
        <v>889.6843247219515</v>
      </c>
      <c r="GE71" s="62">
        <f ca="1">AVERAGE(OFFSET($GD$3,0,0,'Données projet'!$E$17+1,1))-AVERAGE(OFFSET($H$3,0,0,'Données projet'!$E$17+1,1))</f>
        <v>562.69380557620775</v>
      </c>
      <c r="GF71" s="62">
        <f t="shared" si="104"/>
        <v>294.45557293177131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5.2564102564102537</v>
      </c>
      <c r="GU71" s="13">
        <f>IF('Données projet'!$A$270&gt;35,GU70+GT71-HC70,IF(A71&lt;'Données projet'!$A$270,$GR$205^A71,IF(A71='Données projet'!$A$270,'Données projet'!$B$270,GU70+GT71-HC70)))</f>
        <v>298.46153846153845</v>
      </c>
      <c r="GV71" s="18">
        <f>GU71*VLOOKUP('Données projet'!$B$18,Paramètres!$A$1:$I$89,3,0)*VLOOKUP('Données projet'!$B$18,Paramètres!$A$1:$I$89,5,0)</f>
        <v>200.208</v>
      </c>
      <c r="GW71" s="14">
        <f t="shared" si="105"/>
        <v>49.789877064057393</v>
      </c>
      <c r="GX71" s="22">
        <f t="shared" si="82"/>
        <v>435.41296921989988</v>
      </c>
      <c r="GY71" s="62">
        <f t="shared" si="83"/>
        <v>728.74630255323314</v>
      </c>
      <c r="GZ71" s="62">
        <f ca="1">AVERAGE(OFFSET($GY$3,0,0,'Données projet'!$E$18+1,1))-AVERAGE(OFFSET($H$3,0,0,'Données projet'!$E$18+1,1))</f>
        <v>363.53487081291541</v>
      </c>
      <c r="HA71" s="62">
        <f t="shared" si="106"/>
        <v>308.1559670593121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529.25712986118265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828.97733169212052</v>
      </c>
      <c r="AN72" s="62">
        <f ca="1">AVERAGE(OFFSET($AM$3,0,0,'Données projet'!$E$10+1,1))-AVERAGE(OFFSET($H$3,0,0,'Données projet'!$E$10+1,1))</f>
        <v>495.77338291316386</v>
      </c>
      <c r="AO72" s="62">
        <f t="shared" si="90"/>
        <v>261.95434270986397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6.9707692307692355</v>
      </c>
      <c r="BD72" s="13">
        <f>IF('Données projet'!$A$88&gt;35,BD71+BC72-BL71,IF(A72&lt;'Données projet'!$A$88,$BA$205^A72,IF(A72='Données projet'!$A$88,'Données projet'!$B$88,BD71+BC72-BL71)))</f>
        <v>338.55538461538481</v>
      </c>
      <c r="BE72" s="14">
        <f>BD72*VLOOKUP('Données projet'!$B$11,Paramètres!$A$1:$I$89,3,0)*VLOOKUP('Données projet'!$B$11,Paramètres!$A$1:$I$89,5,0)</f>
        <v>193.65368000000009</v>
      </c>
      <c r="BF72" s="14">
        <f t="shared" si="91"/>
        <v>48.346831980387435</v>
      </c>
      <c r="BG72" s="22">
        <f t="shared" si="61"/>
        <v>421.48422503250828</v>
      </c>
      <c r="BH72" s="62">
        <f t="shared" si="62"/>
        <v>714.81755836584159</v>
      </c>
      <c r="BI72" s="62">
        <f ca="1">AVERAGE(OFFSET($BH$3,0,0,'Données projet'!$E$11+1,1))-AVERAGE(OFFSET($H$3,0,0,'Données projet'!$E$11+1,1))</f>
        <v>320.67081032419122</v>
      </c>
      <c r="BJ72" s="62">
        <f t="shared" si="92"/>
        <v>290.51177680335746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0.8173862440495453</v>
      </c>
      <c r="BR72" s="23">
        <f>EXP(-LN(2)/2)*BR71+(1-EXP(-LN(2)/2))/(LN(2)/2)*BL72*BO72*VLOOKUP('Données projet'!$B$11,Paramètres!$A$1:$I$89,3,0)*0.475*44/12</f>
        <v>1.4527797943521288E-5</v>
      </c>
      <c r="BS72" s="24">
        <f t="shared" si="63"/>
        <v>0.81740077184748883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2">
        <f t="shared" si="65"/>
        <v>935.40225505936314</v>
      </c>
      <c r="CD72" s="62">
        <f ca="1">AVERAGE(OFFSET($CC$3,0,0,'Données projet'!$E$12+1,1))-AVERAGE(OFFSET($H$3,0,0,'Données projet'!$E$12+1,1))</f>
        <v>587.74247372331615</v>
      </c>
      <c r="CE72" s="62">
        <f t="shared" si="94"/>
        <v>306.61893266146666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4.7435897435897401</v>
      </c>
      <c r="CT72" s="13">
        <f>IF('Données projet'!$A$140&gt;35,CT71+CS72-DB71,IF(A72&lt;'Données projet'!$A$140,$CQ$205^A72,IF(A72='Données projet'!$A$140,'Données projet'!$B$140,CT71+CS72-DB71)))</f>
        <v>218.97435897435892</v>
      </c>
      <c r="CU72" s="18">
        <f>CT72*VLOOKUP('Données projet'!$B$13,Paramètres!$A$1:$I$89,3,0)*VLOOKUP('Données projet'!$B$13,Paramètres!$A$1:$I$89,5,0)</f>
        <v>208.37599999999995</v>
      </c>
      <c r="CV72" s="14">
        <f t="shared" si="95"/>
        <v>51.580540650922785</v>
      </c>
      <c r="CW72" s="22">
        <f t="shared" si="67"/>
        <v>452.75764163369041</v>
      </c>
      <c r="CX72" s="62">
        <f t="shared" si="68"/>
        <v>746.09097496702373</v>
      </c>
      <c r="CY72" s="62">
        <f ca="1">AVERAGE(OFFSET($CX$3,0,0,'Données projet'!$E$13+1,1))-AVERAGE(OFFSET($H$3,0,0,'Données projet'!$E$13+1,1))</f>
        <v>406.24139966722936</v>
      </c>
      <c r="CZ72" s="62">
        <f t="shared" si="96"/>
        <v>295.95724296920577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9.9586538461538368</v>
      </c>
      <c r="DO72" s="13">
        <f>IF('Données projet'!$A$166&gt;35,DO71+DN72-DW71,IF(A72&lt;'Données projet'!$A$166,$DL$205^A72,IF(A72='Données projet'!$A$166,'Données projet'!$B$166,DO71+DN72-DW71)))</f>
        <v>450.51250000000022</v>
      </c>
      <c r="DP72" s="18">
        <f>DO72*VLOOKUP('Données projet'!$B$14,Paramètres!$A$1:$I$89,3,0)*VLOOKUP('Données projet'!$B$14,Paramètres!$A$1:$I$89,5,0)</f>
        <v>269.40647500000017</v>
      </c>
      <c r="DQ72" s="14">
        <f t="shared" si="97"/>
        <v>64.72329217492728</v>
      </c>
      <c r="DR72" s="22">
        <f t="shared" si="70"/>
        <v>581.94267782966529</v>
      </c>
      <c r="DS72" s="62">
        <f t="shared" si="71"/>
        <v>875.27601116299866</v>
      </c>
      <c r="DT72" s="62">
        <f ca="1">AVERAGE(OFFSET($DS$3,0,0,'Données projet'!$E$14+1,1))-AVERAGE(OFFSET($H$3,0,0,'Données projet'!$E$14+1,1))</f>
        <v>356.42779334565381</v>
      </c>
      <c r="DU72" s="62">
        <f t="shared" si="98"/>
        <v>320.06572891923685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1.347487019719658</v>
      </c>
      <c r="EC72" s="23">
        <f>EXP(-LN(2)/2)*EC71+(1-EXP(-LN(2)/2))/(LN(2)/2)*DW72*DZ72*VLOOKUP('Données projet'!$B$14,Paramètres!$A$1:$I$89,3,0)*0.475*44/12</f>
        <v>2.2901697882678492E-5</v>
      </c>
      <c r="ED72" s="24">
        <f t="shared" si="72"/>
        <v>1.3475099214175408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4.5</v>
      </c>
      <c r="FE72" s="13">
        <f>IF('Données projet'!$A$218&gt;35,FE71+FD72-FM71,IF(A72&lt;'Données projet'!$A$218,$FB$205^A72,IF(A72='Données projet'!$A$218,'Données projet'!$B$218,FE71+FD72-FM71)))</f>
        <v>323.99999999999989</v>
      </c>
      <c r="FF72" s="18">
        <f>FE72*VLOOKUP('Données projet'!$B$16,Paramètres!$A$1:$I$89,3,0)*VLOOKUP('Données projet'!$B$16,Paramètres!$A$1:$I$89,5,0)</f>
        <v>257.77439999999996</v>
      </c>
      <c r="FG72" s="14">
        <f t="shared" si="101"/>
        <v>62.247732872134293</v>
      </c>
      <c r="FH72" s="22">
        <f t="shared" si="76"/>
        <v>557.37188141896718</v>
      </c>
      <c r="FI72" s="62">
        <f t="shared" si="77"/>
        <v>850.70521475230044</v>
      </c>
      <c r="FJ72" s="62">
        <f ca="1">AVERAGE(OFFSET($FI$3,0,0,'Données projet'!$E$16+1,1))-AVERAGE(OFFSET($H$3,0,0,'Données projet'!$E$16+1,1))</f>
        <v>370.59298168107364</v>
      </c>
      <c r="FK72" s="62">
        <f t="shared" si="102"/>
        <v>404.61777090709171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8.1999999999999993</v>
      </c>
      <c r="FZ72" s="13">
        <f>IF('Données projet'!$A$244&gt;35,FZ71+FY72-GH71,IF(A72&lt;'Données projet'!$A$244,$FW$205^A72,IF(A72='Données projet'!$A$244,'Données projet'!$B$244,FZ71+FY72-GH71)))</f>
        <v>293.79999999999995</v>
      </c>
      <c r="GA72" s="18">
        <f>FZ72*VLOOKUP('Données projet'!$B$17,Paramètres!$A$1:$I$89,3,0)*VLOOKUP('Données projet'!$B$17,Paramètres!$A$1:$I$89,5,0)</f>
        <v>284.16335999999995</v>
      </c>
      <c r="GB72" s="14">
        <f t="shared" si="103"/>
        <v>67.846089314219739</v>
      </c>
      <c r="GC72" s="22">
        <f t="shared" si="79"/>
        <v>613.08312422226595</v>
      </c>
      <c r="GD72" s="62">
        <f t="shared" si="80"/>
        <v>906.41645755559921</v>
      </c>
      <c r="GE72" s="62">
        <f ca="1">AVERAGE(OFFSET($GD$3,0,0,'Données projet'!$E$17+1,1))-AVERAGE(OFFSET($H$3,0,0,'Données projet'!$E$17+1,1))</f>
        <v>562.69380557620775</v>
      </c>
      <c r="GF72" s="62">
        <f t="shared" si="104"/>
        <v>294.45557293177131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5.2564102564102537</v>
      </c>
      <c r="GU72" s="13">
        <f>IF('Données projet'!$A$270&gt;35,GU71+GT72-HC71,IF(A72&lt;'Données projet'!$A$270,$GR$205^A72,IF(A72='Données projet'!$A$270,'Données projet'!$B$270,GU71+GT72-HC71)))</f>
        <v>303.71794871794873</v>
      </c>
      <c r="GV72" s="18">
        <f>GU72*VLOOKUP('Données projet'!$B$18,Paramètres!$A$1:$I$89,3,0)*VLOOKUP('Données projet'!$B$18,Paramètres!$A$1:$I$89,5,0)</f>
        <v>203.73400000000004</v>
      </c>
      <c r="GW72" s="14">
        <f t="shared" si="105"/>
        <v>50.563902362141633</v>
      </c>
      <c r="GX72" s="22">
        <f t="shared" si="82"/>
        <v>442.90217994739669</v>
      </c>
      <c r="GY72" s="62">
        <f t="shared" si="83"/>
        <v>736.23551328072995</v>
      </c>
      <c r="GZ72" s="62">
        <f ca="1">AVERAGE(OFFSET($GY$3,0,0,'Données projet'!$E$18+1,1))-AVERAGE(OFFSET($H$3,0,0,'Données projet'!$E$18+1,1))</f>
        <v>363.53487081291541</v>
      </c>
      <c r="HA72" s="62">
        <f t="shared" si="106"/>
        <v>308.1559670593121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529.25712986118265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843.58331102545822</v>
      </c>
      <c r="AN73" s="62">
        <f ca="1">AVERAGE(OFFSET($AM$3,0,0,'Données projet'!$E$10+1,1))-AVERAGE(OFFSET($H$3,0,0,'Données projet'!$E$10+1,1))</f>
        <v>495.77338291316386</v>
      </c>
      <c r="AO73" s="62">
        <f t="shared" si="90"/>
        <v>261.95434270986397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6.9707692307692355</v>
      </c>
      <c r="BD73" s="13">
        <f>IF('Données projet'!$A$88&gt;35,BD72+BC73-BL72,IF(A73&lt;'Données projet'!$A$88,$BA$205^A73,IF(A73='Données projet'!$A$88,'Données projet'!$B$88,BD72+BC73-BL72)))</f>
        <v>345.52615384615405</v>
      </c>
      <c r="BE73" s="14">
        <f>BD73*VLOOKUP('Données projet'!$B$11,Paramètres!$A$1:$I$89,3,0)*VLOOKUP('Données projet'!$B$11,Paramètres!$A$1:$I$89,5,0)</f>
        <v>197.64096000000012</v>
      </c>
      <c r="BF73" s="14">
        <f t="shared" si="91"/>
        <v>49.225364659543359</v>
      </c>
      <c r="BG73" s="22">
        <f t="shared" si="61"/>
        <v>429.95884878203816</v>
      </c>
      <c r="BH73" s="62">
        <f t="shared" si="62"/>
        <v>723.29218211537147</v>
      </c>
      <c r="BI73" s="62">
        <f ca="1">AVERAGE(OFFSET($BH$3,0,0,'Données projet'!$E$11+1,1))-AVERAGE(OFFSET($H$3,0,0,'Données projet'!$E$11+1,1))</f>
        <v>320.67081032419122</v>
      </c>
      <c r="BJ73" s="62">
        <f t="shared" si="92"/>
        <v>290.51177680335746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0.79503477422153612</v>
      </c>
      <c r="BR73" s="23">
        <f>EXP(-LN(2)/2)*BR72+(1-EXP(-LN(2)/2))/(LN(2)/2)*BL73*BO73*VLOOKUP('Données projet'!$B$11,Paramètres!$A$1:$I$89,3,0)*0.475*44/12</f>
        <v>1.0272704441571882E-5</v>
      </c>
      <c r="BS73" s="24">
        <f t="shared" si="63"/>
        <v>0.79504504692597766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2">
        <f t="shared" si="65"/>
        <v>952.91734953545892</v>
      </c>
      <c r="CD73" s="62">
        <f ca="1">AVERAGE(OFFSET($CC$3,0,0,'Données projet'!$E$12+1,1))-AVERAGE(OFFSET($H$3,0,0,'Données projet'!$E$12+1,1))</f>
        <v>587.74247372331615</v>
      </c>
      <c r="CE73" s="62">
        <f t="shared" si="94"/>
        <v>306.61893266146666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223.7179487179487</v>
      </c>
      <c r="CR73" s="13">
        <f>VLOOKUP(A73,'Données projet'!$A$139:$I$159,9,0)</f>
        <v>4.7435897435897401</v>
      </c>
      <c r="CS73" s="13">
        <f t="array" ref="CS73">INDEX(CR:CR,MIN(IF(ISNUMBER(CR73:CR269),ROW(CR73:CR269),"")))</f>
        <v>4.7435897435897401</v>
      </c>
      <c r="CT73" s="13">
        <f>IF('Données projet'!$A$140&gt;35,CT72+CS73-DB72,IF(A73&lt;'Données projet'!$A$140,$CQ$205^A73,IF(A73='Données projet'!$A$140,'Données projet'!$B$140,CT72+CS73-DB72)))</f>
        <v>223.71794871794867</v>
      </c>
      <c r="CU73" s="18">
        <f>CT73*VLOOKUP('Données projet'!$B$13,Paramètres!$A$1:$I$89,3,0)*VLOOKUP('Données projet'!$B$13,Paramètres!$A$1:$I$89,5,0)</f>
        <v>212.89</v>
      </c>
      <c r="CV73" s="14">
        <f t="shared" si="95"/>
        <v>52.566620155786865</v>
      </c>
      <c r="CW73" s="22">
        <f t="shared" si="67"/>
        <v>462.33694677132871</v>
      </c>
      <c r="CX73" s="62">
        <f t="shared" si="68"/>
        <v>755.67028010466197</v>
      </c>
      <c r="CY73" s="62">
        <f ca="1">AVERAGE(OFFSET($CX$3,0,0,'Données projet'!$E$13+1,1))-AVERAGE(OFFSET($H$3,0,0,'Données projet'!$E$13+1,1))</f>
        <v>406.24139966722936</v>
      </c>
      <c r="CZ73" s="62">
        <f t="shared" si="96"/>
        <v>295.95724296920577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9.9586538461538368</v>
      </c>
      <c r="DO73" s="13">
        <f>IF('Données projet'!$A$166&gt;35,DO72+DN73-DW72,IF(A73&lt;'Données projet'!$A$166,$DL$205^A73,IF(A73='Données projet'!$A$166,'Données projet'!$B$166,DO72+DN73-DW72)))</f>
        <v>460.47115384615404</v>
      </c>
      <c r="DP73" s="18">
        <f>DO73*VLOOKUP('Données projet'!$B$14,Paramètres!$A$1:$I$89,3,0)*VLOOKUP('Données projet'!$B$14,Paramètres!$A$1:$I$89,5,0)</f>
        <v>275.36175000000014</v>
      </c>
      <c r="DQ73" s="14">
        <f t="shared" si="97"/>
        <v>65.985862445138054</v>
      </c>
      <c r="DR73" s="22">
        <f t="shared" si="70"/>
        <v>594.51375834194903</v>
      </c>
      <c r="DS73" s="62">
        <f t="shared" si="71"/>
        <v>887.8470916752824</v>
      </c>
      <c r="DT73" s="62">
        <f ca="1">AVERAGE(OFFSET($DS$3,0,0,'Données projet'!$E$14+1,1))-AVERAGE(OFFSET($H$3,0,0,'Données projet'!$E$14+1,1))</f>
        <v>356.42779334565381</v>
      </c>
      <c r="DU73" s="62">
        <f t="shared" si="98"/>
        <v>320.06572891923685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1.3106399163041613</v>
      </c>
      <c r="EC73" s="23">
        <f>EXP(-LN(2)/2)*EC72+(1-EXP(-LN(2)/2))/(LN(2)/2)*DW73*DZ73*VLOOKUP('Données projet'!$B$14,Paramètres!$A$1:$I$89,3,0)*0.475*44/12</f>
        <v>1.6193945873527559E-5</v>
      </c>
      <c r="ED73" s="24">
        <f t="shared" si="72"/>
        <v>1.3106561102500349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328.5</v>
      </c>
      <c r="FC73" s="13">
        <f>VLOOKUP(A73,'Données projet'!$A$217:$I$237,9,0)</f>
        <v>4.5</v>
      </c>
      <c r="FD73" s="13">
        <f t="array" ref="FD73">INDEX(FC:FC,MIN(IF(ISNUMBER(FC73:FC269),ROW(FC73:FC269),"")))</f>
        <v>4.5</v>
      </c>
      <c r="FE73" s="13">
        <f>IF('Données projet'!$A$218&gt;35,FE72+FD73-FM72,IF(A73&lt;'Données projet'!$A$218,$FB$205^A73,IF(A73='Données projet'!$A$218,'Données projet'!$B$218,FE72+FD73-FM72)))</f>
        <v>328.49999999999989</v>
      </c>
      <c r="FF73" s="18">
        <f>FE73*VLOOKUP('Données projet'!$B$16,Paramètres!$A$1:$I$89,3,0)*VLOOKUP('Données projet'!$B$16,Paramètres!$A$1:$I$89,5,0)</f>
        <v>261.35459999999989</v>
      </c>
      <c r="FG73" s="14">
        <f t="shared" si="101"/>
        <v>63.01103655068848</v>
      </c>
      <c r="FH73" s="22">
        <f t="shared" si="76"/>
        <v>564.93681699244883</v>
      </c>
      <c r="FI73" s="62">
        <f t="shared" si="77"/>
        <v>858.2701503257822</v>
      </c>
      <c r="FJ73" s="62">
        <f ca="1">AVERAGE(OFFSET($FI$3,0,0,'Données projet'!$E$16+1,1))-AVERAGE(OFFSET($H$3,0,0,'Données projet'!$E$16+1,1))</f>
        <v>370.59298168107364</v>
      </c>
      <c r="FK73" s="62">
        <f t="shared" si="102"/>
        <v>404.61777090709171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25.9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302</v>
      </c>
      <c r="FX73" s="13">
        <f>VLOOKUP(A73,'Données projet'!$A$243:$I$263,9,0)</f>
        <v>8.1999999999999993</v>
      </c>
      <c r="FY73" s="13">
        <f t="array" ref="FY73">INDEX(FX:FX,MIN(IF(ISNUMBER(FX73:FX269),ROW(FX73:FX269),"")))</f>
        <v>8.1999999999999993</v>
      </c>
      <c r="FZ73" s="13">
        <f>IF('Données projet'!$A$244&gt;35,FZ72+FY73-GH72,IF(A73&lt;'Données projet'!$A$244,$FW$205^A73,IF(A73='Données projet'!$A$244,'Données projet'!$B$244,FZ72+FY73-GH72)))</f>
        <v>301.99999999999994</v>
      </c>
      <c r="GA73" s="18">
        <f>FZ73*VLOOKUP('Données projet'!$B$17,Paramètres!$A$1:$I$89,3,0)*VLOOKUP('Données projet'!$B$17,Paramètres!$A$1:$I$89,5,0)</f>
        <v>292.09439999999995</v>
      </c>
      <c r="GB73" s="14">
        <f t="shared" si="103"/>
        <v>69.516578973599849</v>
      </c>
      <c r="GC73" s="22">
        <f t="shared" si="79"/>
        <v>629.80578837901965</v>
      </c>
      <c r="GD73" s="62">
        <f t="shared" si="80"/>
        <v>923.13912171235302</v>
      </c>
      <c r="GE73" s="62">
        <f ca="1">AVERAGE(OFFSET($GD$3,0,0,'Données projet'!$E$17+1,1))-AVERAGE(OFFSET($H$3,0,0,'Données projet'!$E$17+1,1))</f>
        <v>562.69380557620775</v>
      </c>
      <c r="GF73" s="62">
        <f t="shared" si="104"/>
        <v>294.45557293177131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308.97435897435895</v>
      </c>
      <c r="GS73" s="13">
        <f>VLOOKUP(A73,'Données projet'!$A$269:$I$289,9,0)</f>
        <v>5.2564102564102537</v>
      </c>
      <c r="GT73" s="13">
        <f t="array" ref="GT73">INDEX(GS:GS,MIN(IF(ISNUMBER(GS73:GS269),ROW(GS73:GS269),"")))</f>
        <v>5.2564102564102537</v>
      </c>
      <c r="GU73" s="13">
        <f>IF('Données projet'!$A$270&gt;35,GU72+GT73-HC72,IF(A73&lt;'Données projet'!$A$270,$GR$205^A73,IF(A73='Données projet'!$A$270,'Données projet'!$B$270,GU72+GT73-HC72)))</f>
        <v>308.97435897435901</v>
      </c>
      <c r="GV73" s="18">
        <f>GU73*VLOOKUP('Données projet'!$B$18,Paramètres!$A$1:$I$89,3,0)*VLOOKUP('Données projet'!$B$18,Paramètres!$A$1:$I$89,5,0)</f>
        <v>207.26000000000002</v>
      </c>
      <c r="GW73" s="14">
        <f t="shared" si="105"/>
        <v>51.336369857430014</v>
      </c>
      <c r="GX73" s="22">
        <f t="shared" si="82"/>
        <v>450.38867750169061</v>
      </c>
      <c r="GY73" s="62">
        <f t="shared" si="83"/>
        <v>743.72201083502387</v>
      </c>
      <c r="GZ73" s="62">
        <f ca="1">AVERAGE(OFFSET($GY$3,0,0,'Données projet'!$E$18+1,1))-AVERAGE(OFFSET($H$3,0,0,'Données projet'!$E$18+1,1))</f>
        <v>363.53487081291541</v>
      </c>
      <c r="HA73" s="62">
        <f t="shared" si="106"/>
        <v>308.1559670593121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31.410256410256409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529.25712986118265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260.80704000000003</v>
      </c>
      <c r="AK74" s="14">
        <f t="shared" si="89"/>
        <v>62.89437522937974</v>
      </c>
      <c r="AL74" s="22">
        <f t="shared" si="58"/>
        <v>563.77996485783649</v>
      </c>
      <c r="AM74" s="62">
        <f t="shared" si="59"/>
        <v>857.11329819116986</v>
      </c>
      <c r="AN74" s="62">
        <f ca="1">AVERAGE(OFFSET($AM$3,0,0,'Données projet'!$E$10+1,1))-AVERAGE(OFFSET($H$3,0,0,'Données projet'!$E$10+1,1))</f>
        <v>495.77338291316386</v>
      </c>
      <c r="AO74" s="62">
        <f t="shared" si="90"/>
        <v>261.95434270986397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6.9707692307692355</v>
      </c>
      <c r="BD74" s="13">
        <f>IF('Données projet'!$A$88&gt;35,BD73+BC74-BL73,IF(A74&lt;'Données projet'!$A$88,$BA$205^A74,IF(A74='Données projet'!$A$88,'Données projet'!$B$88,BD73+BC74-BL73)))</f>
        <v>352.49692307692328</v>
      </c>
      <c r="BE74" s="14">
        <f>BD74*VLOOKUP('Données projet'!$B$11,Paramètres!$A$1:$I$89,3,0)*VLOOKUP('Données projet'!$B$11,Paramètres!$A$1:$I$89,5,0)</f>
        <v>201.62824000000012</v>
      </c>
      <c r="BF74" s="14">
        <f t="shared" si="91"/>
        <v>50.101836556963057</v>
      </c>
      <c r="BG74" s="22">
        <f t="shared" si="61"/>
        <v>438.42988333671087</v>
      </c>
      <c r="BH74" s="62">
        <f t="shared" si="62"/>
        <v>731.76321667004413</v>
      </c>
      <c r="BI74" s="62">
        <f ca="1">AVERAGE(OFFSET($BH$3,0,0,'Données projet'!$E$11+1,1))-AVERAGE(OFFSET($H$3,0,0,'Données projet'!$E$11+1,1))</f>
        <v>320.67081032419122</v>
      </c>
      <c r="BJ74" s="62">
        <f t="shared" si="92"/>
        <v>290.51177680335746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0.77329450651138654</v>
      </c>
      <c r="BR74" s="23">
        <f>EXP(-LN(2)/2)*BR73+(1-EXP(-LN(2)/2))/(LN(2)/2)*BL74*BO74*VLOOKUP('Données projet'!$B$11,Paramètres!$A$1:$I$89,3,0)*0.475*44/12</f>
        <v>7.2638989717606438E-6</v>
      </c>
      <c r="BS74" s="24">
        <f t="shared" si="63"/>
        <v>0.7733017704103583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313.93439999999998</v>
      </c>
      <c r="CA74" s="14">
        <f t="shared" si="93"/>
        <v>74.089885412393457</v>
      </c>
      <c r="CB74" s="22">
        <f t="shared" si="64"/>
        <v>675.80896375991858</v>
      </c>
      <c r="CC74" s="62">
        <f t="shared" si="65"/>
        <v>969.14229709325195</v>
      </c>
      <c r="CD74" s="62">
        <f ca="1">AVERAGE(OFFSET($CC$3,0,0,'Données projet'!$E$12+1,1))-AVERAGE(OFFSET($H$3,0,0,'Données projet'!$E$12+1,1))</f>
        <v>587.74247372331615</v>
      </c>
      <c r="CE74" s="62">
        <f t="shared" si="94"/>
        <v>306.61893266146666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4.4871794871794863</v>
      </c>
      <c r="CT74" s="13">
        <f>IF('Données projet'!$A$140&gt;35,CT73+CS74-DB73,IF(A74&lt;'Données projet'!$A$140,$CQ$205^A74,IF(A74='Données projet'!$A$140,'Données projet'!$B$140,CT73+CS74-DB73)))</f>
        <v>228.20512820512815</v>
      </c>
      <c r="CU74" s="18">
        <f>CT74*VLOOKUP('Données projet'!$B$13,Paramètres!$A$1:$I$89,3,0)*VLOOKUP('Données projet'!$B$13,Paramètres!$A$1:$I$89,5,0)</f>
        <v>217.15999999999997</v>
      </c>
      <c r="CV74" s="14">
        <f t="shared" si="95"/>
        <v>53.497159756294458</v>
      </c>
      <c r="CW74" s="22">
        <f t="shared" si="67"/>
        <v>471.39455324221279</v>
      </c>
      <c r="CX74" s="62">
        <f t="shared" si="68"/>
        <v>764.72788657554611</v>
      </c>
      <c r="CY74" s="62">
        <f ca="1">AVERAGE(OFFSET($CX$3,0,0,'Données projet'!$E$13+1,1))-AVERAGE(OFFSET($H$3,0,0,'Données projet'!$E$13+1,1))</f>
        <v>406.24139966722936</v>
      </c>
      <c r="CZ74" s="62">
        <f t="shared" si="96"/>
        <v>295.95724296920577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9.9586538461538368</v>
      </c>
      <c r="DO74" s="13">
        <f>IF('Données projet'!$A$166&gt;35,DO73+DN74-DW73,IF(A74&lt;'Données projet'!$A$166,$DL$205^A74,IF(A74='Données projet'!$A$166,'Données projet'!$B$166,DO73+DN74-DW73)))</f>
        <v>470.42980769230786</v>
      </c>
      <c r="DP74" s="18">
        <f>DO74*VLOOKUP('Données projet'!$B$14,Paramètres!$A$1:$I$89,3,0)*VLOOKUP('Données projet'!$B$14,Paramètres!$A$1:$I$89,5,0)</f>
        <v>281.31702500000011</v>
      </c>
      <c r="DQ74" s="14">
        <f t="shared" si="97"/>
        <v>67.24525806424613</v>
      </c>
      <c r="DR74" s="22">
        <f t="shared" si="70"/>
        <v>607.07930967022878</v>
      </c>
      <c r="DS74" s="62">
        <f t="shared" si="71"/>
        <v>900.41264300356215</v>
      </c>
      <c r="DT74" s="62">
        <f ca="1">AVERAGE(OFFSET($DS$3,0,0,'Données projet'!$E$14+1,1))-AVERAGE(OFFSET($H$3,0,0,'Données projet'!$E$14+1,1))</f>
        <v>356.42779334565381</v>
      </c>
      <c r="DU74" s="62">
        <f t="shared" si="98"/>
        <v>320.06572891923685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1.2748003988692664</v>
      </c>
      <c r="EC74" s="23">
        <f>EXP(-LN(2)/2)*EC73+(1-EXP(-LN(2)/2))/(LN(2)/2)*DW74*DZ74*VLOOKUP('Données projet'!$B$14,Paramètres!$A$1:$I$89,3,0)*0.475*44/12</f>
        <v>1.1450848941339246E-5</v>
      </c>
      <c r="ED74" s="24">
        <f t="shared" si="72"/>
        <v>1.2748118497182077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4.1799999999999953</v>
      </c>
      <c r="FE74" s="13">
        <f>IF('Données projet'!$A$218&gt;35,FE73+FD74-FM73,IF(A74&lt;'Données projet'!$A$218,$FB$205^A74,IF(A74='Données projet'!$A$218,'Données projet'!$B$218,FE73+FD74-FM73)))</f>
        <v>306.77999999999992</v>
      </c>
      <c r="FF74" s="18">
        <f>FE74*VLOOKUP('Données projet'!$B$16,Paramètres!$A$1:$I$89,3,0)*VLOOKUP('Données projet'!$B$16,Paramètres!$A$1:$I$89,5,0)</f>
        <v>244.07416799999996</v>
      </c>
      <c r="FG74" s="14">
        <f t="shared" si="101"/>
        <v>59.315246950995579</v>
      </c>
      <c r="FH74" s="22">
        <f t="shared" si="76"/>
        <v>528.40323103965056</v>
      </c>
      <c r="FI74" s="62">
        <f t="shared" si="77"/>
        <v>821.73656437298382</v>
      </c>
      <c r="FJ74" s="62">
        <f ca="1">AVERAGE(OFFSET($FI$3,0,0,'Données projet'!$E$16+1,1))-AVERAGE(OFFSET($H$3,0,0,'Données projet'!$E$16+1,1))</f>
        <v>370.59298168107364</v>
      </c>
      <c r="FK74" s="62">
        <f t="shared" si="102"/>
        <v>404.61777090709171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7.6</v>
      </c>
      <c r="FZ74" s="13">
        <f>IF('Données projet'!$A$244&gt;35,FZ73+FY74-GH73,IF(A74&lt;'Données projet'!$A$244,$FW$205^A74,IF(A74='Données projet'!$A$244,'Données projet'!$B$244,FZ73+FY74-GH73)))</f>
        <v>309.59999999999997</v>
      </c>
      <c r="GA74" s="18">
        <f>FZ74*VLOOKUP('Données projet'!$B$17,Paramètres!$A$1:$I$89,3,0)*VLOOKUP('Données projet'!$B$17,Paramètres!$A$1:$I$89,5,0)</f>
        <v>299.44511999999997</v>
      </c>
      <c r="GB74" s="14">
        <f t="shared" si="103"/>
        <v>71.060126783970659</v>
      </c>
      <c r="GC74" s="22">
        <f t="shared" si="79"/>
        <v>645.2966381487488</v>
      </c>
      <c r="GD74" s="62">
        <f t="shared" si="80"/>
        <v>938.62997148208206</v>
      </c>
      <c r="GE74" s="62">
        <f ca="1">AVERAGE(OFFSET($GD$3,0,0,'Données projet'!$E$17+1,1))-AVERAGE(OFFSET($H$3,0,0,'Données projet'!$E$17+1,1))</f>
        <v>562.69380557620775</v>
      </c>
      <c r="GF74" s="62">
        <f t="shared" si="104"/>
        <v>294.45557293177131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5.1282051282051269</v>
      </c>
      <c r="GU74" s="13">
        <f>IF('Données projet'!$A$270&gt;35,GU73+GT74-HC73,IF(A74&lt;'Données projet'!$A$270,$GR$205^A74,IF(A74='Données projet'!$A$270,'Données projet'!$B$270,GU73+GT74-HC73)))</f>
        <v>282.69230769230774</v>
      </c>
      <c r="GV74" s="18">
        <f>GU74*VLOOKUP('Données projet'!$B$18,Paramètres!$A$1:$I$89,3,0)*VLOOKUP('Données projet'!$B$18,Paramètres!$A$1:$I$89,5,0)</f>
        <v>189.63000000000002</v>
      </c>
      <c r="GW74" s="14">
        <f t="shared" si="105"/>
        <v>47.458141826690017</v>
      </c>
      <c r="GX74" s="22">
        <f t="shared" si="82"/>
        <v>412.92851368148513</v>
      </c>
      <c r="GY74" s="62">
        <f t="shared" si="83"/>
        <v>706.26184701481839</v>
      </c>
      <c r="GZ74" s="62">
        <f ca="1">AVERAGE(OFFSET($GY$3,0,0,'Données projet'!$E$18+1,1))-AVERAGE(OFFSET($H$3,0,0,'Données projet'!$E$18+1,1))</f>
        <v>363.53487081291541</v>
      </c>
      <c r="HA74" s="62">
        <f t="shared" si="106"/>
        <v>308.1559670593121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529.25712986118265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267.20928000000004</v>
      </c>
      <c r="AK75" s="14">
        <f t="shared" si="89"/>
        <v>64.256650415058076</v>
      </c>
      <c r="AL75" s="22">
        <f t="shared" si="58"/>
        <v>577.3031621395595</v>
      </c>
      <c r="AM75" s="62">
        <f t="shared" si="59"/>
        <v>870.63649547289288</v>
      </c>
      <c r="AN75" s="62">
        <f ca="1">AVERAGE(OFFSET($AM$3,0,0,'Données projet'!$E$10+1,1))-AVERAGE(OFFSET($H$3,0,0,'Données projet'!$E$10+1,1))</f>
        <v>495.77338291316386</v>
      </c>
      <c r="AO75" s="62">
        <f t="shared" si="90"/>
        <v>261.95434270986397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6.9707692307692355</v>
      </c>
      <c r="BD75" s="13">
        <f>IF('Données projet'!$A$88&gt;35,BD74+BC75-BL74,IF(A75&lt;'Données projet'!$A$88,$BA$205^A75,IF(A75='Données projet'!$A$88,'Données projet'!$B$88,BD74+BC75-BL74)))</f>
        <v>359.46769230769252</v>
      </c>
      <c r="BE75" s="14">
        <f>BD75*VLOOKUP('Données projet'!$B$11,Paramètres!$A$1:$I$89,3,0)*VLOOKUP('Données projet'!$B$11,Paramètres!$A$1:$I$89,5,0)</f>
        <v>205.61552000000012</v>
      </c>
      <c r="BF75" s="14">
        <f t="shared" si="91"/>
        <v>50.976293122719071</v>
      </c>
      <c r="BG75" s="22">
        <f t="shared" si="61"/>
        <v>446.89740785540261</v>
      </c>
      <c r="BH75" s="62">
        <f t="shared" si="62"/>
        <v>740.23074118873592</v>
      </c>
      <c r="BI75" s="62">
        <f ca="1">AVERAGE(OFFSET($BH$3,0,0,'Données projet'!$E$11+1,1))-AVERAGE(OFFSET($H$3,0,0,'Données projet'!$E$11+1,1))</f>
        <v>320.67081032419122</v>
      </c>
      <c r="BJ75" s="62">
        <f t="shared" si="92"/>
        <v>290.51177680335746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0.75214872756504192</v>
      </c>
      <c r="BR75" s="23">
        <f>EXP(-LN(2)/2)*BR74+(1-EXP(-LN(2)/2))/(LN(2)/2)*BL75*BO75*VLOOKUP('Données projet'!$B$11,Paramètres!$A$1:$I$89,3,0)*0.475*44/12</f>
        <v>5.1363522207859411E-6</v>
      </c>
      <c r="BS75" s="24">
        <f t="shared" si="63"/>
        <v>0.75215386391726269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321.64080000000001</v>
      </c>
      <c r="CA75" s="14">
        <f t="shared" si="93"/>
        <v>75.694652325793228</v>
      </c>
      <c r="CB75" s="22">
        <f t="shared" si="64"/>
        <v>692.0259128007566</v>
      </c>
      <c r="CC75" s="62">
        <f t="shared" si="65"/>
        <v>985.35924613408997</v>
      </c>
      <c r="CD75" s="62">
        <f ca="1">AVERAGE(OFFSET($CC$3,0,0,'Données projet'!$E$12+1,1))-AVERAGE(OFFSET($H$3,0,0,'Données projet'!$E$12+1,1))</f>
        <v>587.74247372331615</v>
      </c>
      <c r="CE75" s="62">
        <f t="shared" si="94"/>
        <v>306.61893266146666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4.4871794871794863</v>
      </c>
      <c r="CT75" s="13">
        <f>IF('Données projet'!$A$140&gt;35,CT74+CS75-DB74,IF(A75&lt;'Données projet'!$A$140,$CQ$205^A75,IF(A75='Données projet'!$A$140,'Données projet'!$B$140,CT74+CS75-DB74)))</f>
        <v>232.69230769230762</v>
      </c>
      <c r="CU75" s="18">
        <f>CT75*VLOOKUP('Données projet'!$B$13,Paramètres!$A$1:$I$89,3,0)*VLOOKUP('Données projet'!$B$13,Paramètres!$A$1:$I$89,5,0)</f>
        <v>221.42999999999995</v>
      </c>
      <c r="CV75" s="14">
        <f t="shared" si="95"/>
        <v>54.425571861733111</v>
      </c>
      <c r="CW75" s="22">
        <f t="shared" si="67"/>
        <v>480.44845432585163</v>
      </c>
      <c r="CX75" s="62">
        <f t="shared" si="68"/>
        <v>773.78178765918494</v>
      </c>
      <c r="CY75" s="62">
        <f ca="1">AVERAGE(OFFSET($CX$3,0,0,'Données projet'!$E$13+1,1))-AVERAGE(OFFSET($H$3,0,0,'Données projet'!$E$13+1,1))</f>
        <v>406.24139966722936</v>
      </c>
      <c r="CZ75" s="62">
        <f t="shared" si="96"/>
        <v>295.95724296920577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9.9586538461538368</v>
      </c>
      <c r="DO75" s="13">
        <f>IF('Données projet'!$A$166&gt;35,DO74+DN75-DW74,IF(A75&lt;'Données projet'!$A$166,$DL$205^A75,IF(A75='Données projet'!$A$166,'Données projet'!$B$166,DO74+DN75-DW74)))</f>
        <v>480.38846153846168</v>
      </c>
      <c r="DP75" s="18">
        <f>DO75*VLOOKUP('Données projet'!$B$14,Paramètres!$A$1:$I$89,3,0)*VLOOKUP('Données projet'!$B$14,Paramètres!$A$1:$I$89,5,0)</f>
        <v>287.27230000000009</v>
      </c>
      <c r="DQ75" s="14">
        <f t="shared" si="97"/>
        <v>68.501553978893796</v>
      </c>
      <c r="DR75" s="22">
        <f t="shared" si="70"/>
        <v>619.63946234657351</v>
      </c>
      <c r="DS75" s="62">
        <f t="shared" si="71"/>
        <v>912.97279567990677</v>
      </c>
      <c r="DT75" s="62">
        <f ca="1">AVERAGE(OFFSET($DS$3,0,0,'Données projet'!$E$14+1,1))-AVERAGE(OFFSET($H$3,0,0,'Données projet'!$E$14+1,1))</f>
        <v>356.42779334565381</v>
      </c>
      <c r="DU75" s="62">
        <f t="shared" si="98"/>
        <v>320.06572891923685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1.2399409149233469</v>
      </c>
      <c r="EC75" s="23">
        <f>EXP(-LN(2)/2)*EC74+(1-EXP(-LN(2)/2))/(LN(2)/2)*DW75*DZ75*VLOOKUP('Données projet'!$B$14,Paramètres!$A$1:$I$89,3,0)*0.475*44/12</f>
        <v>8.0969729367637796E-6</v>
      </c>
      <c r="ED75" s="24">
        <f t="shared" si="72"/>
        <v>1.2399490118962837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4.1799999999999953</v>
      </c>
      <c r="FE75" s="13">
        <f>IF('Données projet'!$A$218&gt;35,FE74+FD75-FM74,IF(A75&lt;'Données projet'!$A$218,$FB$205^A75,IF(A75='Données projet'!$A$218,'Données projet'!$B$218,FE74+FD75-FM74)))</f>
        <v>310.95999999999992</v>
      </c>
      <c r="FF75" s="18">
        <f>FE75*VLOOKUP('Données projet'!$B$16,Paramètres!$A$1:$I$89,3,0)*VLOOKUP('Données projet'!$B$16,Paramètres!$A$1:$I$89,5,0)</f>
        <v>247.39977599999995</v>
      </c>
      <c r="FG75" s="14">
        <f t="shared" si="101"/>
        <v>60.028803657797908</v>
      </c>
      <c r="FH75" s="22">
        <f t="shared" si="76"/>
        <v>535.43810957066455</v>
      </c>
      <c r="FI75" s="62">
        <f t="shared" si="77"/>
        <v>828.77144290399792</v>
      </c>
      <c r="FJ75" s="62">
        <f ca="1">AVERAGE(OFFSET($FI$3,0,0,'Données projet'!$E$16+1,1))-AVERAGE(OFFSET($H$3,0,0,'Données projet'!$E$16+1,1))</f>
        <v>370.59298168107364</v>
      </c>
      <c r="FK75" s="62">
        <f t="shared" si="102"/>
        <v>404.61777090709171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7.6</v>
      </c>
      <c r="FZ75" s="13">
        <f>IF('Données projet'!$A$244&gt;35,FZ74+FY75-GH74,IF(A75&lt;'Données projet'!$A$244,$FW$205^A75,IF(A75='Données projet'!$A$244,'Données projet'!$B$244,FZ74+FY75-GH74)))</f>
        <v>317.2</v>
      </c>
      <c r="GA75" s="18">
        <f>FZ75*VLOOKUP('Données projet'!$B$17,Paramètres!$A$1:$I$89,3,0)*VLOOKUP('Données projet'!$B$17,Paramètres!$A$1:$I$89,5,0)</f>
        <v>306.79584</v>
      </c>
      <c r="GB75" s="14">
        <f t="shared" si="103"/>
        <v>72.599269943528554</v>
      </c>
      <c r="GC75" s="22">
        <f t="shared" si="79"/>
        <v>660.77981648497882</v>
      </c>
      <c r="GD75" s="62">
        <f t="shared" si="80"/>
        <v>954.11314981831219</v>
      </c>
      <c r="GE75" s="62">
        <f ca="1">AVERAGE(OFFSET($GD$3,0,0,'Données projet'!$E$17+1,1))-AVERAGE(OFFSET($H$3,0,0,'Données projet'!$E$17+1,1))</f>
        <v>562.69380557620775</v>
      </c>
      <c r="GF75" s="62">
        <f t="shared" si="104"/>
        <v>294.45557293177131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5.1282051282051269</v>
      </c>
      <c r="GU75" s="13">
        <f>IF('Données projet'!$A$270&gt;35,GU74+GT75-HC74,IF(A75&lt;'Données projet'!$A$270,$GR$205^A75,IF(A75='Données projet'!$A$270,'Données projet'!$B$270,GU74+GT75-HC74)))</f>
        <v>287.82051282051287</v>
      </c>
      <c r="GV75" s="18">
        <f>GU75*VLOOKUP('Données projet'!$B$18,Paramètres!$A$1:$I$89,3,0)*VLOOKUP('Données projet'!$B$18,Paramètres!$A$1:$I$89,5,0)</f>
        <v>193.07000000000005</v>
      </c>
      <c r="GW75" s="14">
        <f t="shared" si="105"/>
        <v>48.218051794342536</v>
      </c>
      <c r="GX75" s="22">
        <f t="shared" si="82"/>
        <v>420.24335687514667</v>
      </c>
      <c r="GY75" s="62">
        <f t="shared" si="83"/>
        <v>713.57669020847993</v>
      </c>
      <c r="GZ75" s="62">
        <f ca="1">AVERAGE(OFFSET($GY$3,0,0,'Données projet'!$E$18+1,1))-AVERAGE(OFFSET($H$3,0,0,'Données projet'!$E$18+1,1))</f>
        <v>363.53487081291541</v>
      </c>
      <c r="HA75" s="62">
        <f t="shared" si="106"/>
        <v>308.1559670593121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529.25712986118265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273.61152000000004</v>
      </c>
      <c r="AK76" s="14">
        <f t="shared" si="89"/>
        <v>65.615131256792893</v>
      </c>
      <c r="AL76" s="22">
        <f t="shared" si="58"/>
        <v>590.81975093891435</v>
      </c>
      <c r="AM76" s="62">
        <f t="shared" si="59"/>
        <v>884.15308427224772</v>
      </c>
      <c r="AN76" s="62">
        <f ca="1">AVERAGE(OFFSET($AM$3,0,0,'Données projet'!$E$10+1,1))-AVERAGE(OFFSET($H$3,0,0,'Données projet'!$E$10+1,1))</f>
        <v>495.77338291316386</v>
      </c>
      <c r="AO76" s="62">
        <f t="shared" si="90"/>
        <v>261.95434270986397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366.43846153846152</v>
      </c>
      <c r="BB76" s="13">
        <f>VLOOKUP(A76,'Données projet'!$A$87:$I$107,9,0)</f>
        <v>6.9707692307692355</v>
      </c>
      <c r="BC76" s="13">
        <f t="array" ref="BC76">INDEX(BB:BB,MIN(IF(ISNUMBER(BB76:BB272),ROW(BB76:BB272),"")))</f>
        <v>6.9707692307692355</v>
      </c>
      <c r="BD76" s="13">
        <f>IF('Données projet'!$A$88&gt;35,BD75+BC76-BL75,IF(A76&lt;'Données projet'!$A$88,$BA$205^A76,IF(A76='Données projet'!$A$88,'Données projet'!$B$88,BD75+BC76-BL75)))</f>
        <v>366.43846153846175</v>
      </c>
      <c r="BE76" s="14">
        <f>BD76*VLOOKUP('Données projet'!$B$11,Paramètres!$A$1:$I$89,3,0)*VLOOKUP('Données projet'!$B$11,Paramètres!$A$1:$I$89,5,0)</f>
        <v>209.60280000000014</v>
      </c>
      <c r="BF76" s="14">
        <f t="shared" si="91"/>
        <v>51.848777943318218</v>
      </c>
      <c r="BG76" s="22">
        <f t="shared" si="61"/>
        <v>455.36149825127944</v>
      </c>
      <c r="BH76" s="62">
        <f t="shared" si="62"/>
        <v>748.69483158461276</v>
      </c>
      <c r="BI76" s="62">
        <f ca="1">AVERAGE(OFFSET($BH$3,0,0,'Données projet'!$E$11+1,1))-AVERAGE(OFFSET($H$3,0,0,'Données projet'!$E$11+1,1))</f>
        <v>320.67081032419122</v>
      </c>
      <c r="BJ76" s="62">
        <f t="shared" si="92"/>
        <v>290.51177680335746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0.73158118105599335</v>
      </c>
      <c r="BR76" s="23">
        <f>EXP(-LN(2)/2)*BR75+(1-EXP(-LN(2)/2))/(LN(2)/2)*BL76*BO76*VLOOKUP('Données projet'!$B$11,Paramètres!$A$1:$I$89,3,0)*0.475*44/12</f>
        <v>3.6319494858803219E-6</v>
      </c>
      <c r="BS76" s="24">
        <f t="shared" si="63"/>
        <v>0.73158481300547917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329.34720000000004</v>
      </c>
      <c r="CA76" s="14">
        <f t="shared" si="93"/>
        <v>77.294949483241496</v>
      </c>
      <c r="CB76" s="22">
        <f t="shared" si="64"/>
        <v>708.23507701664573</v>
      </c>
      <c r="CC76" s="62">
        <f t="shared" si="65"/>
        <v>1001.5684103499791</v>
      </c>
      <c r="CD76" s="62">
        <f ca="1">AVERAGE(OFFSET($CC$3,0,0,'Données projet'!$E$12+1,1))-AVERAGE(OFFSET($H$3,0,0,'Données projet'!$E$12+1,1))</f>
        <v>587.74247372331615</v>
      </c>
      <c r="CE76" s="62">
        <f t="shared" si="94"/>
        <v>306.61893266146666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4.4871794871794863</v>
      </c>
      <c r="CT76" s="13">
        <f>IF('Données projet'!$A$140&gt;35,CT75+CS76-DB75,IF(A76&lt;'Données projet'!$A$140,$CQ$205^A76,IF(A76='Données projet'!$A$140,'Données projet'!$B$140,CT75+CS76-DB75)))</f>
        <v>237.1794871794871</v>
      </c>
      <c r="CU76" s="18">
        <f>CT76*VLOOKUP('Données projet'!$B$13,Paramètres!$A$1:$I$89,3,0)*VLOOKUP('Données projet'!$B$13,Paramètres!$A$1:$I$89,5,0)</f>
        <v>225.69999999999993</v>
      </c>
      <c r="CV76" s="14">
        <f t="shared" si="95"/>
        <v>55.351902227969966</v>
      </c>
      <c r="CW76" s="22">
        <f t="shared" si="67"/>
        <v>489.49872971371423</v>
      </c>
      <c r="CX76" s="62">
        <f t="shared" si="68"/>
        <v>782.83206304704754</v>
      </c>
      <c r="CY76" s="62">
        <f ca="1">AVERAGE(OFFSET($CX$3,0,0,'Données projet'!$E$13+1,1))-AVERAGE(OFFSET($H$3,0,0,'Données projet'!$E$13+1,1))</f>
        <v>406.24139966722936</v>
      </c>
      <c r="CZ76" s="62">
        <f t="shared" si="96"/>
        <v>295.95724296920577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9.9586538461538368</v>
      </c>
      <c r="DO76" s="13">
        <f>IF('Données projet'!$A$166&gt;35,DO75+DN76-DW75,IF(A76&lt;'Données projet'!$A$166,$DL$205^A76,IF(A76='Données projet'!$A$166,'Données projet'!$B$166,DO75+DN76-DW75)))</f>
        <v>490.34711538461551</v>
      </c>
      <c r="DP76" s="18">
        <f>DO76*VLOOKUP('Données projet'!$B$14,Paramètres!$A$1:$I$89,3,0)*VLOOKUP('Données projet'!$B$14,Paramètres!$A$1:$I$89,5,0)</f>
        <v>293.22757500000006</v>
      </c>
      <c r="DQ76" s="14">
        <f t="shared" si="97"/>
        <v>69.754821850782577</v>
      </c>
      <c r="DR76" s="22">
        <f t="shared" si="70"/>
        <v>632.19434118177958</v>
      </c>
      <c r="DS76" s="62">
        <f t="shared" si="71"/>
        <v>925.52767451511295</v>
      </c>
      <c r="DT76" s="62">
        <f ca="1">AVERAGE(OFFSET($DS$3,0,0,'Données projet'!$E$14+1,1))-AVERAGE(OFFSET($H$3,0,0,'Données projet'!$E$14+1,1))</f>
        <v>356.42779334565381</v>
      </c>
      <c r="DU76" s="62">
        <f t="shared" si="98"/>
        <v>320.06572891923685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1.2060346653991092</v>
      </c>
      <c r="EC76" s="23">
        <f>EXP(-LN(2)/2)*EC75+(1-EXP(-LN(2)/2))/(LN(2)/2)*DW76*DZ76*VLOOKUP('Données projet'!$B$14,Paramètres!$A$1:$I$89,3,0)*0.475*44/12</f>
        <v>5.7254244706696231E-6</v>
      </c>
      <c r="ED76" s="24">
        <f t="shared" si="72"/>
        <v>1.2060403908235799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4.1799999999999953</v>
      </c>
      <c r="FE76" s="13">
        <f>IF('Données projet'!$A$218&gt;35,FE75+FD76-FM75,IF(A76&lt;'Données projet'!$A$218,$FB$205^A76,IF(A76='Données projet'!$A$218,'Données projet'!$B$218,FE75+FD76-FM75)))</f>
        <v>315.13999999999993</v>
      </c>
      <c r="FF76" s="18">
        <f>FE76*VLOOKUP('Données projet'!$B$16,Paramètres!$A$1:$I$89,3,0)*VLOOKUP('Données projet'!$B$16,Paramètres!$A$1:$I$89,5,0)</f>
        <v>250.72538399999993</v>
      </c>
      <c r="FG76" s="14">
        <f t="shared" si="101"/>
        <v>60.741244716227833</v>
      </c>
      <c r="FH76" s="22">
        <f t="shared" si="76"/>
        <v>542.47104501409672</v>
      </c>
      <c r="FI76" s="62">
        <f t="shared" si="77"/>
        <v>835.80437834742997</v>
      </c>
      <c r="FJ76" s="62">
        <f ca="1">AVERAGE(OFFSET($FI$3,0,0,'Données projet'!$E$16+1,1))-AVERAGE(OFFSET($H$3,0,0,'Données projet'!$E$16+1,1))</f>
        <v>370.59298168107364</v>
      </c>
      <c r="FK76" s="62">
        <f t="shared" si="102"/>
        <v>404.61777090709171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7.6</v>
      </c>
      <c r="FZ76" s="13">
        <f>IF('Données projet'!$A$244&gt;35,FZ75+FY76-GH75,IF(A76&lt;'Données projet'!$A$244,$FW$205^A76,IF(A76='Données projet'!$A$244,'Données projet'!$B$244,FZ75+FY76-GH75)))</f>
        <v>324.8</v>
      </c>
      <c r="GA76" s="18">
        <f>FZ76*VLOOKUP('Données projet'!$B$17,Paramètres!$A$1:$I$89,3,0)*VLOOKUP('Données projet'!$B$17,Paramètres!$A$1:$I$89,5,0)</f>
        <v>314.14656000000002</v>
      </c>
      <c r="GB76" s="14">
        <f t="shared" si="103"/>
        <v>74.134126128922034</v>
      </c>
      <c r="GC76" s="22">
        <f t="shared" si="79"/>
        <v>676.25552834120583</v>
      </c>
      <c r="GD76" s="62">
        <f t="shared" si="80"/>
        <v>969.5888616745392</v>
      </c>
      <c r="GE76" s="62">
        <f ca="1">AVERAGE(OFFSET($GD$3,0,0,'Données projet'!$E$17+1,1))-AVERAGE(OFFSET($H$3,0,0,'Données projet'!$E$17+1,1))</f>
        <v>562.69380557620775</v>
      </c>
      <c r="GF76" s="62">
        <f t="shared" si="104"/>
        <v>294.45557293177131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5.1282051282051269</v>
      </c>
      <c r="GU76" s="13">
        <f>IF('Données projet'!$A$270&gt;35,GU75+GT76-HC75,IF(A76&lt;'Données projet'!$A$270,$GR$205^A76,IF(A76='Données projet'!$A$270,'Données projet'!$B$270,GU75+GT76-HC75)))</f>
        <v>292.94871794871801</v>
      </c>
      <c r="GV76" s="18">
        <f>GU76*VLOOKUP('Données projet'!$B$18,Paramètres!$A$1:$I$89,3,0)*VLOOKUP('Données projet'!$B$18,Paramètres!$A$1:$I$89,5,0)</f>
        <v>196.51000000000005</v>
      </c>
      <c r="GW76" s="14">
        <f t="shared" si="105"/>
        <v>48.976387297804322</v>
      </c>
      <c r="GX76" s="22">
        <f t="shared" si="82"/>
        <v>427.55545787700925</v>
      </c>
      <c r="GY76" s="62">
        <f t="shared" si="83"/>
        <v>720.88879121034256</v>
      </c>
      <c r="GZ76" s="62">
        <f ca="1">AVERAGE(OFFSET($GY$3,0,0,'Données projet'!$E$18+1,1))-AVERAGE(OFFSET($H$3,0,0,'Données projet'!$E$18+1,1))</f>
        <v>363.53487081291541</v>
      </c>
      <c r="HA76" s="62">
        <f t="shared" si="106"/>
        <v>308.1559670593121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529.25712986118265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280.01376000000005</v>
      </c>
      <c r="AK77" s="14">
        <f t="shared" si="89"/>
        <v>66.969916756344503</v>
      </c>
      <c r="AL77" s="22">
        <f t="shared" si="58"/>
        <v>604.32990368396679</v>
      </c>
      <c r="AM77" s="62">
        <f t="shared" si="59"/>
        <v>897.66323701730016</v>
      </c>
      <c r="AN77" s="62">
        <f ca="1">AVERAGE(OFFSET($AM$3,0,0,'Données projet'!$E$10+1,1))-AVERAGE(OFFSET($H$3,0,0,'Données projet'!$E$10+1,1))</f>
        <v>495.77338291316386</v>
      </c>
      <c r="AO77" s="62">
        <f t="shared" si="90"/>
        <v>261.95434270986397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6.8015384615384731</v>
      </c>
      <c r="BD77" s="13">
        <f>IF('Données projet'!$A$88&gt;35,BD76+BC77-BL76,IF(A77&lt;'Données projet'!$A$88,$BA$205^A77,IF(A77='Données projet'!$A$88,'Données projet'!$B$88,BD76+BC77-BL76)))</f>
        <v>373.24000000000024</v>
      </c>
      <c r="BE77" s="14">
        <f>BD77*VLOOKUP('Données projet'!$B$11,Paramètres!$A$1:$I$89,3,0)*VLOOKUP('Données projet'!$B$11,Paramètres!$A$1:$I$89,5,0)</f>
        <v>213.49328000000014</v>
      </c>
      <c r="BF77" s="14">
        <f t="shared" si="91"/>
        <v>52.698220756240708</v>
      </c>
      <c r="BG77" s="22">
        <f t="shared" si="61"/>
        <v>463.61686381711939</v>
      </c>
      <c r="BH77" s="62">
        <f t="shared" si="62"/>
        <v>756.95019715045271</v>
      </c>
      <c r="BI77" s="62">
        <f ca="1">AVERAGE(OFFSET($BH$3,0,0,'Données projet'!$E$11+1,1))-AVERAGE(OFFSET($H$3,0,0,'Données projet'!$E$11+1,1))</f>
        <v>320.67081032419122</v>
      </c>
      <c r="BJ77" s="62">
        <f t="shared" si="92"/>
        <v>290.51177680335746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0.71157605518783495</v>
      </c>
      <c r="BR77" s="23">
        <f>EXP(-LN(2)/2)*BR76+(1-EXP(-LN(2)/2))/(LN(2)/2)*BL77*BO77*VLOOKUP('Données projet'!$B$11,Paramètres!$A$1:$I$89,3,0)*0.475*44/12</f>
        <v>2.5681761103929705E-6</v>
      </c>
      <c r="BS77" s="24">
        <f t="shared" si="63"/>
        <v>0.7115786233639454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337.05360000000007</v>
      </c>
      <c r="CA77" s="14">
        <f t="shared" si="93"/>
        <v>78.890893509302231</v>
      </c>
      <c r="CB77" s="22">
        <f t="shared" si="64"/>
        <v>724.43665952870151</v>
      </c>
      <c r="CC77" s="62">
        <f t="shared" si="65"/>
        <v>1017.7699928620348</v>
      </c>
      <c r="CD77" s="62">
        <f ca="1">AVERAGE(OFFSET($CC$3,0,0,'Données projet'!$E$12+1,1))-AVERAGE(OFFSET($H$3,0,0,'Données projet'!$E$12+1,1))</f>
        <v>587.74247372331615</v>
      </c>
      <c r="CE77" s="62">
        <f t="shared" si="94"/>
        <v>306.61893266146666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4.4871794871794863</v>
      </c>
      <c r="CT77" s="13">
        <f>IF('Données projet'!$A$140&gt;35,CT76+CS77-DB76,IF(A77&lt;'Données projet'!$A$140,$CQ$205^A77,IF(A77='Données projet'!$A$140,'Données projet'!$B$140,CT76+CS77-DB76)))</f>
        <v>241.66666666666657</v>
      </c>
      <c r="CU77" s="18">
        <f>CT77*VLOOKUP('Données projet'!$B$13,Paramètres!$A$1:$I$89,3,0)*VLOOKUP('Données projet'!$B$13,Paramètres!$A$1:$I$89,5,0)</f>
        <v>229.96999999999991</v>
      </c>
      <c r="CV77" s="14">
        <f t="shared" si="95"/>
        <v>56.276194780495985</v>
      </c>
      <c r="CW77" s="22">
        <f t="shared" si="67"/>
        <v>498.54545590936368</v>
      </c>
      <c r="CX77" s="62">
        <f t="shared" si="68"/>
        <v>791.87878924269694</v>
      </c>
      <c r="CY77" s="62">
        <f ca="1">AVERAGE(OFFSET($CX$3,0,0,'Données projet'!$E$13+1,1))-AVERAGE(OFFSET($H$3,0,0,'Données projet'!$E$13+1,1))</f>
        <v>406.24139966722936</v>
      </c>
      <c r="CZ77" s="62">
        <f t="shared" si="96"/>
        <v>295.95724296920577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9.9586538461538368</v>
      </c>
      <c r="DO77" s="13">
        <f>IF('Données projet'!$A$166&gt;35,DO76+DN77-DW76,IF(A77&lt;'Données projet'!$A$166,$DL$205^A77,IF(A77='Données projet'!$A$166,'Données projet'!$B$166,DO76+DN77-DW76)))</f>
        <v>500.30576923076933</v>
      </c>
      <c r="DP77" s="18">
        <f>DO77*VLOOKUP('Données projet'!$B$14,Paramètres!$A$1:$I$89,3,0)*VLOOKUP('Données projet'!$B$14,Paramètres!$A$1:$I$89,5,0)</f>
        <v>299.18285000000009</v>
      </c>
      <c r="DQ77" s="14">
        <f t="shared" si="97"/>
        <v>71.005130264396357</v>
      </c>
      <c r="DR77" s="22">
        <f t="shared" si="70"/>
        <v>644.74406562715717</v>
      </c>
      <c r="DS77" s="62">
        <f t="shared" si="71"/>
        <v>938.07739896049043</v>
      </c>
      <c r="DT77" s="62">
        <f ca="1">AVERAGE(OFFSET($DS$3,0,0,'Données projet'!$E$14+1,1))-AVERAGE(OFFSET($H$3,0,0,'Données projet'!$E$14+1,1))</f>
        <v>356.42779334565381</v>
      </c>
      <c r="DU77" s="62">
        <f t="shared" si="98"/>
        <v>320.06572891923685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1.1730555840511638</v>
      </c>
      <c r="EC77" s="23">
        <f>EXP(-LN(2)/2)*EC76+(1-EXP(-LN(2)/2))/(LN(2)/2)*DW77*DZ77*VLOOKUP('Données projet'!$B$14,Paramètres!$A$1:$I$89,3,0)*0.475*44/12</f>
        <v>4.0484864683818898E-6</v>
      </c>
      <c r="ED77" s="24">
        <f t="shared" si="72"/>
        <v>1.1730596325376321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4.1799999999999953</v>
      </c>
      <c r="FE77" s="13">
        <f>IF('Données projet'!$A$218&gt;35,FE76+FD77-FM76,IF(A77&lt;'Données projet'!$A$218,$FB$205^A77,IF(A77='Données projet'!$A$218,'Données projet'!$B$218,FE76+FD77-FM76)))</f>
        <v>319.31999999999994</v>
      </c>
      <c r="FF77" s="18">
        <f>FE77*VLOOKUP('Données projet'!$B$16,Paramètres!$A$1:$I$89,3,0)*VLOOKUP('Données projet'!$B$16,Paramètres!$A$1:$I$89,5,0)</f>
        <v>254.05099199999995</v>
      </c>
      <c r="FG77" s="14">
        <f t="shared" si="101"/>
        <v>61.45258663488832</v>
      </c>
      <c r="FH77" s="22">
        <f t="shared" si="76"/>
        <v>549.50206612243039</v>
      </c>
      <c r="FI77" s="62">
        <f t="shared" si="77"/>
        <v>842.83539945576376</v>
      </c>
      <c r="FJ77" s="62">
        <f ca="1">AVERAGE(OFFSET($FI$3,0,0,'Données projet'!$E$16+1,1))-AVERAGE(OFFSET($H$3,0,0,'Données projet'!$E$16+1,1))</f>
        <v>370.59298168107364</v>
      </c>
      <c r="FK77" s="62">
        <f t="shared" si="102"/>
        <v>404.61777090709171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7.6</v>
      </c>
      <c r="FZ77" s="13">
        <f>IF('Données projet'!$A$244&gt;35,FZ76+FY77-GH76,IF(A77&lt;'Données projet'!$A$244,$FW$205^A77,IF(A77='Données projet'!$A$244,'Données projet'!$B$244,FZ76+FY77-GH76)))</f>
        <v>332.40000000000003</v>
      </c>
      <c r="GA77" s="18">
        <f>FZ77*VLOOKUP('Données projet'!$B$17,Paramètres!$A$1:$I$89,3,0)*VLOOKUP('Données projet'!$B$17,Paramètres!$A$1:$I$89,5,0)</f>
        <v>321.49728000000005</v>
      </c>
      <c r="GB77" s="14">
        <f t="shared" si="103"/>
        <v>75.664807195585155</v>
      </c>
      <c r="GC77" s="22">
        <f t="shared" si="79"/>
        <v>691.72396853231078</v>
      </c>
      <c r="GD77" s="62">
        <f t="shared" si="80"/>
        <v>985.05730186564415</v>
      </c>
      <c r="GE77" s="62">
        <f ca="1">AVERAGE(OFFSET($GD$3,0,0,'Données projet'!$E$17+1,1))-AVERAGE(OFFSET($H$3,0,0,'Données projet'!$E$17+1,1))</f>
        <v>562.69380557620775</v>
      </c>
      <c r="GF77" s="62">
        <f t="shared" si="104"/>
        <v>294.45557293177131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5.1282051282051269</v>
      </c>
      <c r="GU77" s="13">
        <f>IF('Données projet'!$A$270&gt;35,GU76+GT77-HC76,IF(A77&lt;'Données projet'!$A$270,$GR$205^A77,IF(A77='Données projet'!$A$270,'Données projet'!$B$270,GU76+GT77-HC76)))</f>
        <v>298.07692307692315</v>
      </c>
      <c r="GV77" s="18">
        <f>GU77*VLOOKUP('Données projet'!$B$18,Paramètres!$A$1:$I$89,3,0)*VLOOKUP('Données projet'!$B$18,Paramètres!$A$1:$I$89,5,0)</f>
        <v>199.95000000000007</v>
      </c>
      <c r="GW77" s="14">
        <f t="shared" si="105"/>
        <v>49.733179078835313</v>
      </c>
      <c r="GX77" s="22">
        <f t="shared" si="82"/>
        <v>434.8648702289716</v>
      </c>
      <c r="GY77" s="62">
        <f t="shared" si="83"/>
        <v>728.19820356230491</v>
      </c>
      <c r="GZ77" s="62">
        <f ca="1">AVERAGE(OFFSET($GY$3,0,0,'Données projet'!$E$18+1,1))-AVERAGE(OFFSET($H$3,0,0,'Données projet'!$E$18+1,1))</f>
        <v>363.53487081291541</v>
      </c>
      <c r="HA77" s="62">
        <f t="shared" si="106"/>
        <v>308.1559670593121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529.25712986118265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286.41600000000011</v>
      </c>
      <c r="AK78" s="14">
        <f t="shared" si="89"/>
        <v>68.321101129951245</v>
      </c>
      <c r="AL78" s="22">
        <f t="shared" si="58"/>
        <v>617.83378446799861</v>
      </c>
      <c r="AM78" s="62">
        <f t="shared" si="59"/>
        <v>911.16711780133187</v>
      </c>
      <c r="AN78" s="62">
        <f ca="1">AVERAGE(OFFSET($AM$3,0,0,'Données projet'!$E$10+1,1))-AVERAGE(OFFSET($H$3,0,0,'Données projet'!$E$10+1,1))</f>
        <v>495.77338291316386</v>
      </c>
      <c r="AO78" s="62">
        <f t="shared" si="90"/>
        <v>261.95434270986397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6.8015384615384731</v>
      </c>
      <c r="BD78" s="13">
        <f>IF('Données projet'!$A$88&gt;35,BD77+BC78-BL77,IF(A78&lt;'Données projet'!$A$88,$BA$205^A78,IF(A78='Données projet'!$A$88,'Données projet'!$B$88,BD77+BC78-BL77)))</f>
        <v>380.04153846153872</v>
      </c>
      <c r="BE78" s="14">
        <f>BD78*VLOOKUP('Données projet'!$B$11,Paramètres!$A$1:$I$89,3,0)*VLOOKUP('Données projet'!$B$11,Paramètres!$A$1:$I$89,5,0)</f>
        <v>217.38376000000017</v>
      </c>
      <c r="BF78" s="14">
        <f t="shared" si="91"/>
        <v>53.545863575425599</v>
      </c>
      <c r="BG78" s="22">
        <f t="shared" si="61"/>
        <v>471.86909439386653</v>
      </c>
      <c r="BH78" s="62">
        <f t="shared" si="62"/>
        <v>765.20242772719985</v>
      </c>
      <c r="BI78" s="62">
        <f ca="1">AVERAGE(OFFSET($BH$3,0,0,'Données projet'!$E$11+1,1))-AVERAGE(OFFSET($H$3,0,0,'Données projet'!$E$11+1,1))</f>
        <v>320.67081032419122</v>
      </c>
      <c r="BJ78" s="62">
        <f t="shared" si="92"/>
        <v>290.51177680335746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0.69211797053856516</v>
      </c>
      <c r="BR78" s="23">
        <f>EXP(-LN(2)/2)*BR77+(1-EXP(-LN(2)/2))/(LN(2)/2)*BL78*BO78*VLOOKUP('Données projet'!$B$11,Paramètres!$A$1:$I$89,3,0)*0.475*44/12</f>
        <v>1.815974742940161E-6</v>
      </c>
      <c r="BS78" s="24">
        <f t="shared" si="63"/>
        <v>0.69211978651330808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344.7600000000001</v>
      </c>
      <c r="CA78" s="14">
        <f t="shared" si="93"/>
        <v>80.482595391170619</v>
      </c>
      <c r="CB78" s="22">
        <f t="shared" si="64"/>
        <v>740.63085363962227</v>
      </c>
      <c r="CC78" s="62">
        <f t="shared" si="65"/>
        <v>1033.9641869729555</v>
      </c>
      <c r="CD78" s="62">
        <f ca="1">AVERAGE(OFFSET($CC$3,0,0,'Données projet'!$E$12+1,1))-AVERAGE(OFFSET($H$3,0,0,'Données projet'!$E$12+1,1))</f>
        <v>587.74247372331615</v>
      </c>
      <c r="CE78" s="62">
        <f t="shared" si="94"/>
        <v>306.61893266146666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246.15384615384613</v>
      </c>
      <c r="CR78" s="13">
        <f>VLOOKUP(A78,'Données projet'!$A$139:$I$159,9,0)</f>
        <v>4.4871794871794863</v>
      </c>
      <c r="CS78" s="13">
        <f t="array" ref="CS78">INDEX(CR:CR,MIN(IF(ISNUMBER(CR78:CR274),ROW(CR78:CR274),"")))</f>
        <v>4.4871794871794863</v>
      </c>
      <c r="CT78" s="13">
        <f>IF('Données projet'!$A$140&gt;35,CT77+CS78-DB77,IF(A78&lt;'Données projet'!$A$140,$CQ$205^A78,IF(A78='Données projet'!$A$140,'Données projet'!$B$140,CT77+CS78-DB77)))</f>
        <v>246.15384615384605</v>
      </c>
      <c r="CU78" s="18">
        <f>CT78*VLOOKUP('Données projet'!$B$13,Paramètres!$A$1:$I$89,3,0)*VLOOKUP('Données projet'!$B$13,Paramètres!$A$1:$I$89,5,0)</f>
        <v>234.2399999999999</v>
      </c>
      <c r="CV78" s="14">
        <f t="shared" si="95"/>
        <v>57.19849172024869</v>
      </c>
      <c r="CW78" s="22">
        <f t="shared" si="67"/>
        <v>507.58870641276627</v>
      </c>
      <c r="CX78" s="62">
        <f t="shared" si="68"/>
        <v>800.92203974609959</v>
      </c>
      <c r="CY78" s="62">
        <f ca="1">AVERAGE(OFFSET($CX$3,0,0,'Données projet'!$E$13+1,1))-AVERAGE(OFFSET($H$3,0,0,'Données projet'!$E$13+1,1))</f>
        <v>406.24139966722936</v>
      </c>
      <c r="CZ78" s="62">
        <f t="shared" si="96"/>
        <v>295.95724296920577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30.769230769230766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9.9586538461538368</v>
      </c>
      <c r="DO78" s="13">
        <f>IF('Données projet'!$A$166&gt;35,DO77+DN78-DW77,IF(A78&lt;'Données projet'!$A$166,$DL$205^A78,IF(A78='Données projet'!$A$166,'Données projet'!$B$166,DO77+DN78-DW77)))</f>
        <v>510.26442307692315</v>
      </c>
      <c r="DP78" s="18">
        <f>DO78*VLOOKUP('Données projet'!$B$14,Paramètres!$A$1:$I$89,3,0)*VLOOKUP('Données projet'!$B$14,Paramètres!$A$1:$I$89,5,0)</f>
        <v>305.13812500000006</v>
      </c>
      <c r="DQ78" s="14">
        <f t="shared" si="97"/>
        <v>72.252544917717799</v>
      </c>
      <c r="DR78" s="22">
        <f t="shared" si="70"/>
        <v>657.28875010669196</v>
      </c>
      <c r="DS78" s="62">
        <f t="shared" si="71"/>
        <v>950.62208344002534</v>
      </c>
      <c r="DT78" s="62">
        <f ca="1">AVERAGE(OFFSET($DS$3,0,0,'Données projet'!$E$14+1,1))-AVERAGE(OFFSET($H$3,0,0,'Données projet'!$E$14+1,1))</f>
        <v>356.42779334565381</v>
      </c>
      <c r="DU78" s="62">
        <f t="shared" si="98"/>
        <v>320.06572891923685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1.1409783174169728</v>
      </c>
      <c r="EC78" s="23">
        <f>EXP(-LN(2)/2)*EC77+(1-EXP(-LN(2)/2))/(LN(2)/2)*DW78*DZ78*VLOOKUP('Données projet'!$B$14,Paramètres!$A$1:$I$89,3,0)*0.475*44/12</f>
        <v>2.8627122353348115E-6</v>
      </c>
      <c r="ED78" s="24">
        <f t="shared" si="72"/>
        <v>1.140981180129208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323.5</v>
      </c>
      <c r="FC78" s="13">
        <f>VLOOKUP(A78,'Données projet'!$A$217:$I$237,9,0)</f>
        <v>4.1799999999999953</v>
      </c>
      <c r="FD78" s="13">
        <f t="array" ref="FD78">INDEX(FC:FC,MIN(IF(ISNUMBER(FC78:FC274),ROW(FC78:FC274),"")))</f>
        <v>4.1799999999999953</v>
      </c>
      <c r="FE78" s="13">
        <f>IF('Données projet'!$A$218&gt;35,FE77+FD78-FM77,IF(A78&lt;'Données projet'!$A$218,$FB$205^A78,IF(A78='Données projet'!$A$218,'Données projet'!$B$218,FE77+FD78-FM77)))</f>
        <v>323.49999999999994</v>
      </c>
      <c r="FF78" s="18">
        <f>FE78*VLOOKUP('Données projet'!$B$16,Paramètres!$A$1:$I$89,3,0)*VLOOKUP('Données projet'!$B$16,Paramètres!$A$1:$I$89,5,0)</f>
        <v>257.3766</v>
      </c>
      <c r="FG78" s="14">
        <f t="shared" si="101"/>
        <v>62.162845465331493</v>
      </c>
      <c r="FH78" s="22">
        <f t="shared" si="76"/>
        <v>556.53120085211901</v>
      </c>
      <c r="FI78" s="62">
        <f t="shared" si="77"/>
        <v>849.86453418545238</v>
      </c>
      <c r="FJ78" s="62">
        <f ca="1">AVERAGE(OFFSET($FI$3,0,0,'Données projet'!$E$16+1,1))-AVERAGE(OFFSET($H$3,0,0,'Données projet'!$E$16+1,1))</f>
        <v>370.59298168107364</v>
      </c>
      <c r="FK78" s="62">
        <f t="shared" si="102"/>
        <v>404.61777090709171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340</v>
      </c>
      <c r="FX78" s="13">
        <f>VLOOKUP(A78,'Données projet'!$A$243:$I$263,9,0)</f>
        <v>7.6</v>
      </c>
      <c r="FY78" s="13">
        <f t="array" ref="FY78">INDEX(FX:FX,MIN(IF(ISNUMBER(FX78:FX274),ROW(FX78:FX274),"")))</f>
        <v>7.6</v>
      </c>
      <c r="FZ78" s="13">
        <f>IF('Données projet'!$A$244&gt;35,FZ77+FY78-GH77,IF(A78&lt;'Données projet'!$A$244,$FW$205^A78,IF(A78='Données projet'!$A$244,'Données projet'!$B$244,FZ77+FY78-GH77)))</f>
        <v>340.00000000000006</v>
      </c>
      <c r="GA78" s="18">
        <f>FZ78*VLOOKUP('Données projet'!$B$17,Paramètres!$A$1:$I$89,3,0)*VLOOKUP('Données projet'!$B$17,Paramètres!$A$1:$I$89,5,0)</f>
        <v>328.84800000000007</v>
      </c>
      <c r="GB78" s="14">
        <f t="shared" si="103"/>
        <v>77.191419592112595</v>
      </c>
      <c r="GC78" s="22">
        <f t="shared" si="79"/>
        <v>707.18532245626284</v>
      </c>
      <c r="GD78" s="62">
        <f t="shared" si="80"/>
        <v>1000.5186557895961</v>
      </c>
      <c r="GE78" s="62">
        <f ca="1">AVERAGE(OFFSET($GD$3,0,0,'Données projet'!$E$17+1,1))-AVERAGE(OFFSET($H$3,0,0,'Données projet'!$E$17+1,1))</f>
        <v>562.69380557620775</v>
      </c>
      <c r="GF78" s="62">
        <f t="shared" si="104"/>
        <v>294.45557293177131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56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303.20512820512818</v>
      </c>
      <c r="GS78" s="13">
        <f>VLOOKUP(A78,'Données projet'!$A$269:$I$289,9,0)</f>
        <v>5.1282051282051269</v>
      </c>
      <c r="GT78" s="13">
        <f t="array" ref="GT78">INDEX(GS:GS,MIN(IF(ISNUMBER(GS78:GS274),ROW(GS78:GS274),"")))</f>
        <v>5.1282051282051269</v>
      </c>
      <c r="GU78" s="13">
        <f>IF('Données projet'!$A$270&gt;35,GU77+GT78-HC77,IF(A78&lt;'Données projet'!$A$270,$GR$205^A78,IF(A78='Données projet'!$A$270,'Données projet'!$B$270,GU77+GT78-HC77)))</f>
        <v>303.20512820512829</v>
      </c>
      <c r="GV78" s="18">
        <f>GU78*VLOOKUP('Données projet'!$B$18,Paramètres!$A$1:$I$89,3,0)*VLOOKUP('Données projet'!$B$18,Paramètres!$A$1:$I$89,5,0)</f>
        <v>203.39000000000007</v>
      </c>
      <c r="GW78" s="14">
        <f t="shared" si="105"/>
        <v>50.488456760806663</v>
      </c>
      <c r="GX78" s="22">
        <f t="shared" si="82"/>
        <v>442.17164552507165</v>
      </c>
      <c r="GY78" s="62">
        <f t="shared" si="83"/>
        <v>735.50497885840491</v>
      </c>
      <c r="GZ78" s="62">
        <f ca="1">AVERAGE(OFFSET($GY$3,0,0,'Données projet'!$E$18+1,1))-AVERAGE(OFFSET($H$3,0,0,'Données projet'!$E$18+1,1))</f>
        <v>363.53487081291541</v>
      </c>
      <c r="HA78" s="62">
        <f t="shared" si="106"/>
        <v>308.1559670593121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529.25712986118265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824.34443007997879</v>
      </c>
      <c r="AN79" s="62">
        <f ca="1">AVERAGE(OFFSET($AM$3,0,0,'Données projet'!$E$10+1,1))-AVERAGE(OFFSET($H$3,0,0,'Données projet'!$E$10+1,1))</f>
        <v>495.77338291316386</v>
      </c>
      <c r="AO79" s="62">
        <f t="shared" si="90"/>
        <v>261.95434270986397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6.8015384615384731</v>
      </c>
      <c r="BD79" s="13">
        <f>IF('Données projet'!$A$88&gt;35,BD78+BC79-BL78,IF(A79&lt;'Données projet'!$A$88,$BA$205^A79,IF(A79='Données projet'!$A$88,'Données projet'!$B$88,BD78+BC79-BL78)))</f>
        <v>386.84307692307721</v>
      </c>
      <c r="BE79" s="14">
        <f>BD79*VLOOKUP('Données projet'!$B$11,Paramètres!$A$1:$I$89,3,0)*VLOOKUP('Données projet'!$B$11,Paramètres!$A$1:$I$89,5,0)</f>
        <v>221.27424000000019</v>
      </c>
      <c r="BF79" s="14">
        <f t="shared" si="91"/>
        <v>54.391742331217159</v>
      </c>
      <c r="BG79" s="22">
        <f t="shared" si="61"/>
        <v>480.11825256020353</v>
      </c>
      <c r="BH79" s="62">
        <f t="shared" si="62"/>
        <v>773.45158589353684</v>
      </c>
      <c r="BI79" s="62">
        <f ca="1">AVERAGE(OFFSET($BH$3,0,0,'Données projet'!$E$11+1,1))-AVERAGE(OFFSET($H$3,0,0,'Données projet'!$E$11+1,1))</f>
        <v>320.67081032419122</v>
      </c>
      <c r="BJ79" s="62">
        <f t="shared" si="92"/>
        <v>290.51177680335746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0.67319196823728589</v>
      </c>
      <c r="BR79" s="23">
        <f>EXP(-LN(2)/2)*BR78+(1-EXP(-LN(2)/2))/(LN(2)/2)*BL79*BO79*VLOOKUP('Données projet'!$B$11,Paramètres!$A$1:$I$89,3,0)*0.475*44/12</f>
        <v>1.2840880551964853E-6</v>
      </c>
      <c r="BS79" s="24">
        <f t="shared" si="63"/>
        <v>0.67319325232534111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2">
        <f t="shared" si="65"/>
        <v>929.8466418131577</v>
      </c>
      <c r="CD79" s="62">
        <f ca="1">AVERAGE(OFFSET($CC$3,0,0,'Données projet'!$E$12+1,1))-AVERAGE(OFFSET($H$3,0,0,'Données projet'!$E$12+1,1))</f>
        <v>587.74247372331615</v>
      </c>
      <c r="CE79" s="62">
        <f t="shared" si="94"/>
        <v>306.61893266146666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4.3589743589743648</v>
      </c>
      <c r="CT79" s="13">
        <f>IF('Données projet'!$A$140&gt;35,CT78+CS79-DB78,IF(A79&lt;'Données projet'!$A$140,$CQ$205^A79,IF(A79='Données projet'!$A$140,'Données projet'!$B$140,CT78+CS79-DB78)))</f>
        <v>219.74358974358964</v>
      </c>
      <c r="CU79" s="18">
        <f>CT79*VLOOKUP('Données projet'!$B$13,Paramètres!$A$1:$I$89,3,0)*VLOOKUP('Données projet'!$B$13,Paramètres!$A$1:$I$89,5,0)</f>
        <v>209.10799999999989</v>
      </c>
      <c r="CV79" s="14">
        <f t="shared" si="95"/>
        <v>51.740612992017297</v>
      </c>
      <c r="CW79" s="22">
        <f t="shared" si="67"/>
        <v>454.31133429442997</v>
      </c>
      <c r="CX79" s="62">
        <f t="shared" si="68"/>
        <v>747.64466762776328</v>
      </c>
      <c r="CY79" s="62">
        <f ca="1">AVERAGE(OFFSET($CX$3,0,0,'Données projet'!$E$13+1,1))-AVERAGE(OFFSET($H$3,0,0,'Données projet'!$E$13+1,1))</f>
        <v>406.24139966722936</v>
      </c>
      <c r="CZ79" s="62">
        <f t="shared" si="96"/>
        <v>295.95724296920577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>
        <f>VLOOKUP(A79,'Données projet'!$A$165:$I$185,2,0)</f>
        <v>520.22307692307686</v>
      </c>
      <c r="DM79" s="13">
        <f>VLOOKUP(A79,'Données projet'!$A$165:$I$185,9,0)</f>
        <v>9.9586538461538368</v>
      </c>
      <c r="DN79" s="13">
        <f t="array" ref="DN79">INDEX(DM:DM,MIN(IF(ISNUMBER(DM79:DM275),ROW(DM79:DM275),"")))</f>
        <v>9.9586538461538368</v>
      </c>
      <c r="DO79" s="13">
        <f>IF('Données projet'!$A$166&gt;35,DO78+DN79-DW78,IF(A79&lt;'Données projet'!$A$166,$DL$205^A79,IF(A79='Données projet'!$A$166,'Données projet'!$B$166,DO78+DN79-DW78)))</f>
        <v>520.22307692307697</v>
      </c>
      <c r="DP79" s="18">
        <f>DO79*VLOOKUP('Données projet'!$B$14,Paramètres!$A$1:$I$89,3,0)*VLOOKUP('Données projet'!$B$14,Paramètres!$A$1:$I$89,5,0)</f>
        <v>311.09340000000003</v>
      </c>
      <c r="DQ79" s="14">
        <f t="shared" si="97"/>
        <v>73.497128797635312</v>
      </c>
      <c r="DR79" s="22">
        <f t="shared" si="70"/>
        <v>669.82850432254816</v>
      </c>
      <c r="DS79" s="62">
        <f t="shared" si="71"/>
        <v>963.16183765588153</v>
      </c>
      <c r="DT79" s="62">
        <f ca="1">AVERAGE(OFFSET($DS$3,0,0,'Données projet'!$E$14+1,1))-AVERAGE(OFFSET($H$3,0,0,'Données projet'!$E$14+1,1))</f>
        <v>356.42779334565381</v>
      </c>
      <c r="DU79" s="62">
        <f t="shared" si="98"/>
        <v>320.06572891923685</v>
      </c>
      <c r="DV79" s="16">
        <f>IF(ISNA(VLOOKUP(A79,'Données projet'!$A$165:$I$185,3,0)),0,VLOOKUP(A79,'Données projet'!$A$165:$I$185,3,0))</f>
        <v>8</v>
      </c>
      <c r="DW79" s="16">
        <f>IF(ISNA(VLOOKUP(A79,'Données projet'!$A$165:$I$185,4,0)),0,VLOOKUP(A79,'Données projet'!$A$165:$I$185,4,0))</f>
        <v>520.22307692307686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1.1097782053257637</v>
      </c>
      <c r="EC79" s="23">
        <f>EXP(-LN(2)/2)*EC78+(1-EXP(-LN(2)/2))/(LN(2)/2)*DW79*DZ79*VLOOKUP('Données projet'!$B$14,Paramètres!$A$1:$I$89,3,0)*0.475*44/12</f>
        <v>2.0242432341909449E-6</v>
      </c>
      <c r="ED79" s="24">
        <f t="shared" si="72"/>
        <v>1.1097802295689978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3.5600000000000023</v>
      </c>
      <c r="FE79" s="13">
        <f>IF('Données projet'!$A$218&gt;35,FE78+FD79-FM78,IF(A79&lt;'Données projet'!$A$218,$FB$205^A79,IF(A79='Données projet'!$A$218,'Données projet'!$B$218,FE78+FD79-FM78)))</f>
        <v>327.05999999999995</v>
      </c>
      <c r="FF79" s="18">
        <f>FE79*VLOOKUP('Données projet'!$B$16,Paramètres!$A$1:$I$89,3,0)*VLOOKUP('Données projet'!$B$16,Paramètres!$A$1:$I$89,5,0)</f>
        <v>260.20893599999999</v>
      </c>
      <c r="FG79" s="14">
        <f t="shared" si="101"/>
        <v>62.766912585729685</v>
      </c>
      <c r="FH79" s="22">
        <f t="shared" si="76"/>
        <v>562.51626962014586</v>
      </c>
      <c r="FI79" s="62">
        <f t="shared" si="77"/>
        <v>855.84960295347923</v>
      </c>
      <c r="FJ79" s="62">
        <f ca="1">AVERAGE(OFFSET($FI$3,0,0,'Données projet'!$E$16+1,1))-AVERAGE(OFFSET($H$3,0,0,'Données projet'!$E$16+1,1))</f>
        <v>370.59298168107364</v>
      </c>
      <c r="FK79" s="62">
        <f t="shared" si="102"/>
        <v>404.61777090709171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7.2</v>
      </c>
      <c r="FZ79" s="13">
        <f>IF('Données projet'!$A$244&gt;35,FZ78+FY79-GH78,IF(A79&lt;'Données projet'!$A$244,$FW$205^A79,IF(A79='Données projet'!$A$244,'Données projet'!$B$244,FZ78+FY79-GH78)))</f>
        <v>291.20000000000005</v>
      </c>
      <c r="GA79" s="18">
        <f>FZ79*VLOOKUP('Données projet'!$B$17,Paramètres!$A$1:$I$89,3,0)*VLOOKUP('Données projet'!$B$17,Paramètres!$A$1:$I$89,5,0)</f>
        <v>281.64864000000006</v>
      </c>
      <c r="GB79" s="14">
        <f t="shared" si="103"/>
        <v>67.315294774697747</v>
      </c>
      <c r="GC79" s="22">
        <f t="shared" si="79"/>
        <v>607.77885306593191</v>
      </c>
      <c r="GD79" s="62">
        <f t="shared" si="80"/>
        <v>901.11218639926528</v>
      </c>
      <c r="GE79" s="62">
        <f ca="1">AVERAGE(OFFSET($GD$3,0,0,'Données projet'!$E$17+1,1))-AVERAGE(OFFSET($H$3,0,0,'Données projet'!$E$17+1,1))</f>
        <v>562.69380557620775</v>
      </c>
      <c r="GF79" s="62">
        <f t="shared" si="104"/>
        <v>294.45557293177131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4.7435897435897463</v>
      </c>
      <c r="GU79" s="13">
        <f>IF('Données projet'!$A$270&gt;35,GU78+GT79-HC78,IF(A79&lt;'Données projet'!$A$270,$GR$205^A79,IF(A79='Données projet'!$A$270,'Données projet'!$B$270,GU78+GT79-HC78)))</f>
        <v>307.94871794871801</v>
      </c>
      <c r="GV79" s="18">
        <f>GU79*VLOOKUP('Données projet'!$B$18,Paramètres!$A$1:$I$89,3,0)*VLOOKUP('Données projet'!$B$18,Paramètres!$A$1:$I$89,5,0)</f>
        <v>206.57200000000006</v>
      </c>
      <c r="GW79" s="14">
        <f t="shared" si="105"/>
        <v>51.185765406859225</v>
      </c>
      <c r="GX79" s="22">
        <f t="shared" si="82"/>
        <v>448.92810808361315</v>
      </c>
      <c r="GY79" s="62">
        <f t="shared" si="83"/>
        <v>742.26144141694647</v>
      </c>
      <c r="GZ79" s="62">
        <f ca="1">AVERAGE(OFFSET($GY$3,0,0,'Données projet'!$E$18+1,1))-AVERAGE(OFFSET($H$3,0,0,'Données projet'!$E$18+1,1))</f>
        <v>363.53487081291541</v>
      </c>
      <c r="HA79" s="62">
        <f t="shared" si="106"/>
        <v>308.1559670593121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529.25712986118265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837.17194525419018</v>
      </c>
      <c r="AN80" s="62">
        <f ca="1">AVERAGE(OFFSET($AM$3,0,0,'Données projet'!$E$10+1,1))-AVERAGE(OFFSET($H$3,0,0,'Données projet'!$E$10+1,1))</f>
        <v>495.77338291316386</v>
      </c>
      <c r="AO80" s="62">
        <f t="shared" si="90"/>
        <v>261.95434270986397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6.8015384615384731</v>
      </c>
      <c r="BD80" s="13">
        <f>IF('Données projet'!$A$88&gt;35,BD79+BC80-BL79,IF(A80&lt;'Données projet'!$A$88,$BA$205^A80,IF(A80='Données projet'!$A$88,'Données projet'!$B$88,BD79+BC80-BL79)))</f>
        <v>393.64461538461569</v>
      </c>
      <c r="BE80" s="14">
        <f>BD80*VLOOKUP('Données projet'!$B$11,Paramètres!$A$1:$I$89,3,0)*VLOOKUP('Données projet'!$B$11,Paramètres!$A$1:$I$89,5,0)</f>
        <v>225.16472000000019</v>
      </c>
      <c r="BF80" s="14">
        <f t="shared" si="91"/>
        <v>55.235891618120917</v>
      </c>
      <c r="BG80" s="22">
        <f t="shared" si="61"/>
        <v>488.36439856822761</v>
      </c>
      <c r="BH80" s="62">
        <f t="shared" si="62"/>
        <v>781.69773190156093</v>
      </c>
      <c r="BI80" s="62">
        <f ca="1">AVERAGE(OFFSET($BH$3,0,0,'Données projet'!$E$11+1,1))-AVERAGE(OFFSET($H$3,0,0,'Données projet'!$E$11+1,1))</f>
        <v>320.67081032419122</v>
      </c>
      <c r="BJ80" s="62">
        <f t="shared" si="92"/>
        <v>290.51177680335746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0.65478349846421025</v>
      </c>
      <c r="BR80" s="23">
        <f>EXP(-LN(2)/2)*BR79+(1-EXP(-LN(2)/2))/(LN(2)/2)*BL80*BO80*VLOOKUP('Données projet'!$B$11,Paramètres!$A$1:$I$89,3,0)*0.475*44/12</f>
        <v>9.0798737147008048E-7</v>
      </c>
      <c r="BS80" s="24">
        <f t="shared" si="63"/>
        <v>0.65478440645158176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2">
        <f t="shared" si="65"/>
        <v>945.22899200862457</v>
      </c>
      <c r="CD80" s="62">
        <f ca="1">AVERAGE(OFFSET($CC$3,0,0,'Données projet'!$E$12+1,1))-AVERAGE(OFFSET($H$3,0,0,'Données projet'!$E$12+1,1))</f>
        <v>587.74247372331615</v>
      </c>
      <c r="CE80" s="62">
        <f t="shared" si="94"/>
        <v>306.61893266146666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4.3589743589743648</v>
      </c>
      <c r="CT80" s="13">
        <f>IF('Données projet'!$A$140&gt;35,CT79+CS80-DB79,IF(A80&lt;'Données projet'!$A$140,$CQ$205^A80,IF(A80='Données projet'!$A$140,'Données projet'!$B$140,CT79+CS80-DB79)))</f>
        <v>224.102564102564</v>
      </c>
      <c r="CU80" s="18">
        <f>CT80*VLOOKUP('Données projet'!$B$13,Paramètres!$A$1:$I$89,3,0)*VLOOKUP('Données projet'!$B$13,Paramètres!$A$1:$I$89,5,0)</f>
        <v>213.25599999999989</v>
      </c>
      <c r="CV80" s="14">
        <f t="shared" si="95"/>
        <v>52.646465235028018</v>
      </c>
      <c r="CW80" s="22">
        <f t="shared" si="67"/>
        <v>463.11346028434019</v>
      </c>
      <c r="CX80" s="62">
        <f t="shared" si="68"/>
        <v>756.44679361767351</v>
      </c>
      <c r="CY80" s="62">
        <f ca="1">AVERAGE(OFFSET($CX$3,0,0,'Données projet'!$E$13+1,1))-AVERAGE(OFFSET($H$3,0,0,'Données projet'!$E$13+1,1))</f>
        <v>406.24139966722936</v>
      </c>
      <c r="CZ80" s="62">
        <f t="shared" si="96"/>
        <v>295.95724296920577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6.7984728957526396E-14</v>
      </c>
      <c r="DQ80" s="14">
        <f t="shared" si="97"/>
        <v>1.0682447123141398E-12</v>
      </c>
      <c r="DR80" s="22">
        <f t="shared" si="70"/>
        <v>1.978932943548152E-12</v>
      </c>
      <c r="DS80" s="62">
        <f t="shared" si="71"/>
        <v>293.3333333333353</v>
      </c>
      <c r="DT80" s="62">
        <f ca="1">AVERAGE(OFFSET($DS$3,0,0,'Données projet'!$E$14+1,1))-AVERAGE(OFFSET($H$3,0,0,'Données projet'!$E$14+1,1))</f>
        <v>356.42779334565381</v>
      </c>
      <c r="DU80" s="62">
        <f t="shared" si="98"/>
        <v>320.06572891923685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1.0794312619404312</v>
      </c>
      <c r="EC80" s="23">
        <f>EXP(-LN(2)/2)*EC79+(1-EXP(-LN(2)/2))/(LN(2)/2)*DW80*DZ80*VLOOKUP('Données projet'!$B$14,Paramètres!$A$1:$I$89,3,0)*0.475*44/12</f>
        <v>1.4313561176674058E-6</v>
      </c>
      <c r="ED80" s="24">
        <f t="shared" si="72"/>
        <v>1.0794326932965488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3.5600000000000023</v>
      </c>
      <c r="FE80" s="13">
        <f>IF('Données projet'!$A$218&gt;35,FE79+FD80-FM79,IF(A80&lt;'Données projet'!$A$218,$FB$205^A80,IF(A80='Données projet'!$A$218,'Données projet'!$B$218,FE79+FD80-FM79)))</f>
        <v>330.61999999999995</v>
      </c>
      <c r="FF80" s="18">
        <f>FE80*VLOOKUP('Données projet'!$B$16,Paramètres!$A$1:$I$89,3,0)*VLOOKUP('Données projet'!$B$16,Paramètres!$A$1:$I$89,5,0)</f>
        <v>263.04127199999994</v>
      </c>
      <c r="FG80" s="14">
        <f t="shared" si="101"/>
        <v>63.370214823641057</v>
      </c>
      <c r="FH80" s="22">
        <f t="shared" si="76"/>
        <v>568.50000621784136</v>
      </c>
      <c r="FI80" s="62">
        <f t="shared" si="77"/>
        <v>861.83333955117473</v>
      </c>
      <c r="FJ80" s="62">
        <f ca="1">AVERAGE(OFFSET($FI$3,0,0,'Données projet'!$E$16+1,1))-AVERAGE(OFFSET($H$3,0,0,'Données projet'!$E$16+1,1))</f>
        <v>370.59298168107364</v>
      </c>
      <c r="FK80" s="62">
        <f t="shared" si="102"/>
        <v>404.61777090709171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7.2</v>
      </c>
      <c r="FZ80" s="13">
        <f>IF('Données projet'!$A$244&gt;35,FZ79+FY80-GH79,IF(A80&lt;'Données projet'!$A$244,$FW$205^A80,IF(A80='Données projet'!$A$244,'Données projet'!$B$244,FZ79+FY80-GH79)))</f>
        <v>298.40000000000003</v>
      </c>
      <c r="GA80" s="18">
        <f>FZ80*VLOOKUP('Données projet'!$B$17,Paramètres!$A$1:$I$89,3,0)*VLOOKUP('Données projet'!$B$17,Paramètres!$A$1:$I$89,5,0)</f>
        <v>288.61248000000001</v>
      </c>
      <c r="GB80" s="14">
        <f t="shared" si="103"/>
        <v>68.783851967051476</v>
      </c>
      <c r="GC80" s="22">
        <f t="shared" si="79"/>
        <v>622.4652781759479</v>
      </c>
      <c r="GD80" s="62">
        <f t="shared" si="80"/>
        <v>915.79861150928127</v>
      </c>
      <c r="GE80" s="62">
        <f ca="1">AVERAGE(OFFSET($GD$3,0,0,'Données projet'!$E$17+1,1))-AVERAGE(OFFSET($H$3,0,0,'Données projet'!$E$17+1,1))</f>
        <v>562.69380557620775</v>
      </c>
      <c r="GF80" s="62">
        <f t="shared" si="104"/>
        <v>294.45557293177131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4.7435897435897463</v>
      </c>
      <c r="GU80" s="13">
        <f>IF('Données projet'!$A$270&gt;35,GU79+GT80-HC79,IF(A80&lt;'Données projet'!$A$270,$GR$205^A80,IF(A80='Données projet'!$A$270,'Données projet'!$B$270,GU79+GT80-HC79)))</f>
        <v>312.69230769230774</v>
      </c>
      <c r="GV80" s="18">
        <f>GU80*VLOOKUP('Données projet'!$B$18,Paramètres!$A$1:$I$89,3,0)*VLOOKUP('Données projet'!$B$18,Paramètres!$A$1:$I$89,5,0)</f>
        <v>209.75400000000005</v>
      </c>
      <c r="GW80" s="14">
        <f t="shared" si="105"/>
        <v>51.881824842420912</v>
      </c>
      <c r="GX80" s="22">
        <f t="shared" si="82"/>
        <v>455.68239493388319</v>
      </c>
      <c r="GY80" s="62">
        <f t="shared" si="83"/>
        <v>749.01572826721645</v>
      </c>
      <c r="GZ80" s="62">
        <f ca="1">AVERAGE(OFFSET($GY$3,0,0,'Données projet'!$E$18+1,1))-AVERAGE(OFFSET($H$3,0,0,'Données projet'!$E$18+1,1))</f>
        <v>363.53487081291541</v>
      </c>
      <c r="HA80" s="62">
        <f t="shared" si="106"/>
        <v>308.1559670593121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529.25712986118265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849.99311058231501</v>
      </c>
      <c r="AN81" s="62">
        <f ca="1">AVERAGE(OFFSET($AM$3,0,0,'Données projet'!$E$10+1,1))-AVERAGE(OFFSET($H$3,0,0,'Données projet'!$E$10+1,1))</f>
        <v>495.77338291316386</v>
      </c>
      <c r="AO81" s="62">
        <f t="shared" si="90"/>
        <v>261.95434270986397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400.44615384615389</v>
      </c>
      <c r="BB81" s="13">
        <f>VLOOKUP(A81,'Données projet'!$A$87:$I$107,9,0)</f>
        <v>6.8015384615384731</v>
      </c>
      <c r="BC81" s="13">
        <f t="array" ref="BC81">INDEX(BB:BB,MIN(IF(ISNUMBER(BB81:BB277),ROW(BB81:BB277),"")))</f>
        <v>6.8015384615384731</v>
      </c>
      <c r="BD81" s="13">
        <f>IF('Données projet'!$A$88&gt;35,BD80+BC81-BL80,IF(A81&lt;'Données projet'!$A$88,$BA$205^A81,IF(A81='Données projet'!$A$88,'Données projet'!$B$88,BD80+BC81-BL80)))</f>
        <v>400.44615384615417</v>
      </c>
      <c r="BE81" s="14">
        <f>BD81*VLOOKUP('Données projet'!$B$11,Paramètres!$A$1:$I$89,3,0)*VLOOKUP('Données projet'!$B$11,Paramètres!$A$1:$I$89,5,0)</f>
        <v>229.05520000000021</v>
      </c>
      <c r="BF81" s="14">
        <f t="shared" si="91"/>
        <v>56.078344766675279</v>
      </c>
      <c r="BG81" s="22">
        <f t="shared" si="61"/>
        <v>496.60759046862637</v>
      </c>
      <c r="BH81" s="62">
        <f t="shared" si="62"/>
        <v>789.94092380195968</v>
      </c>
      <c r="BI81" s="62">
        <f ca="1">AVERAGE(OFFSET($BH$3,0,0,'Données projet'!$E$11+1,1))-AVERAGE(OFFSET($H$3,0,0,'Données projet'!$E$11+1,1))</f>
        <v>320.67081032419122</v>
      </c>
      <c r="BJ81" s="62">
        <f t="shared" si="92"/>
        <v>290.51177680335746</v>
      </c>
      <c r="BK81" s="16">
        <f>IF(ISNA(VLOOKUP(A81,'Données projet'!$A$87:$I$107,3,0)),0,VLOOKUP(A81,'Données projet'!$A$87:$I$107,3,0))</f>
        <v>9</v>
      </c>
      <c r="BL81" s="16">
        <f>IF(ISNA(VLOOKUP(A81,'Données projet'!$A$87:$I$107,4,0)),0,VLOOKUP(A81,'Données projet'!$A$87:$I$107,4,0))</f>
        <v>42.9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0.63687840926513872</v>
      </c>
      <c r="BR81" s="23">
        <f>EXP(-LN(2)/2)*BR80+(1-EXP(-LN(2)/2))/(LN(2)/2)*BL81*BO81*VLOOKUP('Données projet'!$B$11,Paramètres!$A$1:$I$89,3,0)*0.475*44/12</f>
        <v>6.4204402759824264E-7</v>
      </c>
      <c r="BS81" s="24">
        <f t="shared" si="63"/>
        <v>0.63687905130916633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2">
        <f t="shared" si="65"/>
        <v>960.60386205396253</v>
      </c>
      <c r="CD81" s="62">
        <f ca="1">AVERAGE(OFFSET($CC$3,0,0,'Données projet'!$E$12+1,1))-AVERAGE(OFFSET($H$3,0,0,'Données projet'!$E$12+1,1))</f>
        <v>587.74247372331615</v>
      </c>
      <c r="CE81" s="62">
        <f t="shared" si="94"/>
        <v>306.61893266146666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4.3589743589743648</v>
      </c>
      <c r="CT81" s="13">
        <f>IF('Données projet'!$A$140&gt;35,CT80+CS81-DB80,IF(A81&lt;'Données projet'!$A$140,$CQ$205^A81,IF(A81='Données projet'!$A$140,'Données projet'!$B$140,CT80+CS81-DB80)))</f>
        <v>228.46153846153837</v>
      </c>
      <c r="CU81" s="18">
        <f>CT81*VLOOKUP('Données projet'!$B$13,Paramètres!$A$1:$I$89,3,0)*VLOOKUP('Données projet'!$B$13,Paramètres!$A$1:$I$89,5,0)</f>
        <v>217.40399999999991</v>
      </c>
      <c r="CV81" s="14">
        <f t="shared" si="95"/>
        <v>53.550268745628323</v>
      </c>
      <c r="CW81" s="22">
        <f t="shared" si="67"/>
        <v>471.91201806530245</v>
      </c>
      <c r="CX81" s="62">
        <f t="shared" si="68"/>
        <v>765.24535139863576</v>
      </c>
      <c r="CY81" s="62">
        <f ca="1">AVERAGE(OFFSET($CX$3,0,0,'Données projet'!$E$13+1,1))-AVERAGE(OFFSET($H$3,0,0,'Données projet'!$E$13+1,1))</f>
        <v>406.24139966722936</v>
      </c>
      <c r="CZ81" s="62">
        <f t="shared" si="96"/>
        <v>295.95724296920577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6.7984728957526396E-14</v>
      </c>
      <c r="DQ81" s="14">
        <f t="shared" si="97"/>
        <v>1.0682447123141398E-12</v>
      </c>
      <c r="DR81" s="22">
        <f t="shared" si="70"/>
        <v>1.978932943548152E-12</v>
      </c>
      <c r="DS81" s="62">
        <f t="shared" si="71"/>
        <v>293.3333333333353</v>
      </c>
      <c r="DT81" s="62">
        <f ca="1">AVERAGE(OFFSET($DS$3,0,0,'Données projet'!$E$14+1,1))-AVERAGE(OFFSET($H$3,0,0,'Données projet'!$E$14+1,1))</f>
        <v>356.42779334565381</v>
      </c>
      <c r="DU81" s="62">
        <f t="shared" si="98"/>
        <v>320.06572891923685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1.049914157317847</v>
      </c>
      <c r="EC81" s="23">
        <f>EXP(-LN(2)/2)*EC80+(1-EXP(-LN(2)/2))/(LN(2)/2)*DW81*DZ81*VLOOKUP('Données projet'!$B$14,Paramètres!$A$1:$I$89,3,0)*0.475*44/12</f>
        <v>1.0121216170954724E-6</v>
      </c>
      <c r="ED81" s="24">
        <f t="shared" si="72"/>
        <v>1.0499151694394642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3.5600000000000023</v>
      </c>
      <c r="FE81" s="13">
        <f>IF('Données projet'!$A$218&gt;35,FE80+FD81-FM80,IF(A81&lt;'Données projet'!$A$218,$FB$205^A81,IF(A81='Données projet'!$A$218,'Données projet'!$B$218,FE80+FD81-FM80)))</f>
        <v>334.17999999999995</v>
      </c>
      <c r="FF81" s="18">
        <f>FE81*VLOOKUP('Données projet'!$B$16,Paramètres!$A$1:$I$89,3,0)*VLOOKUP('Données projet'!$B$16,Paramètres!$A$1:$I$89,5,0)</f>
        <v>265.87360799999999</v>
      </c>
      <c r="FG81" s="14">
        <f t="shared" si="101"/>
        <v>63.972761368317435</v>
      </c>
      <c r="FH81" s="22">
        <f t="shared" si="76"/>
        <v>574.48242664981956</v>
      </c>
      <c r="FI81" s="62">
        <f t="shared" si="77"/>
        <v>867.81575998315293</v>
      </c>
      <c r="FJ81" s="62">
        <f ca="1">AVERAGE(OFFSET($FI$3,0,0,'Données projet'!$E$16+1,1))-AVERAGE(OFFSET($H$3,0,0,'Données projet'!$E$16+1,1))</f>
        <v>370.59298168107364</v>
      </c>
      <c r="FK81" s="62">
        <f t="shared" si="102"/>
        <v>404.61777090709171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7.2</v>
      </c>
      <c r="FZ81" s="13">
        <f>IF('Données projet'!$A$244&gt;35,FZ80+FY81-GH80,IF(A81&lt;'Données projet'!$A$244,$FW$205^A81,IF(A81='Données projet'!$A$244,'Données projet'!$B$244,FZ80+FY81-GH80)))</f>
        <v>305.60000000000002</v>
      </c>
      <c r="GA81" s="18">
        <f>FZ81*VLOOKUP('Données projet'!$B$17,Paramètres!$A$1:$I$89,3,0)*VLOOKUP('Données projet'!$B$17,Paramètres!$A$1:$I$89,5,0)</f>
        <v>295.57632000000001</v>
      </c>
      <c r="GB81" s="14">
        <f t="shared" si="103"/>
        <v>70.24828996461811</v>
      </c>
      <c r="GC81" s="22">
        <f t="shared" si="79"/>
        <v>637.1445290217099</v>
      </c>
      <c r="GD81" s="62">
        <f t="shared" si="80"/>
        <v>930.47786235504327</v>
      </c>
      <c r="GE81" s="62">
        <f ca="1">AVERAGE(OFFSET($GD$3,0,0,'Données projet'!$E$17+1,1))-AVERAGE(OFFSET($H$3,0,0,'Données projet'!$E$17+1,1))</f>
        <v>562.69380557620775</v>
      </c>
      <c r="GF81" s="62">
        <f t="shared" si="104"/>
        <v>294.45557293177131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4.7435897435897463</v>
      </c>
      <c r="GU81" s="13">
        <f>IF('Données projet'!$A$270&gt;35,GU80+GT81-HC80,IF(A81&lt;'Données projet'!$A$270,$GR$205^A81,IF(A81='Données projet'!$A$270,'Données projet'!$B$270,GU80+GT81-HC80)))</f>
        <v>317.43589743589746</v>
      </c>
      <c r="GV81" s="18">
        <f>GU81*VLOOKUP('Données projet'!$B$18,Paramètres!$A$1:$I$89,3,0)*VLOOKUP('Données projet'!$B$18,Paramètres!$A$1:$I$89,5,0)</f>
        <v>212.93600000000001</v>
      </c>
      <c r="GW81" s="14">
        <f t="shared" si="105"/>
        <v>52.576656207031739</v>
      </c>
      <c r="GX81" s="22">
        <f t="shared" si="82"/>
        <v>462.4345428939136</v>
      </c>
      <c r="GY81" s="62">
        <f t="shared" si="83"/>
        <v>755.76787622724692</v>
      </c>
      <c r="GZ81" s="62">
        <f ca="1">AVERAGE(OFFSET($GY$3,0,0,'Données projet'!$E$18+1,1))-AVERAGE(OFFSET($H$3,0,0,'Données projet'!$E$18+1,1))</f>
        <v>363.53487081291541</v>
      </c>
      <c r="HA81" s="62">
        <f t="shared" si="106"/>
        <v>308.1559670593121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529.25712986118265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862.80809288432147</v>
      </c>
      <c r="AN82" s="62">
        <f ca="1">AVERAGE(OFFSET($AM$3,0,0,'Données projet'!$E$10+1,1))-AVERAGE(OFFSET($H$3,0,0,'Données projet'!$E$10+1,1))</f>
        <v>495.77338291316386</v>
      </c>
      <c r="AO82" s="62">
        <f t="shared" si="90"/>
        <v>261.95434270986397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6.0969230769230647</v>
      </c>
      <c r="BD82" s="13">
        <f>IF('Données projet'!$A$88&gt;35,BD81+BC82-BL81,IF(A82&lt;'Données projet'!$A$88,$BA$205^A82,IF(A82='Données projet'!$A$88,'Données projet'!$B$88,BD81+BC82-BL81)))</f>
        <v>363.64307692307727</v>
      </c>
      <c r="BE82" s="14">
        <f>BD82*VLOOKUP('Données projet'!$B$11,Paramètres!$A$1:$I$89,3,0)*VLOOKUP('Données projet'!$B$11,Paramètres!$A$1:$I$89,5,0)</f>
        <v>208.00384000000022</v>
      </c>
      <c r="BF82" s="14">
        <f t="shared" si="91"/>
        <v>51.499132336298203</v>
      </c>
      <c r="BG82" s="22">
        <f t="shared" si="61"/>
        <v>451.967676819053</v>
      </c>
      <c r="BH82" s="62">
        <f t="shared" si="62"/>
        <v>745.30101015238631</v>
      </c>
      <c r="BI82" s="62">
        <f ca="1">AVERAGE(OFFSET($BH$3,0,0,'Données projet'!$E$11+1,1))-AVERAGE(OFFSET($H$3,0,0,'Données projet'!$E$11+1,1))</f>
        <v>320.67081032419122</v>
      </c>
      <c r="BJ82" s="62">
        <f t="shared" si="92"/>
        <v>290.51177680335746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0.61946293567180355</v>
      </c>
      <c r="BR82" s="23">
        <f>EXP(-LN(2)/2)*BR81+(1-EXP(-LN(2)/2))/(LN(2)/2)*BL82*BO82*VLOOKUP('Données projet'!$B$11,Paramètres!$A$1:$I$89,3,0)*0.475*44/12</f>
        <v>4.5399368573504024E-7</v>
      </c>
      <c r="BS82" s="24">
        <f t="shared" si="63"/>
        <v>0.61946338966548931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2">
        <f t="shared" si="65"/>
        <v>975.97144846392098</v>
      </c>
      <c r="CD82" s="62">
        <f ca="1">AVERAGE(OFFSET($CC$3,0,0,'Données projet'!$E$12+1,1))-AVERAGE(OFFSET($H$3,0,0,'Données projet'!$E$12+1,1))</f>
        <v>587.74247372331615</v>
      </c>
      <c r="CE82" s="62">
        <f t="shared" si="94"/>
        <v>306.61893266146666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4.3589743589743648</v>
      </c>
      <c r="CT82" s="13">
        <f>IF('Données projet'!$A$140&gt;35,CT81+CS82-DB81,IF(A82&lt;'Données projet'!$A$140,$CQ$205^A82,IF(A82='Données projet'!$A$140,'Données projet'!$B$140,CT81+CS82-DB81)))</f>
        <v>232.82051282051273</v>
      </c>
      <c r="CU82" s="18">
        <f>CT82*VLOOKUP('Données projet'!$B$13,Paramètres!$A$1:$I$89,3,0)*VLOOKUP('Données projet'!$B$13,Paramètres!$A$1:$I$89,5,0)</f>
        <v>221.55199999999994</v>
      </c>
      <c r="CV82" s="14">
        <f t="shared" si="95"/>
        <v>54.452067119881683</v>
      </c>
      <c r="CW82" s="22">
        <f t="shared" si="67"/>
        <v>480.70708356712709</v>
      </c>
      <c r="CX82" s="62">
        <f t="shared" si="68"/>
        <v>774.0404169004604</v>
      </c>
      <c r="CY82" s="62">
        <f ca="1">AVERAGE(OFFSET($CX$3,0,0,'Données projet'!$E$13+1,1))-AVERAGE(OFFSET($H$3,0,0,'Données projet'!$E$13+1,1))</f>
        <v>406.24139966722936</v>
      </c>
      <c r="CZ82" s="62">
        <f t="shared" si="96"/>
        <v>295.95724296920577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6.7984728957526396E-14</v>
      </c>
      <c r="DQ82" s="14">
        <f t="shared" si="97"/>
        <v>1.0682447123141398E-12</v>
      </c>
      <c r="DR82" s="22">
        <f t="shared" si="70"/>
        <v>1.978932943548152E-12</v>
      </c>
      <c r="DS82" s="62">
        <f t="shared" si="71"/>
        <v>293.3333333333353</v>
      </c>
      <c r="DT82" s="62">
        <f ca="1">AVERAGE(OFFSET($DS$3,0,0,'Données projet'!$E$14+1,1))-AVERAGE(OFFSET($H$3,0,0,'Données projet'!$E$14+1,1))</f>
        <v>356.42779334565381</v>
      </c>
      <c r="DU82" s="62">
        <f t="shared" si="98"/>
        <v>320.06572891923685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1.0212041994734045</v>
      </c>
      <c r="EC82" s="23">
        <f>EXP(-LN(2)/2)*EC81+(1-EXP(-LN(2)/2))/(LN(2)/2)*DW82*DZ82*VLOOKUP('Données projet'!$B$14,Paramètres!$A$1:$I$89,3,0)*0.475*44/12</f>
        <v>7.1567805883370288E-7</v>
      </c>
      <c r="ED82" s="24">
        <f t="shared" si="72"/>
        <v>1.0212049151514633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3.5600000000000023</v>
      </c>
      <c r="FE82" s="13">
        <f>IF('Données projet'!$A$218&gt;35,FE81+FD82-FM81,IF(A82&lt;'Données projet'!$A$218,$FB$205^A82,IF(A82='Données projet'!$A$218,'Données projet'!$B$218,FE81+FD82-FM81)))</f>
        <v>337.73999999999995</v>
      </c>
      <c r="FF82" s="18">
        <f>FE82*VLOOKUP('Données projet'!$B$16,Paramètres!$A$1:$I$89,3,0)*VLOOKUP('Données projet'!$B$16,Paramètres!$A$1:$I$89,5,0)</f>
        <v>268.70594399999999</v>
      </c>
      <c r="FG82" s="14">
        <f t="shared" si="101"/>
        <v>64.574561201947517</v>
      </c>
      <c r="FH82" s="22">
        <f t="shared" si="76"/>
        <v>580.46354656005849</v>
      </c>
      <c r="FI82" s="62">
        <f t="shared" si="77"/>
        <v>873.79687989339186</v>
      </c>
      <c r="FJ82" s="62">
        <f ca="1">AVERAGE(OFFSET($FI$3,0,0,'Données projet'!$E$16+1,1))-AVERAGE(OFFSET($H$3,0,0,'Données projet'!$E$16+1,1))</f>
        <v>370.59298168107364</v>
      </c>
      <c r="FK82" s="62">
        <f t="shared" si="102"/>
        <v>404.61777090709171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7.2</v>
      </c>
      <c r="FZ82" s="13">
        <f>IF('Données projet'!$A$244&gt;35,FZ81+FY82-GH81,IF(A82&lt;'Données projet'!$A$244,$FW$205^A82,IF(A82='Données projet'!$A$244,'Données projet'!$B$244,FZ81+FY82-GH81)))</f>
        <v>312.8</v>
      </c>
      <c r="GA82" s="18">
        <f>FZ82*VLOOKUP('Données projet'!$B$17,Paramètres!$A$1:$I$89,3,0)*VLOOKUP('Données projet'!$B$17,Paramètres!$A$1:$I$89,5,0)</f>
        <v>302.54016000000001</v>
      </c>
      <c r="GB82" s="14">
        <f t="shared" si="103"/>
        <v>71.708716984815311</v>
      </c>
      <c r="GC82" s="22">
        <f t="shared" si="79"/>
        <v>651.81679408188654</v>
      </c>
      <c r="GD82" s="62">
        <f t="shared" si="80"/>
        <v>945.15012741521991</v>
      </c>
      <c r="GE82" s="62">
        <f ca="1">AVERAGE(OFFSET($GD$3,0,0,'Données projet'!$E$17+1,1))-AVERAGE(OFFSET($H$3,0,0,'Données projet'!$E$17+1,1))</f>
        <v>562.69380557620775</v>
      </c>
      <c r="GF82" s="62">
        <f t="shared" si="104"/>
        <v>294.45557293177131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4.7435897435897463</v>
      </c>
      <c r="GU82" s="13">
        <f>IF('Données projet'!$A$270&gt;35,GU81+GT82-HC81,IF(A82&lt;'Données projet'!$A$270,$GR$205^A82,IF(A82='Données projet'!$A$270,'Données projet'!$B$270,GU81+GT82-HC81)))</f>
        <v>322.17948717948718</v>
      </c>
      <c r="GV82" s="18">
        <f>GU82*VLOOKUP('Données projet'!$B$18,Paramètres!$A$1:$I$89,3,0)*VLOOKUP('Données projet'!$B$18,Paramètres!$A$1:$I$89,5,0)</f>
        <v>216.11799999999999</v>
      </c>
      <c r="GW82" s="14">
        <f t="shared" si="105"/>
        <v>53.270279972172681</v>
      </c>
      <c r="GX82" s="22">
        <f t="shared" si="82"/>
        <v>469.18458761820074</v>
      </c>
      <c r="GY82" s="62">
        <f t="shared" si="83"/>
        <v>762.51792095153405</v>
      </c>
      <c r="GZ82" s="62">
        <f ca="1">AVERAGE(OFFSET($GY$3,0,0,'Données projet'!$E$18+1,1))-AVERAGE(OFFSET($H$3,0,0,'Données projet'!$E$18+1,1))</f>
        <v>363.53487081291541</v>
      </c>
      <c r="HA82" s="62">
        <f t="shared" si="106"/>
        <v>308.1559670593121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529.25712986118265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875.61705086224947</v>
      </c>
      <c r="AN83" s="62">
        <f ca="1">AVERAGE(OFFSET($AM$3,0,0,'Données projet'!$E$10+1,1))-AVERAGE(OFFSET($H$3,0,0,'Données projet'!$E$10+1,1))</f>
        <v>495.77338291316386</v>
      </c>
      <c r="AO83" s="62">
        <f t="shared" si="90"/>
        <v>261.95434270986397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6.0969230769230647</v>
      </c>
      <c r="BD83" s="13">
        <f>IF('Données projet'!$A$88&gt;35,BD82+BC83-BL82,IF(A83&lt;'Données projet'!$A$88,$BA$205^A83,IF(A83='Données projet'!$A$88,'Données projet'!$B$88,BD82+BC83-BL82)))</f>
        <v>369.74000000000035</v>
      </c>
      <c r="BE83" s="14">
        <f>BD83*VLOOKUP('Données projet'!$B$11,Paramètres!$A$1:$I$89,3,0)*VLOOKUP('Données projet'!$B$11,Paramètres!$A$1:$I$89,5,0)</f>
        <v>211.49128000000022</v>
      </c>
      <c r="BF83" s="14">
        <f t="shared" si="91"/>
        <v>52.261333566624387</v>
      </c>
      <c r="BG83" s="22">
        <f t="shared" si="61"/>
        <v>459.36913529520456</v>
      </c>
      <c r="BH83" s="62">
        <f t="shared" si="62"/>
        <v>752.70246862853787</v>
      </c>
      <c r="BI83" s="62">
        <f ca="1">AVERAGE(OFFSET($BH$3,0,0,'Données projet'!$E$11+1,1))-AVERAGE(OFFSET($H$3,0,0,'Données projet'!$E$11+1,1))</f>
        <v>320.67081032419122</v>
      </c>
      <c r="BJ83" s="62">
        <f t="shared" si="92"/>
        <v>290.51177680335746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0.6025236891197181</v>
      </c>
      <c r="BR83" s="23">
        <f>EXP(-LN(2)/2)*BR82+(1-EXP(-LN(2)/2))/(LN(2)/2)*BL83*BO83*VLOOKUP('Données projet'!$B$11,Paramètres!$A$1:$I$89,3,0)*0.475*44/12</f>
        <v>3.2102201379912132E-7</v>
      </c>
      <c r="BS83" s="24">
        <f t="shared" si="63"/>
        <v>0.60252401014173185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2">
        <f t="shared" si="65"/>
        <v>991.33193819028838</v>
      </c>
      <c r="CD83" s="62">
        <f ca="1">AVERAGE(OFFSET($CC$3,0,0,'Données projet'!$E$12+1,1))-AVERAGE(OFFSET($H$3,0,0,'Données projet'!$E$12+1,1))</f>
        <v>587.74247372331615</v>
      </c>
      <c r="CE83" s="62">
        <f t="shared" si="94"/>
        <v>306.61893266146666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237.17948717948718</v>
      </c>
      <c r="CR83" s="13">
        <f>VLOOKUP(A83,'Données projet'!$A$139:$I$159,9,0)</f>
        <v>4.3589743589743648</v>
      </c>
      <c r="CS83" s="13">
        <f t="array" ref="CS83">INDEX(CR:CR,MIN(IF(ISNUMBER(CR83:CR279),ROW(CR83:CR279),"")))</f>
        <v>4.3589743589743648</v>
      </c>
      <c r="CT83" s="13">
        <f>IF('Données projet'!$A$140&gt;35,CT82+CS83-DB82,IF(A83&lt;'Données projet'!$A$140,$CQ$205^A83,IF(A83='Données projet'!$A$140,'Données projet'!$B$140,CT82+CS83-DB82)))</f>
        <v>237.1794871794871</v>
      </c>
      <c r="CU83" s="18">
        <f>CT83*VLOOKUP('Données projet'!$B$13,Paramètres!$A$1:$I$89,3,0)*VLOOKUP('Données projet'!$B$13,Paramètres!$A$1:$I$89,5,0)</f>
        <v>225.69999999999993</v>
      </c>
      <c r="CV83" s="14">
        <f t="shared" si="95"/>
        <v>55.351902227969966</v>
      </c>
      <c r="CW83" s="22">
        <f t="shared" si="67"/>
        <v>489.49872971371423</v>
      </c>
      <c r="CX83" s="62">
        <f t="shared" si="68"/>
        <v>782.83206304704754</v>
      </c>
      <c r="CY83" s="62">
        <f ca="1">AVERAGE(OFFSET($CX$3,0,0,'Données projet'!$E$13+1,1))-AVERAGE(OFFSET($H$3,0,0,'Données projet'!$E$13+1,1))</f>
        <v>406.24139966722936</v>
      </c>
      <c r="CZ83" s="62">
        <f t="shared" si="96"/>
        <v>295.95724296920577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6.7984728957526396E-14</v>
      </c>
      <c r="DQ83" s="14">
        <f t="shared" si="97"/>
        <v>1.0682447123141398E-12</v>
      </c>
      <c r="DR83" s="22">
        <f t="shared" si="70"/>
        <v>1.978932943548152E-12</v>
      </c>
      <c r="DS83" s="62">
        <f t="shared" si="71"/>
        <v>293.3333333333353</v>
      </c>
      <c r="DT83" s="62">
        <f ca="1">AVERAGE(OFFSET($DS$3,0,0,'Données projet'!$E$14+1,1))-AVERAGE(OFFSET($H$3,0,0,'Données projet'!$E$14+1,1))</f>
        <v>356.42779334565381</v>
      </c>
      <c r="DU83" s="62">
        <f t="shared" si="98"/>
        <v>320.06572891923685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0.99327931693600935</v>
      </c>
      <c r="EC83" s="23">
        <f>EXP(-LN(2)/2)*EC82+(1-EXP(-LN(2)/2))/(LN(2)/2)*DW83*DZ83*VLOOKUP('Données projet'!$B$14,Paramètres!$A$1:$I$89,3,0)*0.475*44/12</f>
        <v>5.0606080854773622E-7</v>
      </c>
      <c r="ED83" s="24">
        <f t="shared" si="72"/>
        <v>0.99327982299681794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341.3</v>
      </c>
      <c r="FC83" s="13">
        <f>VLOOKUP(A83,'Données projet'!$A$217:$I$237,9,0)</f>
        <v>3.5600000000000023</v>
      </c>
      <c r="FD83" s="13">
        <f t="array" ref="FD83">INDEX(FC:FC,MIN(IF(ISNUMBER(FC83:FC279),ROW(FC83:FC279),"")))</f>
        <v>3.5600000000000023</v>
      </c>
      <c r="FE83" s="13">
        <f>IF('Données projet'!$A$218&gt;35,FE82+FD83-FM82,IF(A83&lt;'Données projet'!$A$218,$FB$205^A83,IF(A83='Données projet'!$A$218,'Données projet'!$B$218,FE82+FD83-FM82)))</f>
        <v>341.29999999999995</v>
      </c>
      <c r="FF83" s="18">
        <f>FE83*VLOOKUP('Données projet'!$B$16,Paramètres!$A$1:$I$89,3,0)*VLOOKUP('Données projet'!$B$16,Paramètres!$A$1:$I$89,5,0)</f>
        <v>271.53827999999999</v>
      </c>
      <c r="FG83" s="14">
        <f t="shared" si="101"/>
        <v>65.17562310645522</v>
      </c>
      <c r="FH83" s="22">
        <f t="shared" si="76"/>
        <v>586.44338124374281</v>
      </c>
      <c r="FI83" s="62">
        <f t="shared" si="77"/>
        <v>879.77671457707606</v>
      </c>
      <c r="FJ83" s="62">
        <f ca="1">AVERAGE(OFFSET($FI$3,0,0,'Données projet'!$E$16+1,1))-AVERAGE(OFFSET($H$3,0,0,'Données projet'!$E$16+1,1))</f>
        <v>370.59298168107364</v>
      </c>
      <c r="FK83" s="62">
        <f t="shared" si="102"/>
        <v>404.61777090709171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341.3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320</v>
      </c>
      <c r="FX83" s="13">
        <f>VLOOKUP(A83,'Données projet'!$A$243:$I$263,9,0)</f>
        <v>7.2</v>
      </c>
      <c r="FY83" s="13">
        <f t="array" ref="FY83">INDEX(FX:FX,MIN(IF(ISNUMBER(FX83:FX279),ROW(FX83:FX279),"")))</f>
        <v>7.2</v>
      </c>
      <c r="FZ83" s="13">
        <f>IF('Données projet'!$A$244&gt;35,FZ82+FY83-GH82,IF(A83&lt;'Données projet'!$A$244,$FW$205^A83,IF(A83='Données projet'!$A$244,'Données projet'!$B$244,FZ82+FY83-GH82)))</f>
        <v>320</v>
      </c>
      <c r="GA83" s="18">
        <f>FZ83*VLOOKUP('Données projet'!$B$17,Paramètres!$A$1:$I$89,3,0)*VLOOKUP('Données projet'!$B$17,Paramètres!$A$1:$I$89,5,0)</f>
        <v>309.50400000000002</v>
      </c>
      <c r="GB83" s="14">
        <f t="shared" si="103"/>
        <v>73.165235978896504</v>
      </c>
      <c r="GC83" s="22">
        <f t="shared" si="79"/>
        <v>666.48225266324471</v>
      </c>
      <c r="GD83" s="62">
        <f t="shared" si="80"/>
        <v>959.81558599657797</v>
      </c>
      <c r="GE83" s="62">
        <f ca="1">AVERAGE(OFFSET($GD$3,0,0,'Données projet'!$E$17+1,1))-AVERAGE(OFFSET($H$3,0,0,'Données projet'!$E$17+1,1))</f>
        <v>562.69380557620775</v>
      </c>
      <c r="GF83" s="62">
        <f t="shared" si="104"/>
        <v>294.45557293177131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326.92307692307691</v>
      </c>
      <c r="GS83" s="13">
        <f>VLOOKUP(A83,'Données projet'!$A$269:$I$289,9,0)</f>
        <v>4.7435897435897463</v>
      </c>
      <c r="GT83" s="13">
        <f t="array" ref="GT83">INDEX(GS:GS,MIN(IF(ISNUMBER(GS83:GS279),ROW(GS83:GS279),"")))</f>
        <v>4.7435897435897463</v>
      </c>
      <c r="GU83" s="13">
        <f>IF('Données projet'!$A$270&gt;35,GU82+GT83-HC82,IF(A83&lt;'Données projet'!$A$270,$GR$205^A83,IF(A83='Données projet'!$A$270,'Données projet'!$B$270,GU82+GT83-HC82)))</f>
        <v>326.92307692307691</v>
      </c>
      <c r="GV83" s="18">
        <f>GU83*VLOOKUP('Données projet'!$B$18,Paramètres!$A$1:$I$89,3,0)*VLOOKUP('Données projet'!$B$18,Paramètres!$A$1:$I$89,5,0)</f>
        <v>219.29999999999998</v>
      </c>
      <c r="GW83" s="14">
        <f t="shared" si="105"/>
        <v>53.962715971896969</v>
      </c>
      <c r="GX83" s="22">
        <f t="shared" si="82"/>
        <v>475.9325636510539</v>
      </c>
      <c r="GY83" s="62">
        <f t="shared" si="83"/>
        <v>769.26589698438715</v>
      </c>
      <c r="GZ83" s="62">
        <f ca="1">AVERAGE(OFFSET($GY$3,0,0,'Données projet'!$E$18+1,1))-AVERAGE(OFFSET($H$3,0,0,'Données projet'!$E$18+1,1))</f>
        <v>363.53487081291541</v>
      </c>
      <c r="HA83" s="62">
        <f t="shared" si="106"/>
        <v>308.1559670593121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28.846153846153847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930.33320878936752</v>
      </c>
      <c r="S84" s="62">
        <f ca="1">AVERAGE(OFFSET($R$3,0,0,'Données projet'!$E$9+1,1))-AVERAGE(OFFSET($H$3,0,0,'Données projet'!$E$9+1,1))</f>
        <v>529.25712986118265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6.6</v>
      </c>
      <c r="AI84" s="14">
        <f>IF('Données projet'!$A$62&gt;35,AI83+AH84-AQ83,IF(A84&lt;'Données projet'!$A$62,$AF$205^A84,IF(A84='Données projet'!$A$62,'Données projet'!$B$62,AI83+AH84-AQ83)))</f>
        <v>326.60000000000002</v>
      </c>
      <c r="AJ84" s="14">
        <f>AI84*VLOOKUP('Données projet'!$B$10,Paramètres!$A$1:$I$89,3,0)*VLOOKUP('Données projet'!$B$10,Paramètres!$A$1:$I$89,5,0)</f>
        <v>275.12784000000005</v>
      </c>
      <c r="AK84" s="14">
        <f t="shared" si="89"/>
        <v>65.936331882912981</v>
      </c>
      <c r="AL84" s="22">
        <f t="shared" si="58"/>
        <v>594.0200993627401</v>
      </c>
      <c r="AM84" s="62">
        <f t="shared" si="59"/>
        <v>887.35343269607347</v>
      </c>
      <c r="AN84" s="62">
        <f ca="1">AVERAGE(OFFSET($AM$3,0,0,'Données projet'!$E$10+1,1))-AVERAGE(OFFSET($H$3,0,0,'Données projet'!$E$10+1,1))</f>
        <v>495.77338291316386</v>
      </c>
      <c r="AO84" s="62">
        <f t="shared" si="90"/>
        <v>261.95434270986397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6.0969230769230647</v>
      </c>
      <c r="BD84" s="13">
        <f>IF('Données projet'!$A$88&gt;35,BD83+BC84-BL83,IF(A84&lt;'Données projet'!$A$88,$BA$205^A84,IF(A84='Données projet'!$A$88,'Données projet'!$B$88,BD83+BC84-BL83)))</f>
        <v>375.83692307692343</v>
      </c>
      <c r="BE84" s="14">
        <f>BD84*VLOOKUP('Données projet'!$B$11,Paramètres!$A$1:$I$89,3,0)*VLOOKUP('Données projet'!$B$11,Paramètres!$A$1:$I$89,5,0)</f>
        <v>214.97872000000021</v>
      </c>
      <c r="BF84" s="14">
        <f t="shared" si="91"/>
        <v>53.022073155043884</v>
      </c>
      <c r="BG84" s="22">
        <f t="shared" si="61"/>
        <v>466.76804807836851</v>
      </c>
      <c r="BH84" s="62">
        <f t="shared" si="62"/>
        <v>760.10138141170182</v>
      </c>
      <c r="BI84" s="62">
        <f ca="1">AVERAGE(OFFSET($BH$3,0,0,'Données projet'!$E$11+1,1))-AVERAGE(OFFSET($H$3,0,0,'Données projet'!$E$11+1,1))</f>
        <v>320.67081032419122</v>
      </c>
      <c r="BJ84" s="62">
        <f t="shared" si="92"/>
        <v>290.51177680335746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0.5860476471553957</v>
      </c>
      <c r="BR84" s="23">
        <f>EXP(-LN(2)/2)*BR83+(1-EXP(-LN(2)/2))/(LN(2)/2)*BL84*BO84*VLOOKUP('Données projet'!$B$11,Paramètres!$A$1:$I$89,3,0)*0.475*44/12</f>
        <v>2.2699684286752012E-7</v>
      </c>
      <c r="BS84" s="24">
        <f t="shared" si="63"/>
        <v>0.58604787415223858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6.6</v>
      </c>
      <c r="BY84" s="13">
        <f>IF('Données projet'!$A$114&gt;35,BY83+BX84-CG83,IF(A84&lt;'Données projet'!$A$114,$BV$205^A84,IF(A84='Données projet'!$A$114,'Données projet'!$B$114,BY83+BX84-CG83)))</f>
        <v>326.60000000000002</v>
      </c>
      <c r="BZ84" s="14">
        <f>BY84*VLOOKUP('Données projet'!$B$12,Paramètres!$A$1:$I$89,3,0)*VLOOKUP('Données projet'!$B$12,Paramètres!$A$1:$I$89,5,0)</f>
        <v>331.17240000000004</v>
      </c>
      <c r="CA84" s="14">
        <f t="shared" si="93"/>
        <v>77.673325411086211</v>
      </c>
      <c r="CB84" s="22">
        <f t="shared" si="64"/>
        <v>712.07297175764188</v>
      </c>
      <c r="CC84" s="62">
        <f t="shared" si="65"/>
        <v>1005.4063050909751</v>
      </c>
      <c r="CD84" s="62">
        <f ca="1">AVERAGE(OFFSET($CC$3,0,0,'Données projet'!$E$12+1,1))-AVERAGE(OFFSET($H$3,0,0,'Données projet'!$E$12+1,1))</f>
        <v>587.74247372331615</v>
      </c>
      <c r="CE84" s="62">
        <f t="shared" si="94"/>
        <v>306.61893266146666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4.2307692307692264</v>
      </c>
      <c r="CT84" s="13">
        <f>IF('Données projet'!$A$140&gt;35,CT83+CS84-DB83,IF(A84&lt;'Données projet'!$A$140,$CQ$205^A84,IF(A84='Données projet'!$A$140,'Données projet'!$B$140,CT83+CS84-DB83)))</f>
        <v>241.41025641025632</v>
      </c>
      <c r="CU84" s="18">
        <f>CT84*VLOOKUP('Données projet'!$B$13,Paramètres!$A$1:$I$89,3,0)*VLOOKUP('Données projet'!$B$13,Paramètres!$A$1:$I$89,5,0)</f>
        <v>229.72599999999991</v>
      </c>
      <c r="CV84" s="14">
        <f t="shared" si="95"/>
        <v>56.223432215495727</v>
      </c>
      <c r="CW84" s="22">
        <f t="shared" si="67"/>
        <v>498.02859444198822</v>
      </c>
      <c r="CX84" s="62">
        <f t="shared" si="68"/>
        <v>791.36192777532153</v>
      </c>
      <c r="CY84" s="62">
        <f ca="1">AVERAGE(OFFSET($CX$3,0,0,'Données projet'!$E$13+1,1))-AVERAGE(OFFSET($H$3,0,0,'Données projet'!$E$13+1,1))</f>
        <v>406.24139966722936</v>
      </c>
      <c r="CZ84" s="62">
        <f t="shared" si="96"/>
        <v>295.95724296920577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6.7984728957526396E-14</v>
      </c>
      <c r="DQ84" s="14">
        <f t="shared" si="97"/>
        <v>1.0682447123141398E-12</v>
      </c>
      <c r="DR84" s="22">
        <f t="shared" si="70"/>
        <v>1.978932943548152E-12</v>
      </c>
      <c r="DS84" s="62">
        <f t="shared" si="71"/>
        <v>293.3333333333353</v>
      </c>
      <c r="DT84" s="62">
        <f ca="1">AVERAGE(OFFSET($DS$3,0,0,'Données projet'!$E$14+1,1))-AVERAGE(OFFSET($H$3,0,0,'Données projet'!$E$14+1,1))</f>
        <v>356.42779334565381</v>
      </c>
      <c r="DU84" s="62">
        <f t="shared" si="98"/>
        <v>320.06572891923685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0.96611804178010507</v>
      </c>
      <c r="EC84" s="23">
        <f>EXP(-LN(2)/2)*EC83+(1-EXP(-LN(2)/2))/(LN(2)/2)*DW84*DZ84*VLOOKUP('Données projet'!$B$14,Paramètres!$A$1:$I$89,3,0)*0.475*44/12</f>
        <v>3.5783902941685144E-7</v>
      </c>
      <c r="ED84" s="24">
        <f t="shared" si="72"/>
        <v>0.96611839961913448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-5.6843418860808015E-14</v>
      </c>
      <c r="FF84" s="18">
        <f>FE84*VLOOKUP('Données projet'!$B$16,Paramètres!$A$1:$I$89,3,0)*VLOOKUP('Données projet'!$B$16,Paramètres!$A$1:$I$89,5,0)</f>
        <v>-4.5224624045658861E-14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370.59298168107364</v>
      </c>
      <c r="FK84" s="62">
        <f t="shared" si="102"/>
        <v>404.61777090709171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6.6</v>
      </c>
      <c r="FZ84" s="13">
        <f>IF('Données projet'!$A$244&gt;35,FZ83+FY84-GH83,IF(A84&lt;'Données projet'!$A$244,$FW$205^A84,IF(A84='Données projet'!$A$244,'Données projet'!$B$244,FZ83+FY84-GH83)))</f>
        <v>326.60000000000002</v>
      </c>
      <c r="GA84" s="18">
        <f>FZ84*VLOOKUP('Données projet'!$B$17,Paramètres!$A$1:$I$89,3,0)*VLOOKUP('Données projet'!$B$17,Paramètres!$A$1:$I$89,5,0)</f>
        <v>315.88752000000005</v>
      </c>
      <c r="GB84" s="14">
        <f t="shared" si="103"/>
        <v>74.497029125126971</v>
      </c>
      <c r="GC84" s="22">
        <f t="shared" si="79"/>
        <v>679.91975639292957</v>
      </c>
      <c r="GD84" s="62">
        <f t="shared" si="80"/>
        <v>973.25308972626294</v>
      </c>
      <c r="GE84" s="62">
        <f ca="1">AVERAGE(OFFSET($GD$3,0,0,'Données projet'!$E$17+1,1))-AVERAGE(OFFSET($H$3,0,0,'Données projet'!$E$17+1,1))</f>
        <v>562.69380557620775</v>
      </c>
      <c r="GF84" s="62">
        <f t="shared" si="104"/>
        <v>294.45557293177131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4.4871794871794917</v>
      </c>
      <c r="GU84" s="13">
        <f>IF('Données projet'!$A$270&gt;35,GU83+GT84-HC83,IF(A84&lt;'Données projet'!$A$270,$GR$205^A84,IF(A84='Données projet'!$A$270,'Données projet'!$B$270,GU83+GT84-HC83)))</f>
        <v>302.56410256410254</v>
      </c>
      <c r="GV84" s="18">
        <f>GU84*VLOOKUP('Données projet'!$B$18,Paramètres!$A$1:$I$89,3,0)*VLOOKUP('Données projet'!$B$18,Paramètres!$A$1:$I$89,5,0)</f>
        <v>202.95999999999998</v>
      </c>
      <c r="GW84" s="14">
        <f t="shared" si="105"/>
        <v>50.394128866673796</v>
      </c>
      <c r="GX84" s="22">
        <f t="shared" si="82"/>
        <v>441.25844110945678</v>
      </c>
      <c r="GY84" s="62">
        <f t="shared" si="83"/>
        <v>734.5917744427901</v>
      </c>
      <c r="GZ84" s="62">
        <f ca="1">AVERAGE(OFFSET($GY$3,0,0,'Données projet'!$E$18+1,1))-AVERAGE(OFFSET($H$3,0,0,'Données projet'!$E$18+1,1))</f>
        <v>363.53487081291541</v>
      </c>
      <c r="HA84" s="62">
        <f t="shared" si="106"/>
        <v>308.1559670593121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942.915548750384</v>
      </c>
      <c r="S85" s="62">
        <f ca="1">AVERAGE(OFFSET($R$3,0,0,'Données projet'!$E$9+1,1))-AVERAGE(OFFSET($H$3,0,0,'Données projet'!$E$9+1,1))</f>
        <v>529.25712986118265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6.6</v>
      </c>
      <c r="AI85" s="14">
        <f>IF('Données projet'!$A$62&gt;35,AI84+AH85-AQ84,IF(A85&lt;'Données projet'!$A$62,$AF$205^A85,IF(A85='Données projet'!$A$62,'Données projet'!$B$62,AI84+AH85-AQ84)))</f>
        <v>333.20000000000005</v>
      </c>
      <c r="AJ85" s="14">
        <f>AI85*VLOOKUP('Données projet'!$B$10,Paramètres!$A$1:$I$89,3,0)*VLOOKUP('Données projet'!$B$10,Paramètres!$A$1:$I$89,5,0)</f>
        <v>280.68768000000006</v>
      </c>
      <c r="AK85" s="14">
        <f t="shared" si="89"/>
        <v>67.11231467966806</v>
      </c>
      <c r="AL85" s="22">
        <f t="shared" si="58"/>
        <v>605.75165740042189</v>
      </c>
      <c r="AM85" s="62">
        <f t="shared" si="59"/>
        <v>899.08499073375515</v>
      </c>
      <c r="AN85" s="62">
        <f ca="1">AVERAGE(OFFSET($AM$3,0,0,'Données projet'!$E$10+1,1))-AVERAGE(OFFSET($H$3,0,0,'Données projet'!$E$10+1,1))</f>
        <v>495.77338291316386</v>
      </c>
      <c r="AO85" s="62">
        <f t="shared" si="90"/>
        <v>261.95434270986397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6.0969230769230647</v>
      </c>
      <c r="BD85" s="13">
        <f>IF('Données projet'!$A$88&gt;35,BD84+BC85-BL84,IF(A85&lt;'Données projet'!$A$88,$BA$205^A85,IF(A85='Données projet'!$A$88,'Données projet'!$B$88,BD84+BC85-BL84)))</f>
        <v>381.9338461538465</v>
      </c>
      <c r="BE85" s="14">
        <f>BD85*VLOOKUP('Données projet'!$B$11,Paramètres!$A$1:$I$89,3,0)*VLOOKUP('Données projet'!$B$11,Paramètres!$A$1:$I$89,5,0)</f>
        <v>218.4661600000002</v>
      </c>
      <c r="BF85" s="14">
        <f t="shared" si="91"/>
        <v>53.781377550023265</v>
      </c>
      <c r="BG85" s="22">
        <f t="shared" si="61"/>
        <v>474.16446123295759</v>
      </c>
      <c r="BH85" s="62">
        <f t="shared" si="62"/>
        <v>767.49779456629085</v>
      </c>
      <c r="BI85" s="62">
        <f ca="1">AVERAGE(OFFSET($BH$3,0,0,'Données projet'!$E$11+1,1))-AVERAGE(OFFSET($H$3,0,0,'Données projet'!$E$11+1,1))</f>
        <v>320.67081032419122</v>
      </c>
      <c r="BJ85" s="62">
        <f t="shared" si="92"/>
        <v>290.51177680335746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0.57002214342502511</v>
      </c>
      <c r="BR85" s="23">
        <f>EXP(-LN(2)/2)*BR84+(1-EXP(-LN(2)/2))/(LN(2)/2)*BL85*BO85*VLOOKUP('Données projet'!$B$11,Paramètres!$A$1:$I$89,3,0)*0.475*44/12</f>
        <v>1.6051100689956066E-7</v>
      </c>
      <c r="BS85" s="24">
        <f t="shared" si="63"/>
        <v>0.57002230393603204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6.6</v>
      </c>
      <c r="BY85" s="13">
        <f>IF('Données projet'!$A$114&gt;35,BY84+BX85-CG84,IF(A85&lt;'Données projet'!$A$114,$BV$205^A85,IF(A85='Données projet'!$A$114,'Données projet'!$B$114,BY84+BX85-CG84)))</f>
        <v>333.20000000000005</v>
      </c>
      <c r="BZ85" s="14">
        <f>BY85*VLOOKUP('Données projet'!$B$12,Paramètres!$A$1:$I$89,3,0)*VLOOKUP('Données projet'!$B$12,Paramètres!$A$1:$I$89,5,0)</f>
        <v>337.86480000000006</v>
      </c>
      <c r="CA85" s="14">
        <f t="shared" si="93"/>
        <v>79.058638967994398</v>
      </c>
      <c r="CB85" s="22">
        <f t="shared" si="64"/>
        <v>726.1416562025903</v>
      </c>
      <c r="CC85" s="62">
        <f t="shared" si="65"/>
        <v>1019.4749895359237</v>
      </c>
      <c r="CD85" s="62">
        <f ca="1">AVERAGE(OFFSET($CC$3,0,0,'Données projet'!$E$12+1,1))-AVERAGE(OFFSET($H$3,0,0,'Données projet'!$E$12+1,1))</f>
        <v>587.74247372331615</v>
      </c>
      <c r="CE85" s="62">
        <f t="shared" si="94"/>
        <v>306.61893266146666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4.2307692307692264</v>
      </c>
      <c r="CT85" s="13">
        <f>IF('Données projet'!$A$140&gt;35,CT84+CS85-DB84,IF(A85&lt;'Données projet'!$A$140,$CQ$205^A85,IF(A85='Données projet'!$A$140,'Données projet'!$B$140,CT84+CS85-DB84)))</f>
        <v>245.64102564102555</v>
      </c>
      <c r="CU85" s="18">
        <f>CT85*VLOOKUP('Données projet'!$B$13,Paramètres!$A$1:$I$89,3,0)*VLOOKUP('Données projet'!$B$13,Paramètres!$A$1:$I$89,5,0)</f>
        <v>233.75199999999992</v>
      </c>
      <c r="CV85" s="14">
        <f t="shared" si="95"/>
        <v>57.093186053402</v>
      </c>
      <c r="CW85" s="22">
        <f t="shared" si="67"/>
        <v>506.55536570967496</v>
      </c>
      <c r="CX85" s="62">
        <f t="shared" si="68"/>
        <v>799.88869904300827</v>
      </c>
      <c r="CY85" s="62">
        <f ca="1">AVERAGE(OFFSET($CX$3,0,0,'Données projet'!$E$13+1,1))-AVERAGE(OFFSET($H$3,0,0,'Données projet'!$E$13+1,1))</f>
        <v>406.24139966722936</v>
      </c>
      <c r="CZ85" s="62">
        <f t="shared" si="96"/>
        <v>295.95724296920577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6.7984728957526396E-14</v>
      </c>
      <c r="DQ85" s="14">
        <f t="shared" si="97"/>
        <v>1.0682447123141398E-12</v>
      </c>
      <c r="DR85" s="22">
        <f t="shared" si="70"/>
        <v>1.978932943548152E-12</v>
      </c>
      <c r="DS85" s="62">
        <f t="shared" si="71"/>
        <v>293.3333333333353</v>
      </c>
      <c r="DT85" s="62">
        <f ca="1">AVERAGE(OFFSET($DS$3,0,0,'Données projet'!$E$14+1,1))-AVERAGE(OFFSET($H$3,0,0,'Données projet'!$E$14+1,1))</f>
        <v>356.42779334565381</v>
      </c>
      <c r="DU85" s="62">
        <f t="shared" si="98"/>
        <v>320.06572891923685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0.93969949312168832</v>
      </c>
      <c r="EC85" s="23">
        <f>EXP(-LN(2)/2)*EC84+(1-EXP(-LN(2)/2))/(LN(2)/2)*DW85*DZ85*VLOOKUP('Données projet'!$B$14,Paramètres!$A$1:$I$89,3,0)*0.475*44/12</f>
        <v>2.5303040427386811E-7</v>
      </c>
      <c r="ED85" s="24">
        <f t="shared" si="72"/>
        <v>0.93969974615209262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-5.6843418860808015E-14</v>
      </c>
      <c r="FF85" s="18">
        <f>FE85*VLOOKUP('Données projet'!$B$16,Paramètres!$A$1:$I$89,3,0)*VLOOKUP('Données projet'!$B$16,Paramètres!$A$1:$I$89,5,0)</f>
        <v>-4.5224624045658861E-14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370.59298168107364</v>
      </c>
      <c r="FK85" s="62">
        <f t="shared" si="102"/>
        <v>404.61777090709171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6.6</v>
      </c>
      <c r="FZ85" s="13">
        <f>IF('Données projet'!$A$244&gt;35,FZ84+FY85-GH84,IF(A85&lt;'Données projet'!$A$244,$FW$205^A85,IF(A85='Données projet'!$A$244,'Données projet'!$B$244,FZ84+FY85-GH84)))</f>
        <v>333.20000000000005</v>
      </c>
      <c r="GA85" s="18">
        <f>FZ85*VLOOKUP('Données projet'!$B$17,Paramètres!$A$1:$I$89,3,0)*VLOOKUP('Données projet'!$B$17,Paramètres!$A$1:$I$89,5,0)</f>
        <v>322.27104000000008</v>
      </c>
      <c r="GB85" s="14">
        <f t="shared" si="103"/>
        <v>75.825693037097167</v>
      </c>
      <c r="GC85" s="22">
        <f t="shared" si="79"/>
        <v>693.35181003961088</v>
      </c>
      <c r="GD85" s="62">
        <f t="shared" si="80"/>
        <v>986.68514337294414</v>
      </c>
      <c r="GE85" s="62">
        <f ca="1">AVERAGE(OFFSET($GD$3,0,0,'Données projet'!$E$17+1,1))-AVERAGE(OFFSET($H$3,0,0,'Données projet'!$E$17+1,1))</f>
        <v>562.69380557620775</v>
      </c>
      <c r="GF85" s="62">
        <f t="shared" si="104"/>
        <v>294.45557293177131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4.4871794871794917</v>
      </c>
      <c r="GU85" s="13">
        <f>IF('Données projet'!$A$270&gt;35,GU84+GT85-HC84,IF(A85&lt;'Données projet'!$A$270,$GR$205^A85,IF(A85='Données projet'!$A$270,'Données projet'!$B$270,GU84+GT85-HC84)))</f>
        <v>307.05128205128204</v>
      </c>
      <c r="GV85" s="18">
        <f>GU85*VLOOKUP('Données projet'!$B$18,Paramètres!$A$1:$I$89,3,0)*VLOOKUP('Données projet'!$B$18,Paramètres!$A$1:$I$89,5,0)</f>
        <v>205.97</v>
      </c>
      <c r="GW85" s="14">
        <f t="shared" si="105"/>
        <v>51.053938616003535</v>
      </c>
      <c r="GX85" s="22">
        <f t="shared" si="82"/>
        <v>447.65002642287277</v>
      </c>
      <c r="GY85" s="62">
        <f t="shared" si="83"/>
        <v>740.98335975620603</v>
      </c>
      <c r="GZ85" s="62">
        <f ca="1">AVERAGE(OFFSET($GY$3,0,0,'Données projet'!$E$18+1,1))-AVERAGE(OFFSET($H$3,0,0,'Données projet'!$E$18+1,1))</f>
        <v>363.53487081291541</v>
      </c>
      <c r="HA85" s="62">
        <f t="shared" si="106"/>
        <v>308.1559670593121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955.49286402184384</v>
      </c>
      <c r="S86" s="62">
        <f ca="1">AVERAGE(OFFSET($R$3,0,0,'Données projet'!$E$9+1,1))-AVERAGE(OFFSET($H$3,0,0,'Données projet'!$E$9+1,1))</f>
        <v>529.25712986118265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6.6</v>
      </c>
      <c r="AI86" s="14">
        <f>IF('Données projet'!$A$62&gt;35,AI85+AH86-AQ85,IF(A86&lt;'Données projet'!$A$62,$AF$205^A86,IF(A86='Données projet'!$A$62,'Données projet'!$B$62,AI85+AH86-AQ85)))</f>
        <v>339.80000000000007</v>
      </c>
      <c r="AJ86" s="14">
        <f>AI86*VLOOKUP('Données projet'!$B$10,Paramètres!$A$1:$I$89,3,0)*VLOOKUP('Données projet'!$B$10,Paramètres!$A$1:$I$89,5,0)</f>
        <v>286.24752000000007</v>
      </c>
      <c r="AK86" s="14">
        <f t="shared" si="89"/>
        <v>68.285589016924646</v>
      </c>
      <c r="AL86" s="22">
        <f t="shared" si="58"/>
        <v>617.47849820447721</v>
      </c>
      <c r="AM86" s="62">
        <f t="shared" si="59"/>
        <v>910.81183153781058</v>
      </c>
      <c r="AN86" s="62">
        <f ca="1">AVERAGE(OFFSET($AM$3,0,0,'Données projet'!$E$10+1,1))-AVERAGE(OFFSET($H$3,0,0,'Données projet'!$E$10+1,1))</f>
        <v>495.77338291316386</v>
      </c>
      <c r="AO86" s="62">
        <f t="shared" si="90"/>
        <v>261.95434270986397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>
        <f>VLOOKUP(A86,'Données projet'!$A$87:$I$107,2,0)</f>
        <v>388.03076923076924</v>
      </c>
      <c r="BB86" s="13">
        <f>VLOOKUP(A86,'Données projet'!$A$87:$I$107,9,0)</f>
        <v>6.0969230769230647</v>
      </c>
      <c r="BC86" s="13">
        <f t="array" ref="BC86">INDEX(BB:BB,MIN(IF(ISNUMBER(BB86:BB282),ROW(BB86:BB282),"")))</f>
        <v>6.0969230769230647</v>
      </c>
      <c r="BD86" s="13">
        <f>IF('Données projet'!$A$88&gt;35,BD85+BC86-BL85,IF(A86&lt;'Données projet'!$A$88,$BA$205^A86,IF(A86='Données projet'!$A$88,'Données projet'!$B$88,BD85+BC86-BL85)))</f>
        <v>388.03076923076958</v>
      </c>
      <c r="BE86" s="14">
        <f>BD86*VLOOKUP('Données projet'!$B$11,Paramètres!$A$1:$I$89,3,0)*VLOOKUP('Données projet'!$B$11,Paramètres!$A$1:$I$89,5,0)</f>
        <v>221.95360000000019</v>
      </c>
      <c r="BF86" s="14">
        <f t="shared" si="91"/>
        <v>54.539272307191233</v>
      </c>
      <c r="BG86" s="22">
        <f t="shared" si="61"/>
        <v>481.55841926835836</v>
      </c>
      <c r="BH86" s="62">
        <f t="shared" si="62"/>
        <v>774.89175260169168</v>
      </c>
      <c r="BI86" s="62">
        <f ca="1">AVERAGE(OFFSET($BH$3,0,0,'Données projet'!$E$11+1,1))-AVERAGE(OFFSET($H$3,0,0,'Données projet'!$E$11+1,1))</f>
        <v>320.67081032419122</v>
      </c>
      <c r="BJ86" s="62">
        <f t="shared" si="92"/>
        <v>290.51177680335746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0.55443485793690606</v>
      </c>
      <c r="BR86" s="23">
        <f>EXP(-LN(2)/2)*BR85+(1-EXP(-LN(2)/2))/(LN(2)/2)*BL86*BO86*VLOOKUP('Données projet'!$B$11,Paramètres!$A$1:$I$89,3,0)*0.475*44/12</f>
        <v>1.1349842143376006E-7</v>
      </c>
      <c r="BS86" s="24">
        <f t="shared" si="63"/>
        <v>0.55443497143532749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6.6</v>
      </c>
      <c r="BY86" s="13">
        <f>IF('Données projet'!$A$114&gt;35,BY85+BX86-CG85,IF(A86&lt;'Données projet'!$A$114,$BV$205^A86,IF(A86='Données projet'!$A$114,'Données projet'!$B$114,BY85+BX86-CG85)))</f>
        <v>339.80000000000007</v>
      </c>
      <c r="BZ86" s="14">
        <f>BY86*VLOOKUP('Données projet'!$B$12,Paramètres!$A$1:$I$89,3,0)*VLOOKUP('Données projet'!$B$12,Paramètres!$A$1:$I$89,5,0)</f>
        <v>344.55720000000008</v>
      </c>
      <c r="CA86" s="14">
        <f t="shared" si="93"/>
        <v>80.440761946203679</v>
      </c>
      <c r="CB86" s="22">
        <f t="shared" si="64"/>
        <v>740.20478372297146</v>
      </c>
      <c r="CC86" s="62">
        <f t="shared" si="65"/>
        <v>1033.5381170563048</v>
      </c>
      <c r="CD86" s="62">
        <f ca="1">AVERAGE(OFFSET($CC$3,0,0,'Données projet'!$E$12+1,1))-AVERAGE(OFFSET($H$3,0,0,'Données projet'!$E$12+1,1))</f>
        <v>587.74247372331615</v>
      </c>
      <c r="CE86" s="62">
        <f t="shared" si="94"/>
        <v>306.61893266146666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4.2307692307692264</v>
      </c>
      <c r="CT86" s="13">
        <f>IF('Données projet'!$A$140&gt;35,CT85+CS86-DB85,IF(A86&lt;'Données projet'!$A$140,$CQ$205^A86,IF(A86='Données projet'!$A$140,'Données projet'!$B$140,CT85+CS86-DB85)))</f>
        <v>249.87179487179478</v>
      </c>
      <c r="CU86" s="18">
        <f>CT86*VLOOKUP('Données projet'!$B$13,Paramètres!$A$1:$I$89,3,0)*VLOOKUP('Données projet'!$B$13,Paramètres!$A$1:$I$89,5,0)</f>
        <v>237.77799999999993</v>
      </c>
      <c r="CV86" s="14">
        <f t="shared" si="95"/>
        <v>57.961197863009076</v>
      </c>
      <c r="CW86" s="22">
        <f t="shared" si="67"/>
        <v>515.07910294474061</v>
      </c>
      <c r="CX86" s="62">
        <f t="shared" si="68"/>
        <v>808.41243627807398</v>
      </c>
      <c r="CY86" s="62">
        <f ca="1">AVERAGE(OFFSET($CX$3,0,0,'Données projet'!$E$13+1,1))-AVERAGE(OFFSET($H$3,0,0,'Données projet'!$E$13+1,1))</f>
        <v>406.24139966722936</v>
      </c>
      <c r="CZ86" s="62">
        <f t="shared" si="96"/>
        <v>295.95724296920577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6.7984728957526396E-14</v>
      </c>
      <c r="DQ86" s="14">
        <f t="shared" si="97"/>
        <v>1.0682447123141398E-12</v>
      </c>
      <c r="DR86" s="22">
        <f t="shared" si="70"/>
        <v>1.978932943548152E-12</v>
      </c>
      <c r="DS86" s="62">
        <f t="shared" si="71"/>
        <v>293.3333333333353</v>
      </c>
      <c r="DT86" s="62">
        <f ca="1">AVERAGE(OFFSET($DS$3,0,0,'Données projet'!$E$14+1,1))-AVERAGE(OFFSET($H$3,0,0,'Données projet'!$E$14+1,1))</f>
        <v>356.42779334565381</v>
      </c>
      <c r="DU86" s="62">
        <f t="shared" si="98"/>
        <v>320.06572891923685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0.91400336106562707</v>
      </c>
      <c r="EC86" s="23">
        <f>EXP(-LN(2)/2)*EC85+(1-EXP(-LN(2)/2))/(LN(2)/2)*DW86*DZ86*VLOOKUP('Données projet'!$B$14,Paramètres!$A$1:$I$89,3,0)*0.475*44/12</f>
        <v>1.7891951470842572E-7</v>
      </c>
      <c r="ED86" s="24">
        <f t="shared" si="72"/>
        <v>0.91400353998514183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-5.6843418860808015E-14</v>
      </c>
      <c r="FF86" s="18">
        <f>FE86*VLOOKUP('Données projet'!$B$16,Paramètres!$A$1:$I$89,3,0)*VLOOKUP('Données projet'!$B$16,Paramètres!$A$1:$I$89,5,0)</f>
        <v>-4.5224624045658861E-14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370.59298168107364</v>
      </c>
      <c r="FK86" s="62">
        <f t="shared" si="102"/>
        <v>404.61777090709171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6.6</v>
      </c>
      <c r="FZ86" s="13">
        <f>IF('Données projet'!$A$244&gt;35,FZ85+FY86-GH85,IF(A86&lt;'Données projet'!$A$244,$FW$205^A86,IF(A86='Données projet'!$A$244,'Données projet'!$B$244,FZ85+FY86-GH85)))</f>
        <v>339.80000000000007</v>
      </c>
      <c r="GA86" s="18">
        <f>FZ86*VLOOKUP('Données projet'!$B$17,Paramètres!$A$1:$I$89,3,0)*VLOOKUP('Données projet'!$B$17,Paramètres!$A$1:$I$89,5,0)</f>
        <v>328.65456000000006</v>
      </c>
      <c r="GB86" s="14">
        <f t="shared" si="103"/>
        <v>77.151296842743776</v>
      </c>
      <c r="GC86" s="22">
        <f t="shared" si="79"/>
        <v>706.77853400111223</v>
      </c>
      <c r="GD86" s="62">
        <f t="shared" si="80"/>
        <v>1000.1118673344456</v>
      </c>
      <c r="GE86" s="62">
        <f ca="1">AVERAGE(OFFSET($GD$3,0,0,'Données projet'!$E$17+1,1))-AVERAGE(OFFSET($H$3,0,0,'Données projet'!$E$17+1,1))</f>
        <v>562.69380557620775</v>
      </c>
      <c r="GF86" s="62">
        <f t="shared" si="104"/>
        <v>294.45557293177131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4.4871794871794917</v>
      </c>
      <c r="GU86" s="13">
        <f>IF('Données projet'!$A$270&gt;35,GU85+GT86-HC85,IF(A86&lt;'Données projet'!$A$270,$GR$205^A86,IF(A86='Données projet'!$A$270,'Données projet'!$B$270,GU85+GT86-HC85)))</f>
        <v>311.53846153846155</v>
      </c>
      <c r="GV86" s="18">
        <f>GU86*VLOOKUP('Données projet'!$B$18,Paramètres!$A$1:$I$89,3,0)*VLOOKUP('Données projet'!$B$18,Paramètres!$A$1:$I$89,5,0)</f>
        <v>208.98</v>
      </c>
      <c r="GW86" s="14">
        <f t="shared" si="105"/>
        <v>51.712626911871766</v>
      </c>
      <c r="GX86" s="22">
        <f t="shared" si="82"/>
        <v>454.03965853817658</v>
      </c>
      <c r="GY86" s="62">
        <f t="shared" si="83"/>
        <v>747.37299187150984</v>
      </c>
      <c r="GZ86" s="62">
        <f ca="1">AVERAGE(OFFSET($GY$3,0,0,'Données projet'!$E$18+1,1))-AVERAGE(OFFSET($H$3,0,0,'Données projet'!$E$18+1,1))</f>
        <v>363.53487081291541</v>
      </c>
      <c r="HA86" s="62">
        <f t="shared" si="106"/>
        <v>308.1559670593121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968.06526345009888</v>
      </c>
      <c r="S87" s="62">
        <f ca="1">AVERAGE(OFFSET($R$3,0,0,'Données projet'!$E$9+1,1))-AVERAGE(OFFSET($H$3,0,0,'Données projet'!$E$9+1,1))</f>
        <v>529.25712986118265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6.6</v>
      </c>
      <c r="AI87" s="14">
        <f>IF('Données projet'!$A$62&gt;35,AI86+AH87-AQ86,IF(A87&lt;'Données projet'!$A$62,$AF$205^A87,IF(A87='Données projet'!$A$62,'Données projet'!$B$62,AI86+AH87-AQ86)))</f>
        <v>346.40000000000009</v>
      </c>
      <c r="AJ87" s="14">
        <f>AI87*VLOOKUP('Données projet'!$B$10,Paramètres!$A$1:$I$89,3,0)*VLOOKUP('Données projet'!$B$10,Paramètres!$A$1:$I$89,5,0)</f>
        <v>291.80736000000013</v>
      </c>
      <c r="AK87" s="14">
        <f t="shared" si="89"/>
        <v>69.456213566155327</v>
      </c>
      <c r="AL87" s="22">
        <f t="shared" si="58"/>
        <v>629.200723961054</v>
      </c>
      <c r="AM87" s="62">
        <f t="shared" si="59"/>
        <v>922.53405729438737</v>
      </c>
      <c r="AN87" s="62">
        <f ca="1">AVERAGE(OFFSET($AM$3,0,0,'Données projet'!$E$10+1,1))-AVERAGE(OFFSET($H$3,0,0,'Données projet'!$E$10+1,1))</f>
        <v>495.77338291316386</v>
      </c>
      <c r="AO87" s="62">
        <f t="shared" si="90"/>
        <v>261.95434270986397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5.8246153846153792</v>
      </c>
      <c r="BD87" s="13">
        <f>IF('Données projet'!$A$88&gt;35,BD86+BC87-BL86,IF(A87&lt;'Données projet'!$A$88,$BA$205^A87,IF(A87='Données projet'!$A$88,'Données projet'!$B$88,BD86+BC87-BL86)))</f>
        <v>393.85538461538493</v>
      </c>
      <c r="BE87" s="14">
        <f>BD87*VLOOKUP('Données projet'!$B$11,Paramètres!$A$1:$I$89,3,0)*VLOOKUP('Données projet'!$B$11,Paramètres!$A$1:$I$89,5,0)</f>
        <v>225.2852800000002</v>
      </c>
      <c r="BF87" s="14">
        <f t="shared" si="91"/>
        <v>55.26202324450913</v>
      </c>
      <c r="BG87" s="22">
        <f t="shared" si="61"/>
        <v>488.61988648418713</v>
      </c>
      <c r="BH87" s="62">
        <f t="shared" si="62"/>
        <v>781.95321981752045</v>
      </c>
      <c r="BI87" s="62">
        <f ca="1">AVERAGE(OFFSET($BH$3,0,0,'Données projet'!$E$11+1,1))-AVERAGE(OFFSET($H$3,0,0,'Données projet'!$E$11+1,1))</f>
        <v>320.67081032419122</v>
      </c>
      <c r="BJ87" s="62">
        <f t="shared" si="92"/>
        <v>290.51177680335746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0.5392738075901593</v>
      </c>
      <c r="BR87" s="23">
        <f>EXP(-LN(2)/2)*BR86+(1-EXP(-LN(2)/2))/(LN(2)/2)*BL87*BO87*VLOOKUP('Données projet'!$B$11,Paramètres!$A$1:$I$89,3,0)*0.475*44/12</f>
        <v>8.0255503449780329E-8</v>
      </c>
      <c r="BS87" s="24">
        <f t="shared" si="63"/>
        <v>0.53927388784566277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6.6</v>
      </c>
      <c r="BY87" s="13">
        <f>IF('Données projet'!$A$114&gt;35,BY86+BX87-CG86,IF(A87&lt;'Données projet'!$A$114,$BV$205^A87,IF(A87='Données projet'!$A$114,'Données projet'!$B$114,BY86+BX87-CG86)))</f>
        <v>346.40000000000009</v>
      </c>
      <c r="BZ87" s="14">
        <f>BY87*VLOOKUP('Données projet'!$B$12,Paramètres!$A$1:$I$89,3,0)*VLOOKUP('Données projet'!$B$12,Paramètres!$A$1:$I$89,5,0)</f>
        <v>351.2496000000001</v>
      </c>
      <c r="CA87" s="14">
        <f t="shared" si="93"/>
        <v>81.819763460999255</v>
      </c>
      <c r="CB87" s="22">
        <f t="shared" si="64"/>
        <v>754.26247469457383</v>
      </c>
      <c r="CC87" s="62">
        <f t="shared" si="65"/>
        <v>1047.5958080279072</v>
      </c>
      <c r="CD87" s="62">
        <f ca="1">AVERAGE(OFFSET($CC$3,0,0,'Données projet'!$E$12+1,1))-AVERAGE(OFFSET($H$3,0,0,'Données projet'!$E$12+1,1))</f>
        <v>587.74247372331615</v>
      </c>
      <c r="CE87" s="62">
        <f t="shared" si="94"/>
        <v>306.61893266146666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4.2307692307692264</v>
      </c>
      <c r="CT87" s="13">
        <f>IF('Données projet'!$A$140&gt;35,CT86+CS87-DB86,IF(A87&lt;'Données projet'!$A$140,$CQ$205^A87,IF(A87='Données projet'!$A$140,'Données projet'!$B$140,CT86+CS87-DB86)))</f>
        <v>254.102564102564</v>
      </c>
      <c r="CU87" s="18">
        <f>CT87*VLOOKUP('Données projet'!$B$13,Paramètres!$A$1:$I$89,3,0)*VLOOKUP('Données projet'!$B$13,Paramètres!$A$1:$I$89,5,0)</f>
        <v>241.80399999999992</v>
      </c>
      <c r="CV87" s="14">
        <f t="shared" si="95"/>
        <v>58.827500543950599</v>
      </c>
      <c r="CW87" s="22">
        <f t="shared" si="67"/>
        <v>523.59986344738036</v>
      </c>
      <c r="CX87" s="62">
        <f t="shared" si="68"/>
        <v>816.93319678071362</v>
      </c>
      <c r="CY87" s="62">
        <f ca="1">AVERAGE(OFFSET($CX$3,0,0,'Données projet'!$E$13+1,1))-AVERAGE(OFFSET($H$3,0,0,'Données projet'!$E$13+1,1))</f>
        <v>406.24139966722936</v>
      </c>
      <c r="CZ87" s="62">
        <f t="shared" si="96"/>
        <v>295.95724296920577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6.7984728957526396E-14</v>
      </c>
      <c r="DQ87" s="14">
        <f t="shared" si="97"/>
        <v>1.0682447123141398E-12</v>
      </c>
      <c r="DR87" s="22">
        <f t="shared" si="70"/>
        <v>1.978932943548152E-12</v>
      </c>
      <c r="DS87" s="62">
        <f t="shared" si="71"/>
        <v>293.3333333333353</v>
      </c>
      <c r="DT87" s="62">
        <f ca="1">AVERAGE(OFFSET($DS$3,0,0,'Données projet'!$E$14+1,1))-AVERAGE(OFFSET($H$3,0,0,'Données projet'!$E$14+1,1))</f>
        <v>356.42779334565381</v>
      </c>
      <c r="DU87" s="62">
        <f t="shared" si="98"/>
        <v>320.06572891923685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0.88900989109193973</v>
      </c>
      <c r="EC87" s="23">
        <f>EXP(-LN(2)/2)*EC86+(1-EXP(-LN(2)/2))/(LN(2)/2)*DW87*DZ87*VLOOKUP('Données projet'!$B$14,Paramètres!$A$1:$I$89,3,0)*0.475*44/12</f>
        <v>1.2651520213693406E-7</v>
      </c>
      <c r="ED87" s="24">
        <f t="shared" si="72"/>
        <v>0.88901001760714182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-5.6843418860808015E-14</v>
      </c>
      <c r="FF87" s="18">
        <f>FE87*VLOOKUP('Données projet'!$B$16,Paramètres!$A$1:$I$89,3,0)*VLOOKUP('Données projet'!$B$16,Paramètres!$A$1:$I$89,5,0)</f>
        <v>-4.5224624045658861E-14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370.59298168107364</v>
      </c>
      <c r="FK87" s="62">
        <f t="shared" si="102"/>
        <v>404.61777090709171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6.6</v>
      </c>
      <c r="FZ87" s="13">
        <f>IF('Données projet'!$A$244&gt;35,FZ86+FY87-GH86,IF(A87&lt;'Données projet'!$A$244,$FW$205^A87,IF(A87='Données projet'!$A$244,'Données projet'!$B$244,FZ86+FY87-GH86)))</f>
        <v>346.40000000000009</v>
      </c>
      <c r="GA87" s="18">
        <f>FZ87*VLOOKUP('Données projet'!$B$17,Paramètres!$A$1:$I$89,3,0)*VLOOKUP('Données projet'!$B$17,Paramètres!$A$1:$I$89,5,0)</f>
        <v>335.03808000000009</v>
      </c>
      <c r="GB87" s="14">
        <f t="shared" si="103"/>
        <v>78.473906831019789</v>
      </c>
      <c r="GC87" s="22">
        <f t="shared" si="79"/>
        <v>720.20004373069298</v>
      </c>
      <c r="GD87" s="62">
        <f t="shared" si="80"/>
        <v>1013.5333770640264</v>
      </c>
      <c r="GE87" s="62">
        <f ca="1">AVERAGE(OFFSET($GD$3,0,0,'Données projet'!$E$17+1,1))-AVERAGE(OFFSET($H$3,0,0,'Données projet'!$E$17+1,1))</f>
        <v>562.69380557620775</v>
      </c>
      <c r="GF87" s="62">
        <f t="shared" si="104"/>
        <v>294.45557293177131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4.4871794871794917</v>
      </c>
      <c r="GU87" s="13">
        <f>IF('Données projet'!$A$270&gt;35,GU86+GT87-HC86,IF(A87&lt;'Données projet'!$A$270,$GR$205^A87,IF(A87='Données projet'!$A$270,'Données projet'!$B$270,GU86+GT87-HC86)))</f>
        <v>316.02564102564105</v>
      </c>
      <c r="GV87" s="18">
        <f>GU87*VLOOKUP('Données projet'!$B$18,Paramètres!$A$1:$I$89,3,0)*VLOOKUP('Données projet'!$B$18,Paramètres!$A$1:$I$89,5,0)</f>
        <v>211.99000000000004</v>
      </c>
      <c r="GW87" s="14">
        <f t="shared" si="105"/>
        <v>52.370211773211892</v>
      </c>
      <c r="GX87" s="22">
        <f t="shared" si="82"/>
        <v>460.42736883834408</v>
      </c>
      <c r="GY87" s="62">
        <f t="shared" si="83"/>
        <v>753.76070217167739</v>
      </c>
      <c r="GZ87" s="62">
        <f ca="1">AVERAGE(OFFSET($GY$3,0,0,'Données projet'!$E$18+1,1))-AVERAGE(OFFSET($H$3,0,0,'Données projet'!$E$18+1,1))</f>
        <v>363.53487081291541</v>
      </c>
      <c r="HA87" s="62">
        <f t="shared" si="106"/>
        <v>308.1559670593121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980.63285149644685</v>
      </c>
      <c r="S88" s="62">
        <f ca="1">AVERAGE(OFFSET($R$3,0,0,'Données projet'!$E$9+1,1))-AVERAGE(OFFSET($H$3,0,0,'Données projet'!$E$9+1,1))</f>
        <v>529.25712986118265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6.6</v>
      </c>
      <c r="AI88" s="14">
        <f>IF('Données projet'!$A$62&gt;35,AI87+AH88-AQ87,IF(A88&lt;'Données projet'!$A$62,$AF$205^A88,IF(A88='Données projet'!$A$62,'Données projet'!$B$62,AI87+AH88-AQ87)))</f>
        <v>353.00000000000011</v>
      </c>
      <c r="AJ88" s="14">
        <f>AI88*VLOOKUP('Données projet'!$B$10,Paramètres!$A$1:$I$89,3,0)*VLOOKUP('Données projet'!$B$10,Paramètres!$A$1:$I$89,5,0)</f>
        <v>297.36720000000008</v>
      </c>
      <c r="AK88" s="14">
        <f t="shared" si="89"/>
        <v>70.624244635156032</v>
      </c>
      <c r="AL88" s="22">
        <f t="shared" si="58"/>
        <v>640.91843273956351</v>
      </c>
      <c r="AM88" s="62">
        <f t="shared" si="59"/>
        <v>934.25176607289677</v>
      </c>
      <c r="AN88" s="62">
        <f ca="1">AVERAGE(OFFSET($AM$3,0,0,'Données projet'!$E$10+1,1))-AVERAGE(OFFSET($H$3,0,0,'Données projet'!$E$10+1,1))</f>
        <v>495.77338291316386</v>
      </c>
      <c r="AO88" s="62">
        <f t="shared" si="90"/>
        <v>261.95434270986397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5.8246153846153792</v>
      </c>
      <c r="BD88" s="13">
        <f>IF('Données projet'!$A$88&gt;35,BD87+BC88-BL87,IF(A88&lt;'Données projet'!$A$88,$BA$205^A88,IF(A88='Données projet'!$A$88,'Données projet'!$B$88,BD87+BC88-BL87)))</f>
        <v>399.68000000000029</v>
      </c>
      <c r="BE88" s="14">
        <f>BD88*VLOOKUP('Données projet'!$B$11,Paramètres!$A$1:$I$89,3,0)*VLOOKUP('Données projet'!$B$11,Paramètres!$A$1:$I$89,5,0)</f>
        <v>228.61696000000018</v>
      </c>
      <c r="BF88" s="14">
        <f t="shared" si="91"/>
        <v>55.983531055960817</v>
      </c>
      <c r="BG88" s="22">
        <f t="shared" si="61"/>
        <v>495.67918858913208</v>
      </c>
      <c r="BH88" s="62">
        <f t="shared" si="62"/>
        <v>789.01252192246534</v>
      </c>
      <c r="BI88" s="62">
        <f ca="1">AVERAGE(OFFSET($BH$3,0,0,'Données projet'!$E$11+1,1))-AVERAGE(OFFSET($H$3,0,0,'Données projet'!$E$11+1,1))</f>
        <v>320.67081032419122</v>
      </c>
      <c r="BJ88" s="62">
        <f t="shared" si="92"/>
        <v>290.51177680335746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0.52452733696242937</v>
      </c>
      <c r="BR88" s="23">
        <f>EXP(-LN(2)/2)*BR87+(1-EXP(-LN(2)/2))/(LN(2)/2)*BL88*BO88*VLOOKUP('Données projet'!$B$11,Paramètres!$A$1:$I$89,3,0)*0.475*44/12</f>
        <v>5.674921071688003E-8</v>
      </c>
      <c r="BS88" s="24">
        <f t="shared" si="63"/>
        <v>0.52452739371164003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6.6</v>
      </c>
      <c r="BY88" s="13">
        <f>IF('Données projet'!$A$114&gt;35,BY87+BX88-CG87,IF(A88&lt;'Données projet'!$A$114,$BV$205^A88,IF(A88='Données projet'!$A$114,'Données projet'!$B$114,BY87+BX88-CG87)))</f>
        <v>353.00000000000011</v>
      </c>
      <c r="BZ88" s="14">
        <f>BY88*VLOOKUP('Données projet'!$B$12,Paramètres!$A$1:$I$89,3,0)*VLOOKUP('Données projet'!$B$12,Paramètres!$A$1:$I$89,5,0)</f>
        <v>357.94200000000012</v>
      </c>
      <c r="CA88" s="14">
        <f t="shared" si="93"/>
        <v>83.195709843243577</v>
      </c>
      <c r="CB88" s="22">
        <f t="shared" si="64"/>
        <v>768.31484464364928</v>
      </c>
      <c r="CC88" s="62">
        <f t="shared" si="65"/>
        <v>1061.6481779769827</v>
      </c>
      <c r="CD88" s="62">
        <f ca="1">AVERAGE(OFFSET($CC$3,0,0,'Données projet'!$E$12+1,1))-AVERAGE(OFFSET($H$3,0,0,'Données projet'!$E$12+1,1))</f>
        <v>587.74247372331615</v>
      </c>
      <c r="CE88" s="62">
        <f t="shared" si="94"/>
        <v>306.61893266146666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258.33333333333331</v>
      </c>
      <c r="CR88" s="13">
        <f>VLOOKUP(A88,'Données projet'!$A$139:$I$159,9,0)</f>
        <v>4.2307692307692264</v>
      </c>
      <c r="CS88" s="13">
        <f t="array" ref="CS88">INDEX(CR:CR,MIN(IF(ISNUMBER(CR88:CR284),ROW(CR88:CR284),"")))</f>
        <v>4.2307692307692264</v>
      </c>
      <c r="CT88" s="13">
        <f>IF('Données projet'!$A$140&gt;35,CT87+CS88-DB87,IF(A88&lt;'Données projet'!$A$140,$CQ$205^A88,IF(A88='Données projet'!$A$140,'Données projet'!$B$140,CT87+CS88-DB87)))</f>
        <v>258.33333333333326</v>
      </c>
      <c r="CU88" s="18">
        <f>CT88*VLOOKUP('Données projet'!$B$13,Paramètres!$A$1:$I$89,3,0)*VLOOKUP('Données projet'!$B$13,Paramètres!$A$1:$I$89,5,0)</f>
        <v>245.82999999999993</v>
      </c>
      <c r="CV88" s="14">
        <f t="shared" si="95"/>
        <v>59.692125837514034</v>
      </c>
      <c r="CW88" s="22">
        <f t="shared" si="67"/>
        <v>532.1177025003368</v>
      </c>
      <c r="CX88" s="62">
        <f t="shared" si="68"/>
        <v>825.45103583367018</v>
      </c>
      <c r="CY88" s="62">
        <f ca="1">AVERAGE(OFFSET($CX$3,0,0,'Données projet'!$E$13+1,1))-AVERAGE(OFFSET($H$3,0,0,'Données projet'!$E$13+1,1))</f>
        <v>406.24139966722936</v>
      </c>
      <c r="CZ88" s="62">
        <f t="shared" si="96"/>
        <v>295.95724296920577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28.846153846153847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6.7984728957526396E-14</v>
      </c>
      <c r="DQ88" s="14">
        <f t="shared" si="97"/>
        <v>1.0682447123141398E-12</v>
      </c>
      <c r="DR88" s="22">
        <f t="shared" si="70"/>
        <v>1.978932943548152E-12</v>
      </c>
      <c r="DS88" s="62">
        <f t="shared" si="71"/>
        <v>293.3333333333353</v>
      </c>
      <c r="DT88" s="62">
        <f ca="1">AVERAGE(OFFSET($DS$3,0,0,'Données projet'!$E$14+1,1))-AVERAGE(OFFSET($H$3,0,0,'Données projet'!$E$14+1,1))</f>
        <v>356.42779334565381</v>
      </c>
      <c r="DU88" s="62">
        <f t="shared" si="98"/>
        <v>320.06572891923685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0.86469986886903227</v>
      </c>
      <c r="EC88" s="23">
        <f>EXP(-LN(2)/2)*EC87+(1-EXP(-LN(2)/2))/(LN(2)/2)*DW88*DZ88*VLOOKUP('Données projet'!$B$14,Paramètres!$A$1:$I$89,3,0)*0.475*44/12</f>
        <v>8.945975735421286E-8</v>
      </c>
      <c r="ED88" s="24">
        <f t="shared" si="72"/>
        <v>0.86469995832878965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-5.6843418860808015E-14</v>
      </c>
      <c r="FF88" s="18">
        <f>FE88*VLOOKUP('Données projet'!$B$16,Paramètres!$A$1:$I$89,3,0)*VLOOKUP('Données projet'!$B$16,Paramètres!$A$1:$I$89,5,0)</f>
        <v>-4.5224624045658861E-14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370.59298168107364</v>
      </c>
      <c r="FK88" s="62">
        <f t="shared" si="102"/>
        <v>404.61777090709171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6.6</v>
      </c>
      <c r="FZ88" s="13">
        <f>IF('Données projet'!$A$244&gt;35,FZ87+FY88-GH87,IF(A88&lt;'Données projet'!$A$244,$FW$205^A88,IF(A88='Données projet'!$A$244,'Données projet'!$B$244,FZ87+FY88-GH87)))</f>
        <v>353.00000000000011</v>
      </c>
      <c r="GA88" s="18">
        <f>FZ88*VLOOKUP('Données projet'!$B$17,Paramètres!$A$1:$I$89,3,0)*VLOOKUP('Données projet'!$B$17,Paramètres!$A$1:$I$89,5,0)</f>
        <v>341.42160000000013</v>
      </c>
      <c r="GB88" s="14">
        <f t="shared" si="103"/>
        <v>79.793586620318962</v>
      </c>
      <c r="GC88" s="22">
        <f t="shared" si="79"/>
        <v>733.61645003038905</v>
      </c>
      <c r="GD88" s="62">
        <f t="shared" si="80"/>
        <v>1026.9497833637224</v>
      </c>
      <c r="GE88" s="62">
        <f ca="1">AVERAGE(OFFSET($GD$3,0,0,'Données projet'!$E$17+1,1))-AVERAGE(OFFSET($H$3,0,0,'Données projet'!$E$17+1,1))</f>
        <v>562.69380557620775</v>
      </c>
      <c r="GF88" s="62">
        <f t="shared" si="104"/>
        <v>294.45557293177131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320.5128205128205</v>
      </c>
      <c r="GS88" s="13">
        <f>VLOOKUP(A88,'Données projet'!$A$269:$I$289,9,0)</f>
        <v>4.4871794871794917</v>
      </c>
      <c r="GT88" s="13">
        <f t="array" ref="GT88">INDEX(GS:GS,MIN(IF(ISNUMBER(GS88:GS284),ROW(GS88:GS284),"")))</f>
        <v>4.4871794871794917</v>
      </c>
      <c r="GU88" s="13">
        <f>IF('Données projet'!$A$270&gt;35,GU87+GT88-HC87,IF(A88&lt;'Données projet'!$A$270,$GR$205^A88,IF(A88='Données projet'!$A$270,'Données projet'!$B$270,GU87+GT88-HC87)))</f>
        <v>320.51282051282055</v>
      </c>
      <c r="GV88" s="18">
        <f>GU88*VLOOKUP('Données projet'!$B$18,Paramètres!$A$1:$I$89,3,0)*VLOOKUP('Données projet'!$B$18,Paramètres!$A$1:$I$89,5,0)</f>
        <v>215.00000000000006</v>
      </c>
      <c r="GW88" s="14">
        <f t="shared" si="105"/>
        <v>53.026710677875606</v>
      </c>
      <c r="GX88" s="22">
        <f t="shared" si="82"/>
        <v>466.81318776396671</v>
      </c>
      <c r="GY88" s="62">
        <f t="shared" si="83"/>
        <v>760.14652109730002</v>
      </c>
      <c r="GZ88" s="62">
        <f ca="1">AVERAGE(OFFSET($GY$3,0,0,'Données projet'!$E$18+1,1))-AVERAGE(OFFSET($H$3,0,0,'Données projet'!$E$18+1,1))</f>
        <v>363.53487081291541</v>
      </c>
      <c r="HA88" s="62">
        <f t="shared" si="106"/>
        <v>308.1559670593121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993.1957284924174</v>
      </c>
      <c r="S89" s="62">
        <f ca="1">AVERAGE(OFFSET($R$3,0,0,'Données projet'!$E$9+1,1))-AVERAGE(OFFSET($H$3,0,0,'Données projet'!$E$9+1,1))</f>
        <v>529.25712986118265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359.60000000000014</v>
      </c>
      <c r="AJ89" s="14">
        <f>AI89*VLOOKUP('Données projet'!$B$10,Paramètres!$A$1:$I$89,3,0)*VLOOKUP('Données projet'!$B$10,Paramètres!$A$1:$I$89,5,0)</f>
        <v>302.92704000000015</v>
      </c>
      <c r="AK89" s="14">
        <f t="shared" si="89"/>
        <v>71.789736305653022</v>
      </c>
      <c r="AL89" s="22">
        <f t="shared" si="58"/>
        <v>652.63171873234603</v>
      </c>
      <c r="AM89" s="62">
        <f t="shared" si="59"/>
        <v>945.9650520656794</v>
      </c>
      <c r="AN89" s="62">
        <f ca="1">AVERAGE(OFFSET($AM$3,0,0,'Données projet'!$E$10+1,1))-AVERAGE(OFFSET($H$3,0,0,'Données projet'!$E$10+1,1))</f>
        <v>495.77338291316386</v>
      </c>
      <c r="AO89" s="62">
        <f t="shared" si="90"/>
        <v>261.95434270986397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5.8246153846153792</v>
      </c>
      <c r="BD89" s="13">
        <f>IF('Données projet'!$A$88&gt;35,BD88+BC89-BL88,IF(A89&lt;'Données projet'!$A$88,$BA$205^A89,IF(A89='Données projet'!$A$88,'Données projet'!$B$88,BD88+BC89-BL88)))</f>
        <v>405.50461538461565</v>
      </c>
      <c r="BE89" s="14">
        <f>BD89*VLOOKUP('Données projet'!$B$11,Paramètres!$A$1:$I$89,3,0)*VLOOKUP('Données projet'!$B$11,Paramètres!$A$1:$I$89,5,0)</f>
        <v>231.94864000000015</v>
      </c>
      <c r="BF89" s="14">
        <f t="shared" si="91"/>
        <v>56.703815950899624</v>
      </c>
      <c r="BG89" s="22">
        <f t="shared" si="61"/>
        <v>502.73636078115049</v>
      </c>
      <c r="BH89" s="62">
        <f t="shared" si="62"/>
        <v>796.06969411448381</v>
      </c>
      <c r="BI89" s="62">
        <f ca="1">AVERAGE(OFFSET($BH$3,0,0,'Données projet'!$E$11+1,1))-AVERAGE(OFFSET($H$3,0,0,'Données projet'!$E$11+1,1))</f>
        <v>320.67081032419122</v>
      </c>
      <c r="BJ89" s="62">
        <f t="shared" si="92"/>
        <v>290.51177680335746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0.51018410934949787</v>
      </c>
      <c r="BR89" s="23">
        <f>EXP(-LN(2)/2)*BR88+(1-EXP(-LN(2)/2))/(LN(2)/2)*BL89*BO89*VLOOKUP('Données projet'!$B$11,Paramètres!$A$1:$I$89,3,0)*0.475*44/12</f>
        <v>4.0127751724890165E-8</v>
      </c>
      <c r="BS89" s="24">
        <f t="shared" si="63"/>
        <v>0.51018414947724955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IF('Données projet'!$A$114&gt;35,BY88+BX89-CG88,IF(A89&lt;'Données projet'!$A$114,$BV$205^A89,IF(A89='Données projet'!$A$114,'Données projet'!$B$114,BY88+BX89-CG88)))</f>
        <v>359.60000000000014</v>
      </c>
      <c r="BZ89" s="14">
        <f>BY89*VLOOKUP('Données projet'!$B$12,Paramètres!$A$1:$I$89,3,0)*VLOOKUP('Données projet'!$B$12,Paramètres!$A$1:$I$89,5,0)</f>
        <v>364.63440000000014</v>
      </c>
      <c r="CA89" s="14">
        <f t="shared" si="93"/>
        <v>84.568664801477667</v>
      </c>
      <c r="CB89" s="22">
        <f t="shared" si="64"/>
        <v>782.36200452924049</v>
      </c>
      <c r="CC89" s="62">
        <f t="shared" si="65"/>
        <v>1075.6953378625738</v>
      </c>
      <c r="CD89" s="62">
        <f ca="1">AVERAGE(OFFSET($CC$3,0,0,'Données projet'!$E$12+1,1))-AVERAGE(OFFSET($H$3,0,0,'Données projet'!$E$12+1,1))</f>
        <v>587.74247372331615</v>
      </c>
      <c r="CE89" s="62">
        <f t="shared" si="94"/>
        <v>306.61893266146666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3.8461538461538454</v>
      </c>
      <c r="CT89" s="13">
        <f>IF('Données projet'!$A$140&gt;35,CT88+CS89-DB88,IF(A89&lt;'Données projet'!$A$140,$CQ$205^A89,IF(A89='Données projet'!$A$140,'Données projet'!$B$140,CT88+CS89-DB88)))</f>
        <v>233.33333333333329</v>
      </c>
      <c r="CU89" s="18">
        <f>CT89*VLOOKUP('Données projet'!$B$13,Paramètres!$A$1:$I$89,3,0)*VLOOKUP('Données projet'!$B$13,Paramètres!$A$1:$I$89,5,0)</f>
        <v>222.04</v>
      </c>
      <c r="CV89" s="14">
        <f t="shared" si="95"/>
        <v>54.558031180803546</v>
      </c>
      <c r="CW89" s="22">
        <f t="shared" si="67"/>
        <v>481.74157097323285</v>
      </c>
      <c r="CX89" s="62">
        <f t="shared" si="68"/>
        <v>775.07490430656617</v>
      </c>
      <c r="CY89" s="62">
        <f ca="1">AVERAGE(OFFSET($CX$3,0,0,'Données projet'!$E$13+1,1))-AVERAGE(OFFSET($H$3,0,0,'Données projet'!$E$13+1,1))</f>
        <v>406.24139966722936</v>
      </c>
      <c r="CZ89" s="62">
        <f t="shared" si="96"/>
        <v>295.95724296920577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6.7984728957526396E-14</v>
      </c>
      <c r="DQ89" s="14">
        <f t="shared" si="97"/>
        <v>1.0682447123141398E-12</v>
      </c>
      <c r="DR89" s="22">
        <f t="shared" si="70"/>
        <v>1.978932943548152E-12</v>
      </c>
      <c r="DS89" s="62">
        <f t="shared" si="71"/>
        <v>293.3333333333353</v>
      </c>
      <c r="DT89" s="62">
        <f ca="1">AVERAGE(OFFSET($DS$3,0,0,'Données projet'!$E$14+1,1))-AVERAGE(OFFSET($H$3,0,0,'Données projet'!$E$14+1,1))</f>
        <v>356.42779334565381</v>
      </c>
      <c r="DU89" s="62">
        <f t="shared" si="98"/>
        <v>320.06572891923685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0.84105460548221878</v>
      </c>
      <c r="EC89" s="23">
        <f>EXP(-LN(2)/2)*EC88+(1-EXP(-LN(2)/2))/(LN(2)/2)*DW89*DZ89*VLOOKUP('Données projet'!$B$14,Paramètres!$A$1:$I$89,3,0)*0.475*44/12</f>
        <v>6.3257601068467028E-8</v>
      </c>
      <c r="ED89" s="24">
        <f t="shared" si="72"/>
        <v>0.84105466873981982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-5.6843418860808015E-14</v>
      </c>
      <c r="FF89" s="18">
        <f>FE89*VLOOKUP('Données projet'!$B$16,Paramètres!$A$1:$I$89,3,0)*VLOOKUP('Données projet'!$B$16,Paramètres!$A$1:$I$89,5,0)</f>
        <v>-4.5224624045658861E-14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370.59298168107364</v>
      </c>
      <c r="FK89" s="62">
        <f t="shared" si="102"/>
        <v>404.61777090709171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6.6</v>
      </c>
      <c r="FZ89" s="13">
        <f>IF('Données projet'!$A$244&gt;35,FZ88+FY89-GH88,IF(A89&lt;'Données projet'!$A$244,$FW$205^A89,IF(A89='Données projet'!$A$244,'Données projet'!$B$244,FZ88+FY89-GH88)))</f>
        <v>359.60000000000014</v>
      </c>
      <c r="GA89" s="18">
        <f>FZ89*VLOOKUP('Données projet'!$B$17,Paramètres!$A$1:$I$89,3,0)*VLOOKUP('Données projet'!$B$17,Paramètres!$A$1:$I$89,5,0)</f>
        <v>347.80512000000016</v>
      </c>
      <c r="GB89" s="14">
        <f t="shared" si="103"/>
        <v>81.110397313948141</v>
      </c>
      <c r="GC89" s="22">
        <f t="shared" si="79"/>
        <v>747.02785932179313</v>
      </c>
      <c r="GD89" s="62">
        <f t="shared" si="80"/>
        <v>1040.3611926551264</v>
      </c>
      <c r="GE89" s="62">
        <f ca="1">AVERAGE(OFFSET($GD$3,0,0,'Données projet'!$E$17+1,1))-AVERAGE(OFFSET($H$3,0,0,'Données projet'!$E$17+1,1))</f>
        <v>562.69380557620775</v>
      </c>
      <c r="GF89" s="62">
        <f t="shared" si="104"/>
        <v>294.45557293177131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4.3589743589743648</v>
      </c>
      <c r="GU89" s="13">
        <f>IF('Données projet'!$A$270&gt;35,GU88+GT89-HC88,IF(A89&lt;'Données projet'!$A$270,$GR$205^A89,IF(A89='Données projet'!$A$270,'Données projet'!$B$270,GU88+GT89-HC88)))</f>
        <v>324.87179487179492</v>
      </c>
      <c r="GV89" s="18">
        <f>GU89*VLOOKUP('Données projet'!$B$18,Paramètres!$A$1:$I$89,3,0)*VLOOKUP('Données projet'!$B$18,Paramètres!$A$1:$I$89,5,0)</f>
        <v>217.92400000000001</v>
      </c>
      <c r="GW89" s="14">
        <f t="shared" si="105"/>
        <v>53.663428701179583</v>
      </c>
      <c r="GX89" s="22">
        <f t="shared" si="82"/>
        <v>473.01477165455441</v>
      </c>
      <c r="GY89" s="62">
        <f t="shared" si="83"/>
        <v>766.34810498788772</v>
      </c>
      <c r="GZ89" s="62">
        <f ca="1">AVERAGE(OFFSET($GY$3,0,0,'Données projet'!$E$18+1,1))-AVERAGE(OFFSET($H$3,0,0,'Données projet'!$E$18+1,1))</f>
        <v>363.53487081291541</v>
      </c>
      <c r="HA89" s="62">
        <f t="shared" si="106"/>
        <v>308.1559670593121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1005.7539908757847</v>
      </c>
      <c r="S90" s="62">
        <f ca="1">AVERAGE(OFFSET($R$3,0,0,'Données projet'!$E$9+1,1))-AVERAGE(OFFSET($H$3,0,0,'Données projet'!$E$9+1,1))</f>
        <v>529.25712986118265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366.20000000000016</v>
      </c>
      <c r="AJ90" s="14">
        <f>AI90*VLOOKUP('Données projet'!$B$10,Paramètres!$A$1:$I$89,3,0)*VLOOKUP('Données projet'!$B$10,Paramètres!$A$1:$I$89,5,0)</f>
        <v>308.48688000000016</v>
      </c>
      <c r="AK90" s="14">
        <f t="shared" si="89"/>
        <v>72.952740560520368</v>
      </c>
      <c r="AL90" s="22">
        <f t="shared" si="58"/>
        <v>664.34067247624</v>
      </c>
      <c r="AM90" s="62">
        <f t="shared" si="59"/>
        <v>957.67400580957337</v>
      </c>
      <c r="AN90" s="62">
        <f ca="1">AVERAGE(OFFSET($AM$3,0,0,'Données projet'!$E$10+1,1))-AVERAGE(OFFSET($H$3,0,0,'Données projet'!$E$10+1,1))</f>
        <v>495.77338291316386</v>
      </c>
      <c r="AO90" s="62">
        <f t="shared" si="90"/>
        <v>261.95434270986397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5.8246153846153792</v>
      </c>
      <c r="BD90" s="13">
        <f>IF('Données projet'!$A$88&gt;35,BD89+BC90-BL89,IF(A90&lt;'Données projet'!$A$88,$BA$205^A90,IF(A90='Données projet'!$A$88,'Données projet'!$B$88,BD89+BC90-BL89)))</f>
        <v>411.329230769231</v>
      </c>
      <c r="BE90" s="14">
        <f>BD90*VLOOKUP('Données projet'!$B$11,Paramètres!$A$1:$I$89,3,0)*VLOOKUP('Données projet'!$B$11,Paramètres!$A$1:$I$89,5,0)</f>
        <v>235.28032000000013</v>
      </c>
      <c r="BF90" s="14">
        <f t="shared" si="91"/>
        <v>57.422897524770946</v>
      </c>
      <c r="BG90" s="22">
        <f t="shared" si="61"/>
        <v>509.79143718897626</v>
      </c>
      <c r="BH90" s="62">
        <f t="shared" si="62"/>
        <v>803.12477052230952</v>
      </c>
      <c r="BI90" s="62">
        <f ca="1">AVERAGE(OFFSET($BH$3,0,0,'Données projet'!$E$11+1,1))-AVERAGE(OFFSET($H$3,0,0,'Données projet'!$E$11+1,1))</f>
        <v>320.67081032419122</v>
      </c>
      <c r="BJ90" s="62">
        <f t="shared" si="92"/>
        <v>290.51177680335746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0.49623309804991961</v>
      </c>
      <c r="BR90" s="23">
        <f>EXP(-LN(2)/2)*BR89+(1-EXP(-LN(2)/2))/(LN(2)/2)*BL90*BO90*VLOOKUP('Données projet'!$B$11,Paramètres!$A$1:$I$89,3,0)*0.475*44/12</f>
        <v>2.8374605358440015E-8</v>
      </c>
      <c r="BS90" s="24">
        <f t="shared" si="63"/>
        <v>0.49623312642452494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IF('Données projet'!$A$114&gt;35,BY89+BX90-CG89,IF(A90&lt;'Données projet'!$A$114,$BV$205^A90,IF(A90='Données projet'!$A$114,'Données projet'!$B$114,BY89+BX90-CG89)))</f>
        <v>366.20000000000016</v>
      </c>
      <c r="BZ90" s="14">
        <f>BY90*VLOOKUP('Données projet'!$B$12,Paramètres!$A$1:$I$89,3,0)*VLOOKUP('Données projet'!$B$12,Paramètres!$A$1:$I$89,5,0)</f>
        <v>371.32680000000022</v>
      </c>
      <c r="CA90" s="14">
        <f t="shared" si="93"/>
        <v>85.938689571784892</v>
      </c>
      <c r="CB90" s="22">
        <f t="shared" si="64"/>
        <v>796.40406100419239</v>
      </c>
      <c r="CC90" s="62">
        <f t="shared" si="65"/>
        <v>1089.7373943375258</v>
      </c>
      <c r="CD90" s="62">
        <f ca="1">AVERAGE(OFFSET($CC$3,0,0,'Données projet'!$E$12+1,1))-AVERAGE(OFFSET($H$3,0,0,'Données projet'!$E$12+1,1))</f>
        <v>587.74247372331615</v>
      </c>
      <c r="CE90" s="62">
        <f t="shared" si="94"/>
        <v>306.61893266146666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3.8461538461538454</v>
      </c>
      <c r="CT90" s="13">
        <f>IF('Données projet'!$A$140&gt;35,CT89+CS90-DB89,IF(A90&lt;'Données projet'!$A$140,$CQ$205^A90,IF(A90='Données projet'!$A$140,'Données projet'!$B$140,CT89+CS90-DB89)))</f>
        <v>237.17948717948713</v>
      </c>
      <c r="CU90" s="18">
        <f>CT90*VLOOKUP('Données projet'!$B$13,Paramètres!$A$1:$I$89,3,0)*VLOOKUP('Données projet'!$B$13,Paramètres!$A$1:$I$89,5,0)</f>
        <v>225.69999999999996</v>
      </c>
      <c r="CV90" s="14">
        <f t="shared" si="95"/>
        <v>55.351902227970015</v>
      </c>
      <c r="CW90" s="22">
        <f t="shared" si="67"/>
        <v>489.49872971371445</v>
      </c>
      <c r="CX90" s="62">
        <f t="shared" si="68"/>
        <v>782.83206304704777</v>
      </c>
      <c r="CY90" s="62">
        <f ca="1">AVERAGE(OFFSET($CX$3,0,0,'Données projet'!$E$13+1,1))-AVERAGE(OFFSET($H$3,0,0,'Données projet'!$E$13+1,1))</f>
        <v>406.24139966722936</v>
      </c>
      <c r="CZ90" s="62">
        <f t="shared" si="96"/>
        <v>295.95724296920577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6.7984728957526396E-14</v>
      </c>
      <c r="DQ90" s="14">
        <f t="shared" si="97"/>
        <v>1.0682447123141398E-12</v>
      </c>
      <c r="DR90" s="22">
        <f t="shared" si="70"/>
        <v>1.978932943548152E-12</v>
      </c>
      <c r="DS90" s="62">
        <f t="shared" si="71"/>
        <v>293.3333333333353</v>
      </c>
      <c r="DT90" s="62">
        <f ca="1">AVERAGE(OFFSET($DS$3,0,0,'Données projet'!$E$14+1,1))-AVERAGE(OFFSET($H$3,0,0,'Données projet'!$E$14+1,1))</f>
        <v>356.42779334565381</v>
      </c>
      <c r="DU90" s="62">
        <f t="shared" si="98"/>
        <v>320.06572891923685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0.81805592306616803</v>
      </c>
      <c r="EC90" s="23">
        <f>EXP(-LN(2)/2)*EC89+(1-EXP(-LN(2)/2))/(LN(2)/2)*DW90*DZ90*VLOOKUP('Données projet'!$B$14,Paramètres!$A$1:$I$89,3,0)*0.475*44/12</f>
        <v>4.472987867710643E-8</v>
      </c>
      <c r="ED90" s="24">
        <f t="shared" si="72"/>
        <v>0.81805596779604672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-5.6843418860808015E-14</v>
      </c>
      <c r="FF90" s="18">
        <f>FE90*VLOOKUP('Données projet'!$B$16,Paramètres!$A$1:$I$89,3,0)*VLOOKUP('Données projet'!$B$16,Paramètres!$A$1:$I$89,5,0)</f>
        <v>-4.5224624045658861E-14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370.59298168107364</v>
      </c>
      <c r="FK90" s="62">
        <f t="shared" si="102"/>
        <v>404.61777090709171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6.6</v>
      </c>
      <c r="FZ90" s="13">
        <f>IF('Données projet'!$A$244&gt;35,FZ89+FY90-GH89,IF(A90&lt;'Données projet'!$A$244,$FW$205^A90,IF(A90='Données projet'!$A$244,'Données projet'!$B$244,FZ89+FY90-GH89)))</f>
        <v>366.20000000000016</v>
      </c>
      <c r="GA90" s="18">
        <f>FZ90*VLOOKUP('Données projet'!$B$17,Paramètres!$A$1:$I$89,3,0)*VLOOKUP('Données projet'!$B$17,Paramètres!$A$1:$I$89,5,0)</f>
        <v>354.18864000000013</v>
      </c>
      <c r="GB90" s="14">
        <f t="shared" si="103"/>
        <v>82.424397643862704</v>
      </c>
      <c r="GC90" s="22">
        <f t="shared" si="79"/>
        <v>760.4343738963945</v>
      </c>
      <c r="GD90" s="62">
        <f t="shared" si="80"/>
        <v>1053.7677072297279</v>
      </c>
      <c r="GE90" s="62">
        <f ca="1">AVERAGE(OFFSET($GD$3,0,0,'Données projet'!$E$17+1,1))-AVERAGE(OFFSET($H$3,0,0,'Données projet'!$E$17+1,1))</f>
        <v>562.69380557620775</v>
      </c>
      <c r="GF90" s="62">
        <f t="shared" si="104"/>
        <v>294.45557293177131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4.3589743589743648</v>
      </c>
      <c r="GU90" s="13">
        <f>IF('Données projet'!$A$270&gt;35,GU89+GT90-HC89,IF(A90&lt;'Données projet'!$A$270,$GR$205^A90,IF(A90='Données projet'!$A$270,'Données projet'!$B$270,GU89+GT90-HC89)))</f>
        <v>329.23076923076928</v>
      </c>
      <c r="GV90" s="18">
        <f>GU90*VLOOKUP('Données projet'!$B$18,Paramètres!$A$1:$I$89,3,0)*VLOOKUP('Données projet'!$B$18,Paramètres!$A$1:$I$89,5,0)</f>
        <v>220.84800000000004</v>
      </c>
      <c r="GW90" s="14">
        <f t="shared" si="105"/>
        <v>54.299153043191723</v>
      </c>
      <c r="GX90" s="22">
        <f t="shared" si="82"/>
        <v>479.214624883559</v>
      </c>
      <c r="GY90" s="62">
        <f t="shared" si="83"/>
        <v>772.54795821689231</v>
      </c>
      <c r="GZ90" s="62">
        <f ca="1">AVERAGE(OFFSET($GY$3,0,0,'Données projet'!$E$18+1,1))-AVERAGE(OFFSET($H$3,0,0,'Données projet'!$E$18+1,1))</f>
        <v>363.53487081291541</v>
      </c>
      <c r="HA90" s="62">
        <f t="shared" si="106"/>
        <v>308.1559670593121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1018.3077314090854</v>
      </c>
      <c r="S91" s="62">
        <f ca="1">AVERAGE(OFFSET($R$3,0,0,'Données projet'!$E$9+1,1))-AVERAGE(OFFSET($H$3,0,0,'Données projet'!$E$9+1,1))</f>
        <v>529.25712986118265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372.80000000000018</v>
      </c>
      <c r="AJ91" s="14">
        <f>AI91*VLOOKUP('Données projet'!$B$10,Paramètres!$A$1:$I$89,3,0)*VLOOKUP('Données projet'!$B$10,Paramètres!$A$1:$I$89,5,0)</f>
        <v>314.04672000000022</v>
      </c>
      <c r="AK91" s="14">
        <f t="shared" si="89"/>
        <v>74.113307401568349</v>
      </c>
      <c r="AL91" s="22">
        <f t="shared" si="58"/>
        <v>676.0453810577319</v>
      </c>
      <c r="AM91" s="62">
        <f t="shared" si="59"/>
        <v>969.37871439106516</v>
      </c>
      <c r="AN91" s="62">
        <f ca="1">AVERAGE(OFFSET($AM$3,0,0,'Données projet'!$E$10+1,1))-AVERAGE(OFFSET($H$3,0,0,'Données projet'!$E$10+1,1))</f>
        <v>495.77338291316386</v>
      </c>
      <c r="AO91" s="62">
        <f t="shared" si="90"/>
        <v>261.95434270986397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417.15384615384613</v>
      </c>
      <c r="BB91" s="13">
        <f>VLOOKUP(A91,'Données projet'!$A$87:$I$107,9,0)</f>
        <v>5.8246153846153792</v>
      </c>
      <c r="BC91" s="13">
        <f t="array" ref="BC91">INDEX(BB:BB,MIN(IF(ISNUMBER(BB91:BB287),ROW(BB91:BB287),"")))</f>
        <v>5.8246153846153792</v>
      </c>
      <c r="BD91" s="13">
        <f>IF('Données projet'!$A$88&gt;35,BD90+BC91-BL90,IF(A91&lt;'Données projet'!$A$88,$BA$205^A91,IF(A91='Données projet'!$A$88,'Données projet'!$B$88,BD90+BC91-BL90)))</f>
        <v>417.15384615384636</v>
      </c>
      <c r="BE91" s="14">
        <f>BD91*VLOOKUP('Données projet'!$B$11,Paramètres!$A$1:$I$89,3,0)*VLOOKUP('Données projet'!$B$11,Paramètres!$A$1:$I$89,5,0)</f>
        <v>238.61200000000011</v>
      </c>
      <c r="BF91" s="14">
        <f t="shared" si="91"/>
        <v>58.140794786185424</v>
      </c>
      <c r="BG91" s="22">
        <f t="shared" si="61"/>
        <v>516.84445091927307</v>
      </c>
      <c r="BH91" s="62">
        <f t="shared" si="62"/>
        <v>810.17778425260644</v>
      </c>
      <c r="BI91" s="62">
        <f ca="1">AVERAGE(OFFSET($BH$3,0,0,'Données projet'!$E$11+1,1))-AVERAGE(OFFSET($H$3,0,0,'Données projet'!$E$11+1,1))</f>
        <v>320.67081032419122</v>
      </c>
      <c r="BJ91" s="62">
        <f t="shared" si="92"/>
        <v>290.51177680335746</v>
      </c>
      <c r="BK91" s="16">
        <f>IF(ISNA(VLOOKUP(A91,'Données projet'!$A$87:$I$107,3,0)),0,VLOOKUP(A91,'Données projet'!$A$87:$I$107,3,0))</f>
        <v>10</v>
      </c>
      <c r="BL91" s="16">
        <f>IF(ISNA(VLOOKUP(A91,'Données projet'!$A$87:$I$107,4,0)),0,VLOOKUP(A91,'Données projet'!$A$87:$I$107,4,0))</f>
        <v>247.54615384615383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0.48266357788798009</v>
      </c>
      <c r="BR91" s="23">
        <f>EXP(-LN(2)/2)*BR90+(1-EXP(-LN(2)/2))/(LN(2)/2)*BL91*BO91*VLOOKUP('Données projet'!$B$11,Paramètres!$A$1:$I$89,3,0)*0.475*44/12</f>
        <v>2.0063875862445082E-8</v>
      </c>
      <c r="BS91" s="24">
        <f t="shared" si="63"/>
        <v>0.48266359795185593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IF('Données projet'!$A$114&gt;35,BY90+BX91-CG90,IF(A91&lt;'Données projet'!$A$114,$BV$205^A91,IF(A91='Données projet'!$A$114,'Données projet'!$B$114,BY90+BX91-CG90)))</f>
        <v>372.80000000000018</v>
      </c>
      <c r="BZ91" s="14">
        <f>BY91*VLOOKUP('Données projet'!$B$12,Paramètres!$A$1:$I$89,3,0)*VLOOKUP('Données projet'!$B$12,Paramètres!$A$1:$I$89,5,0)</f>
        <v>378.01920000000024</v>
      </c>
      <c r="CA91" s="14">
        <f t="shared" si="93"/>
        <v>87.305843056545257</v>
      </c>
      <c r="CB91" s="22">
        <f t="shared" si="64"/>
        <v>810.44111665681669</v>
      </c>
      <c r="CC91" s="62">
        <f t="shared" si="65"/>
        <v>1103.7744499901501</v>
      </c>
      <c r="CD91" s="62">
        <f ca="1">AVERAGE(OFFSET($CC$3,0,0,'Données projet'!$E$12+1,1))-AVERAGE(OFFSET($H$3,0,0,'Données projet'!$E$12+1,1))</f>
        <v>587.74247372331615</v>
      </c>
      <c r="CE91" s="62">
        <f t="shared" si="94"/>
        <v>306.61893266146666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3.8461538461538454</v>
      </c>
      <c r="CT91" s="13">
        <f>IF('Données projet'!$A$140&gt;35,CT90+CS91-DB90,IF(A91&lt;'Données projet'!$A$140,$CQ$205^A91,IF(A91='Données projet'!$A$140,'Données projet'!$B$140,CT90+CS91-DB90)))</f>
        <v>241.02564102564097</v>
      </c>
      <c r="CU91" s="18">
        <f>CT91*VLOOKUP('Données projet'!$B$13,Paramètres!$A$1:$I$89,3,0)*VLOOKUP('Données projet'!$B$13,Paramètres!$A$1:$I$89,5,0)</f>
        <v>229.35999999999996</v>
      </c>
      <c r="CV91" s="14">
        <f t="shared" si="95"/>
        <v>56.144276133877753</v>
      </c>
      <c r="CW91" s="22">
        <f t="shared" si="67"/>
        <v>497.25328093317034</v>
      </c>
      <c r="CX91" s="62">
        <f t="shared" si="68"/>
        <v>790.5866142665036</v>
      </c>
      <c r="CY91" s="62">
        <f ca="1">AVERAGE(OFFSET($CX$3,0,0,'Données projet'!$E$13+1,1))-AVERAGE(OFFSET($H$3,0,0,'Données projet'!$E$13+1,1))</f>
        <v>406.24139966722936</v>
      </c>
      <c r="CZ91" s="62">
        <f t="shared" si="96"/>
        <v>295.95724296920577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6.7984728957526396E-14</v>
      </c>
      <c r="DQ91" s="14">
        <f t="shared" si="97"/>
        <v>1.0682447123141398E-12</v>
      </c>
      <c r="DR91" s="22">
        <f t="shared" si="70"/>
        <v>1.978932943548152E-12</v>
      </c>
      <c r="DS91" s="62">
        <f t="shared" si="71"/>
        <v>293.3333333333353</v>
      </c>
      <c r="DT91" s="62">
        <f ca="1">AVERAGE(OFFSET($DS$3,0,0,'Données projet'!$E$14+1,1))-AVERAGE(OFFSET($H$3,0,0,'Données projet'!$E$14+1,1))</f>
        <v>356.42779334565381</v>
      </c>
      <c r="DU91" s="62">
        <f t="shared" si="98"/>
        <v>320.06572891923685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0.79568614083023237</v>
      </c>
      <c r="EC91" s="23">
        <f>EXP(-LN(2)/2)*EC90+(1-EXP(-LN(2)/2))/(LN(2)/2)*DW91*DZ91*VLOOKUP('Données projet'!$B$14,Paramètres!$A$1:$I$89,3,0)*0.475*44/12</f>
        <v>3.1628800534233514E-8</v>
      </c>
      <c r="ED91" s="24">
        <f t="shared" si="72"/>
        <v>0.79568617245903295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-5.6843418860808015E-14</v>
      </c>
      <c r="FF91" s="18">
        <f>FE91*VLOOKUP('Données projet'!$B$16,Paramètres!$A$1:$I$89,3,0)*VLOOKUP('Données projet'!$B$16,Paramètres!$A$1:$I$89,5,0)</f>
        <v>-4.5224624045658861E-14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370.59298168107364</v>
      </c>
      <c r="FK91" s="62">
        <f t="shared" si="102"/>
        <v>404.61777090709171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6.6</v>
      </c>
      <c r="FZ91" s="13">
        <f>IF('Données projet'!$A$244&gt;35,FZ90+FY91-GH90,IF(A91&lt;'Données projet'!$A$244,$FW$205^A91,IF(A91='Données projet'!$A$244,'Données projet'!$B$244,FZ90+FY91-GH90)))</f>
        <v>372.80000000000018</v>
      </c>
      <c r="GA91" s="18">
        <f>FZ91*VLOOKUP('Données projet'!$B$17,Paramètres!$A$1:$I$89,3,0)*VLOOKUP('Données projet'!$B$17,Paramètres!$A$1:$I$89,5,0)</f>
        <v>360.57216000000017</v>
      </c>
      <c r="GB91" s="14">
        <f t="shared" si="103"/>
        <v>83.735644103746736</v>
      </c>
      <c r="GC91" s="22">
        <f t="shared" si="79"/>
        <v>773.83609214735907</v>
      </c>
      <c r="GD91" s="62">
        <f t="shared" si="80"/>
        <v>1067.1694254806923</v>
      </c>
      <c r="GE91" s="62">
        <f ca="1">AVERAGE(OFFSET($GD$3,0,0,'Données projet'!$E$17+1,1))-AVERAGE(OFFSET($H$3,0,0,'Données projet'!$E$17+1,1))</f>
        <v>562.69380557620775</v>
      </c>
      <c r="GF91" s="62">
        <f t="shared" si="104"/>
        <v>294.45557293177131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4.3589743589743648</v>
      </c>
      <c r="GU91" s="13">
        <f>IF('Données projet'!$A$270&gt;35,GU90+GT91-HC90,IF(A91&lt;'Données projet'!$A$270,$GR$205^A91,IF(A91='Données projet'!$A$270,'Données projet'!$B$270,GU90+GT91-HC90)))</f>
        <v>333.58974358974365</v>
      </c>
      <c r="GV91" s="18">
        <f>GU91*VLOOKUP('Données projet'!$B$18,Paramètres!$A$1:$I$89,3,0)*VLOOKUP('Données projet'!$B$18,Paramètres!$A$1:$I$89,5,0)</f>
        <v>223.77200000000005</v>
      </c>
      <c r="GW91" s="14">
        <f t="shared" si="105"/>
        <v>54.933898381063038</v>
      </c>
      <c r="GX91" s="22">
        <f t="shared" si="82"/>
        <v>485.4127730136849</v>
      </c>
      <c r="GY91" s="62">
        <f t="shared" si="83"/>
        <v>778.74610634701821</v>
      </c>
      <c r="GZ91" s="62">
        <f ca="1">AVERAGE(OFFSET($GY$3,0,0,'Données projet'!$E$18+1,1))-AVERAGE(OFFSET($H$3,0,0,'Données projet'!$E$18+1,1))</f>
        <v>363.53487081291541</v>
      </c>
      <c r="HA91" s="62">
        <f t="shared" si="106"/>
        <v>308.1559670593121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1030.8570393822231</v>
      </c>
      <c r="S92" s="62">
        <f ca="1">AVERAGE(OFFSET($R$3,0,0,'Données projet'!$E$9+1,1))-AVERAGE(OFFSET($H$3,0,0,'Données projet'!$E$9+1,1))</f>
        <v>529.25712986118265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379.4000000000002</v>
      </c>
      <c r="AJ92" s="14">
        <f>AI92*VLOOKUP('Données projet'!$B$10,Paramètres!$A$1:$I$89,3,0)*VLOOKUP('Données projet'!$B$10,Paramètres!$A$1:$I$89,5,0)</f>
        <v>319.60656000000017</v>
      </c>
      <c r="AK92" s="14">
        <f t="shared" si="89"/>
        <v>75.271484958752922</v>
      </c>
      <c r="AL92" s="22">
        <f t="shared" si="58"/>
        <v>687.74592830316158</v>
      </c>
      <c r="AM92" s="62">
        <f t="shared" si="59"/>
        <v>981.07926163649495</v>
      </c>
      <c r="AN92" s="62">
        <f ca="1">AVERAGE(OFFSET($AM$3,0,0,'Données projet'!$E$10+1,1))-AVERAGE(OFFSET($H$3,0,0,'Données projet'!$E$10+1,1))</f>
        <v>495.77338291316386</v>
      </c>
      <c r="AO92" s="62">
        <f t="shared" si="90"/>
        <v>261.95434270986397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3.2153846153846168</v>
      </c>
      <c r="BD92" s="13">
        <f>IF('Données projet'!$A$88&gt;35,BD91+BC92-BL91,IF(A92&lt;'Données projet'!$A$88,$BA$205^A92,IF(A92='Données projet'!$A$88,'Données projet'!$B$88,BD91+BC92-BL91)))</f>
        <v>172.82307692307714</v>
      </c>
      <c r="BE92" s="14">
        <f>BD92*VLOOKUP('Données projet'!$B$11,Paramètres!$A$1:$I$89,3,0)*VLOOKUP('Données projet'!$B$11,Paramètres!$A$1:$I$89,5,0)</f>
        <v>98.854800000000125</v>
      </c>
      <c r="BF92" s="14">
        <f t="shared" si="91"/>
        <v>26.688986818913893</v>
      </c>
      <c r="BG92" s="22">
        <f t="shared" si="61"/>
        <v>218.65542870960857</v>
      </c>
      <c r="BH92" s="62">
        <f t="shared" si="62"/>
        <v>511.98876204294186</v>
      </c>
      <c r="BI92" s="62">
        <f ca="1">AVERAGE(OFFSET($BH$3,0,0,'Données projet'!$E$11+1,1))-AVERAGE(OFFSET($H$3,0,0,'Données projet'!$E$11+1,1))</f>
        <v>320.67081032419122</v>
      </c>
      <c r="BJ92" s="62">
        <f t="shared" si="92"/>
        <v>290.51177680335746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0.46946511696845883</v>
      </c>
      <c r="BR92" s="23">
        <f>EXP(-LN(2)/2)*BR91+(1-EXP(-LN(2)/2))/(LN(2)/2)*BL92*BO92*VLOOKUP('Données projet'!$B$11,Paramètres!$A$1:$I$89,3,0)*0.475*44/12</f>
        <v>1.4187302679220008E-8</v>
      </c>
      <c r="BS92" s="24">
        <f t="shared" si="63"/>
        <v>0.46946513115576149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IF('Données projet'!$A$114&gt;35,BY91+BX92-CG91,IF(A92&lt;'Données projet'!$A$114,$BV$205^A92,IF(A92='Données projet'!$A$114,'Données projet'!$B$114,BY91+BX92-CG91)))</f>
        <v>379.4000000000002</v>
      </c>
      <c r="BZ92" s="14">
        <f>BY92*VLOOKUP('Données projet'!$B$12,Paramètres!$A$1:$I$89,3,0)*VLOOKUP('Données projet'!$B$12,Paramètres!$A$1:$I$89,5,0)</f>
        <v>384.7116000000002</v>
      </c>
      <c r="CA92" s="14">
        <f t="shared" si="93"/>
        <v>88.670181953085049</v>
      </c>
      <c r="CB92" s="22">
        <f t="shared" si="64"/>
        <v>824.47327023495666</v>
      </c>
      <c r="CC92" s="62">
        <f t="shared" si="65"/>
        <v>1117.80660356829</v>
      </c>
      <c r="CD92" s="62">
        <f ca="1">AVERAGE(OFFSET($CC$3,0,0,'Données projet'!$E$12+1,1))-AVERAGE(OFFSET($H$3,0,0,'Données projet'!$E$12+1,1))</f>
        <v>587.74247372331615</v>
      </c>
      <c r="CE92" s="62">
        <f t="shared" si="94"/>
        <v>306.61893266146666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3.8461538461538454</v>
      </c>
      <c r="CT92" s="13">
        <f>IF('Données projet'!$A$140&gt;35,CT91+CS92-DB91,IF(A92&lt;'Données projet'!$A$140,$CQ$205^A92,IF(A92='Données projet'!$A$140,'Données projet'!$B$140,CT91+CS92-DB91)))</f>
        <v>244.8717948717948</v>
      </c>
      <c r="CU92" s="18">
        <f>CT92*VLOOKUP('Données projet'!$B$13,Paramètres!$A$1:$I$89,3,0)*VLOOKUP('Données projet'!$B$13,Paramètres!$A$1:$I$89,5,0)</f>
        <v>233.01999999999995</v>
      </c>
      <c r="CV92" s="14">
        <f t="shared" si="95"/>
        <v>56.935179547462297</v>
      </c>
      <c r="CW92" s="22">
        <f t="shared" si="67"/>
        <v>505.00527104516345</v>
      </c>
      <c r="CX92" s="62">
        <f t="shared" si="68"/>
        <v>798.33860437849671</v>
      </c>
      <c r="CY92" s="62">
        <f ca="1">AVERAGE(OFFSET($CX$3,0,0,'Données projet'!$E$13+1,1))-AVERAGE(OFFSET($H$3,0,0,'Données projet'!$E$13+1,1))</f>
        <v>406.24139966722936</v>
      </c>
      <c r="CZ92" s="62">
        <f t="shared" si="96"/>
        <v>295.95724296920577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6.7984728957526396E-14</v>
      </c>
      <c r="DQ92" s="14">
        <f t="shared" si="97"/>
        <v>1.0682447123141398E-12</v>
      </c>
      <c r="DR92" s="22">
        <f t="shared" si="70"/>
        <v>1.978932943548152E-12</v>
      </c>
      <c r="DS92" s="62">
        <f t="shared" si="71"/>
        <v>293.3333333333353</v>
      </c>
      <c r="DT92" s="62">
        <f ca="1">AVERAGE(OFFSET($DS$3,0,0,'Données projet'!$E$14+1,1))-AVERAGE(OFFSET($H$3,0,0,'Données projet'!$E$14+1,1))</f>
        <v>356.42779334565381</v>
      </c>
      <c r="DU92" s="62">
        <f t="shared" si="98"/>
        <v>320.06572891923685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0.77392806146591409</v>
      </c>
      <c r="EC92" s="23">
        <f>EXP(-LN(2)/2)*EC91+(1-EXP(-LN(2)/2))/(LN(2)/2)*DW92*DZ92*VLOOKUP('Données projet'!$B$14,Paramètres!$A$1:$I$89,3,0)*0.475*44/12</f>
        <v>2.2364939338553215E-8</v>
      </c>
      <c r="ED92" s="24">
        <f t="shared" si="72"/>
        <v>0.77392808383085343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-5.6843418860808015E-14</v>
      </c>
      <c r="FF92" s="18">
        <f>FE92*VLOOKUP('Données projet'!$B$16,Paramètres!$A$1:$I$89,3,0)*VLOOKUP('Données projet'!$B$16,Paramètres!$A$1:$I$89,5,0)</f>
        <v>-4.5224624045658861E-14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370.59298168107364</v>
      </c>
      <c r="FK92" s="62">
        <f t="shared" si="102"/>
        <v>404.61777090709171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6.6</v>
      </c>
      <c r="FZ92" s="13">
        <f>IF('Données projet'!$A$244&gt;35,FZ91+FY92-GH91,IF(A92&lt;'Données projet'!$A$244,$FW$205^A92,IF(A92='Données projet'!$A$244,'Données projet'!$B$244,FZ91+FY92-GH91)))</f>
        <v>379.4000000000002</v>
      </c>
      <c r="GA92" s="18">
        <f>FZ92*VLOOKUP('Données projet'!$B$17,Paramètres!$A$1:$I$89,3,0)*VLOOKUP('Données projet'!$B$17,Paramètres!$A$1:$I$89,5,0)</f>
        <v>366.9556800000002</v>
      </c>
      <c r="GB92" s="14">
        <f t="shared" si="103"/>
        <v>85.044191072402157</v>
      </c>
      <c r="GC92" s="22">
        <f t="shared" si="79"/>
        <v>787.23310878443408</v>
      </c>
      <c r="GD92" s="62">
        <f t="shared" si="80"/>
        <v>1080.5664421177673</v>
      </c>
      <c r="GE92" s="62">
        <f ca="1">AVERAGE(OFFSET($GD$3,0,0,'Données projet'!$E$17+1,1))-AVERAGE(OFFSET($H$3,0,0,'Données projet'!$E$17+1,1))</f>
        <v>562.69380557620775</v>
      </c>
      <c r="GF92" s="62">
        <f t="shared" si="104"/>
        <v>294.45557293177131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4.3589743589743648</v>
      </c>
      <c r="GU92" s="13">
        <f>IF('Données projet'!$A$270&gt;35,GU91+GT92-HC91,IF(A92&lt;'Données projet'!$A$270,$GR$205^A92,IF(A92='Données projet'!$A$270,'Données projet'!$B$270,GU91+GT92-HC91)))</f>
        <v>337.94871794871801</v>
      </c>
      <c r="GV92" s="18">
        <f>GU92*VLOOKUP('Données projet'!$B$18,Paramètres!$A$1:$I$89,3,0)*VLOOKUP('Données projet'!$B$18,Paramètres!$A$1:$I$89,5,0)</f>
        <v>226.69600000000005</v>
      </c>
      <c r="GW92" s="14">
        <f t="shared" si="105"/>
        <v>55.567678986325824</v>
      </c>
      <c r="GX92" s="22">
        <f t="shared" si="82"/>
        <v>491.60924090118425</v>
      </c>
      <c r="GY92" s="62">
        <f t="shared" si="83"/>
        <v>784.94257423451756</v>
      </c>
      <c r="GZ92" s="62">
        <f ca="1">AVERAGE(OFFSET($GY$3,0,0,'Données projet'!$E$18+1,1))-AVERAGE(OFFSET($H$3,0,0,'Données projet'!$E$18+1,1))</f>
        <v>363.53487081291541</v>
      </c>
      <c r="HA92" s="62">
        <f t="shared" si="106"/>
        <v>308.1559670593121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1043.4020008005755</v>
      </c>
      <c r="S93" s="62">
        <f ca="1">AVERAGE(OFFSET($R$3,0,0,'Données projet'!$E$9+1,1))-AVERAGE(OFFSET($H$3,0,0,'Données projet'!$E$9+1,1))</f>
        <v>529.25712986118265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386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386.00000000000023</v>
      </c>
      <c r="AJ93" s="14">
        <f>AI93*VLOOKUP('Données projet'!$B$10,Paramètres!$A$1:$I$89,3,0)*VLOOKUP('Données projet'!$B$10,Paramètres!$A$1:$I$89,5,0)</f>
        <v>325.16640000000024</v>
      </c>
      <c r="AK93" s="14">
        <f t="shared" si="89"/>
        <v>76.427319591571546</v>
      </c>
      <c r="AL93" s="22">
        <f t="shared" si="58"/>
        <v>699.44239495532099</v>
      </c>
      <c r="AM93" s="62">
        <f t="shared" si="59"/>
        <v>992.77572828865436</v>
      </c>
      <c r="AN93" s="62">
        <f ca="1">AVERAGE(OFFSET($AM$3,0,0,'Données projet'!$E$10+1,1))-AVERAGE(OFFSET($H$3,0,0,'Données projet'!$E$10+1,1))</f>
        <v>495.77338291316386</v>
      </c>
      <c r="AO93" s="62">
        <f t="shared" si="90"/>
        <v>261.95434270986397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84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3.2153846153846168</v>
      </c>
      <c r="BD93" s="13">
        <f>IF('Données projet'!$A$88&gt;35,BD92+BC93-BL92,IF(A93&lt;'Données projet'!$A$88,$BA$205^A93,IF(A93='Données projet'!$A$88,'Données projet'!$B$88,BD92+BC93-BL92)))</f>
        <v>176.03846153846175</v>
      </c>
      <c r="BE93" s="14">
        <f>BD93*VLOOKUP('Données projet'!$B$11,Paramètres!$A$1:$I$89,3,0)*VLOOKUP('Données projet'!$B$11,Paramètres!$A$1:$I$89,5,0)</f>
        <v>100.69400000000013</v>
      </c>
      <c r="BF93" s="14">
        <f t="shared" si="91"/>
        <v>27.127266869657369</v>
      </c>
      <c r="BG93" s="22">
        <f t="shared" si="61"/>
        <v>222.62203979798679</v>
      </c>
      <c r="BH93" s="62">
        <f t="shared" si="62"/>
        <v>515.95537313132013</v>
      </c>
      <c r="BI93" s="62">
        <f ca="1">AVERAGE(OFFSET($BH$3,0,0,'Données projet'!$E$11+1,1))-AVERAGE(OFFSET($H$3,0,0,'Données projet'!$E$11+1,1))</f>
        <v>320.67081032419122</v>
      </c>
      <c r="BJ93" s="62">
        <f t="shared" si="92"/>
        <v>290.51177680335746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0.45662756865685877</v>
      </c>
      <c r="BR93" s="23">
        <f>EXP(-LN(2)/2)*BR92+(1-EXP(-LN(2)/2))/(LN(2)/2)*BL93*BO93*VLOOKUP('Données projet'!$B$11,Paramètres!$A$1:$I$89,3,0)*0.475*44/12</f>
        <v>1.0031937931222541E-8</v>
      </c>
      <c r="BS93" s="24">
        <f t="shared" si="63"/>
        <v>0.45662757868879672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386</v>
      </c>
      <c r="BW93" s="13">
        <f>VLOOKUP(A93,'Données projet'!$A$113:$I$133,9,0)</f>
        <v>6.6</v>
      </c>
      <c r="BX93" s="13">
        <f t="array" ref="BX93">INDEX(BW:BW,MIN(IF(ISNUMBER(BW93:BW289),ROW(BW93:BW289),"")))</f>
        <v>6.6</v>
      </c>
      <c r="BY93" s="13">
        <f>IF('Données projet'!$A$114&gt;35,BY92+BX93-CG92,IF(A93&lt;'Données projet'!$A$114,$BV$205^A93,IF(A93='Données projet'!$A$114,'Données projet'!$B$114,BY92+BX93-CG92)))</f>
        <v>386.00000000000023</v>
      </c>
      <c r="BZ93" s="14">
        <f>BY93*VLOOKUP('Données projet'!$B$12,Paramètres!$A$1:$I$89,3,0)*VLOOKUP('Données projet'!$B$12,Paramètres!$A$1:$I$89,5,0)</f>
        <v>391.40400000000022</v>
      </c>
      <c r="CA93" s="14">
        <f t="shared" si="93"/>
        <v>90.03176087312184</v>
      </c>
      <c r="CB93" s="22">
        <f t="shared" si="64"/>
        <v>838.50061685402079</v>
      </c>
      <c r="CC93" s="62">
        <f t="shared" si="65"/>
        <v>1131.833950187354</v>
      </c>
      <c r="CD93" s="62">
        <f ca="1">AVERAGE(OFFSET($CC$3,0,0,'Données projet'!$E$12+1,1))-AVERAGE(OFFSET($H$3,0,0,'Données projet'!$E$12+1,1))</f>
        <v>587.74247372331615</v>
      </c>
      <c r="CE93" s="62">
        <f t="shared" si="94"/>
        <v>306.61893266146666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84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248.7179487179487</v>
      </c>
      <c r="CR93" s="13">
        <f>VLOOKUP(A93,'Données projet'!$A$139:$I$159,9,0)</f>
        <v>3.8461538461538454</v>
      </c>
      <c r="CS93" s="13">
        <f t="array" ref="CS93">INDEX(CR:CR,MIN(IF(ISNUMBER(CR93:CR289),ROW(CR93:CR289),"")))</f>
        <v>3.8461538461538454</v>
      </c>
      <c r="CT93" s="13">
        <f>IF('Données projet'!$A$140&gt;35,CT92+CS93-DB92,IF(A93&lt;'Données projet'!$A$140,$CQ$205^A93,IF(A93='Données projet'!$A$140,'Données projet'!$B$140,CT92+CS93-DB92)))</f>
        <v>248.71794871794864</v>
      </c>
      <c r="CU93" s="18">
        <f>CT93*VLOOKUP('Données projet'!$B$13,Paramètres!$A$1:$I$89,3,0)*VLOOKUP('Données projet'!$B$13,Paramètres!$A$1:$I$89,5,0)</f>
        <v>236.67999999999995</v>
      </c>
      <c r="CV93" s="14">
        <f t="shared" si="95"/>
        <v>57.724638232498961</v>
      </c>
      <c r="CW93" s="22">
        <f t="shared" si="67"/>
        <v>512.7547449216022</v>
      </c>
      <c r="CX93" s="62">
        <f t="shared" si="68"/>
        <v>806.08807825493545</v>
      </c>
      <c r="CY93" s="62">
        <f ca="1">AVERAGE(OFFSET($CX$3,0,0,'Données projet'!$E$13+1,1))-AVERAGE(OFFSET($H$3,0,0,'Données projet'!$E$13+1,1))</f>
        <v>406.24139966722936</v>
      </c>
      <c r="CZ93" s="62">
        <f t="shared" si="96"/>
        <v>295.95724296920577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6.7984728957526396E-14</v>
      </c>
      <c r="DQ93" s="14">
        <f t="shared" si="97"/>
        <v>1.0682447123141398E-12</v>
      </c>
      <c r="DR93" s="22">
        <f t="shared" si="70"/>
        <v>1.978932943548152E-12</v>
      </c>
      <c r="DS93" s="62">
        <f t="shared" si="71"/>
        <v>293.3333333333353</v>
      </c>
      <c r="DT93" s="62">
        <f ca="1">AVERAGE(OFFSET($DS$3,0,0,'Données projet'!$E$14+1,1))-AVERAGE(OFFSET($H$3,0,0,'Données projet'!$E$14+1,1))</f>
        <v>356.42779334565381</v>
      </c>
      <c r="DU93" s="62">
        <f t="shared" si="98"/>
        <v>320.06572891923685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0.75276495792602072</v>
      </c>
      <c r="EC93" s="23">
        <f>EXP(-LN(2)/2)*EC92+(1-EXP(-LN(2)/2))/(LN(2)/2)*DW93*DZ93*VLOOKUP('Données projet'!$B$14,Paramètres!$A$1:$I$89,3,0)*0.475*44/12</f>
        <v>1.5814400267116757E-8</v>
      </c>
      <c r="ED93" s="24">
        <f t="shared" si="72"/>
        <v>0.75276497374042095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-5.6843418860808015E-14</v>
      </c>
      <c r="FF93" s="18">
        <f>FE93*VLOOKUP('Données projet'!$B$16,Paramètres!$A$1:$I$89,3,0)*VLOOKUP('Données projet'!$B$16,Paramètres!$A$1:$I$89,5,0)</f>
        <v>-4.5224624045658861E-14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370.59298168107364</v>
      </c>
      <c r="FK93" s="62">
        <f t="shared" si="102"/>
        <v>404.61777090709171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386</v>
      </c>
      <c r="FX93" s="13">
        <f>VLOOKUP(A93,'Données projet'!$A$243:$I$263,9,0)</f>
        <v>6.6</v>
      </c>
      <c r="FY93" s="13">
        <f t="array" ref="FY93">INDEX(FX:FX,MIN(IF(ISNUMBER(FX93:FX289),ROW(FX93:FX289),"")))</f>
        <v>6.6</v>
      </c>
      <c r="FZ93" s="13">
        <f>IF('Données projet'!$A$244&gt;35,FZ92+FY93-GH92,IF(A93&lt;'Données projet'!$A$244,$FW$205^A93,IF(A93='Données projet'!$A$244,'Données projet'!$B$244,FZ92+FY93-GH92)))</f>
        <v>386.00000000000023</v>
      </c>
      <c r="GA93" s="18">
        <f>FZ93*VLOOKUP('Données projet'!$B$17,Paramètres!$A$1:$I$89,3,0)*VLOOKUP('Données projet'!$B$17,Paramètres!$A$1:$I$89,5,0)</f>
        <v>373.33920000000023</v>
      </c>
      <c r="GB93" s="14">
        <f t="shared" si="103"/>
        <v>86.350090928308958</v>
      </c>
      <c r="GC93" s="22">
        <f t="shared" si="79"/>
        <v>800.62551503347186</v>
      </c>
      <c r="GD93" s="62">
        <f t="shared" si="80"/>
        <v>1093.9588483668051</v>
      </c>
      <c r="GE93" s="62">
        <f ca="1">AVERAGE(OFFSET($GD$3,0,0,'Données projet'!$E$17+1,1))-AVERAGE(OFFSET($H$3,0,0,'Données projet'!$E$17+1,1))</f>
        <v>562.69380557620775</v>
      </c>
      <c r="GF93" s="62">
        <f t="shared" si="104"/>
        <v>294.45557293177131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84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342.30769230769232</v>
      </c>
      <c r="GS93" s="13">
        <f>VLOOKUP(A93,'Données projet'!$A$269:$I$289,9,0)</f>
        <v>4.3589743589743648</v>
      </c>
      <c r="GT93" s="13">
        <f t="array" ref="GT93">INDEX(GS:GS,MIN(IF(ISNUMBER(GS93:GS289),ROW(GS93:GS289),"")))</f>
        <v>4.3589743589743648</v>
      </c>
      <c r="GU93" s="13">
        <f>IF('Données projet'!$A$270&gt;35,GU92+GT93-HC92,IF(A93&lt;'Données projet'!$A$270,$GR$205^A93,IF(A93='Données projet'!$A$270,'Données projet'!$B$270,GU92+GT93-HC92)))</f>
        <v>342.30769230769238</v>
      </c>
      <c r="GV93" s="18">
        <f>GU93*VLOOKUP('Données projet'!$B$18,Paramètres!$A$1:$I$89,3,0)*VLOOKUP('Données projet'!$B$18,Paramètres!$A$1:$I$89,5,0)</f>
        <v>229.62000000000003</v>
      </c>
      <c r="GW93" s="14">
        <f t="shared" si="105"/>
        <v>56.200508741188202</v>
      </c>
      <c r="GX93" s="22">
        <f t="shared" si="82"/>
        <v>497.8040527242361</v>
      </c>
      <c r="GY93" s="62">
        <f t="shared" si="83"/>
        <v>791.13738605756942</v>
      </c>
      <c r="GZ93" s="62">
        <f ca="1">AVERAGE(OFFSET($GY$3,0,0,'Données projet'!$E$18+1,1))-AVERAGE(OFFSET($H$3,0,0,'Données projet'!$E$18+1,1))</f>
        <v>363.53487081291541</v>
      </c>
      <c r="HA93" s="62">
        <f t="shared" si="106"/>
        <v>308.1559670593121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27.564102564102562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894.6549454895794</v>
      </c>
      <c r="S94" s="62">
        <f ca="1">AVERAGE(OFFSET($R$3,0,0,'Données projet'!$E$9+1,1))-AVERAGE(OFFSET($H$3,0,0,'Données projet'!$E$9+1,1))</f>
        <v>529.25712986118265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307.9000000000002</v>
      </c>
      <c r="AJ94" s="14">
        <f>AI94*VLOOKUP('Données projet'!$B$10,Paramètres!$A$1:$I$89,3,0)*VLOOKUP('Données projet'!$B$10,Paramètres!$A$1:$I$89,5,0)</f>
        <v>259.37496000000021</v>
      </c>
      <c r="AK94" s="14">
        <f t="shared" si="89"/>
        <v>62.589126028863618</v>
      </c>
      <c r="AL94" s="22">
        <f t="shared" si="58"/>
        <v>560.75411650027115</v>
      </c>
      <c r="AM94" s="62">
        <f t="shared" si="59"/>
        <v>854.08744983360452</v>
      </c>
      <c r="AN94" s="62">
        <f ca="1">AVERAGE(OFFSET($AM$3,0,0,'Données projet'!$E$10+1,1))-AVERAGE(OFFSET($H$3,0,0,'Données projet'!$E$10+1,1))</f>
        <v>495.77338291316386</v>
      </c>
      <c r="AO94" s="62">
        <f t="shared" si="90"/>
        <v>261.95434270986397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>
        <f>VLOOKUP(A94,'Données projet'!$A$87:$I$107,2,0)</f>
        <v>179.25384615384615</v>
      </c>
      <c r="BB94" s="13">
        <f>VLOOKUP(A94,'Données projet'!$A$87:$I$107,9,0)</f>
        <v>3.2153846153846168</v>
      </c>
      <c r="BC94" s="13">
        <f t="array" ref="BC94">INDEX(BB:BB,MIN(IF(ISNUMBER(BB94:BB290),ROW(BB94:BB290),"")))</f>
        <v>3.2153846153846168</v>
      </c>
      <c r="BD94" s="13">
        <f>IF('Données projet'!$A$88&gt;35,BD93+BC94-BL93,IF(A94&lt;'Données projet'!$A$88,$BA$205^A94,IF(A94='Données projet'!$A$88,'Données projet'!$B$88,BD93+BC94-BL93)))</f>
        <v>179.25384615384635</v>
      </c>
      <c r="BE94" s="14">
        <f>BD94*VLOOKUP('Données projet'!$B$11,Paramètres!$A$1:$I$89,3,0)*VLOOKUP('Données projet'!$B$11,Paramètres!$A$1:$I$89,5,0)</f>
        <v>102.53320000000012</v>
      </c>
      <c r="BF94" s="14">
        <f t="shared" si="91"/>
        <v>27.56461603978148</v>
      </c>
      <c r="BG94" s="22">
        <f t="shared" si="61"/>
        <v>226.58702960261962</v>
      </c>
      <c r="BH94" s="62">
        <f t="shared" si="62"/>
        <v>519.92036293595288</v>
      </c>
      <c r="BI94" s="62">
        <f ca="1">AVERAGE(OFFSET($BH$3,0,0,'Données projet'!$E$11+1,1))-AVERAGE(OFFSET($H$3,0,0,'Données projet'!$E$11+1,1))</f>
        <v>320.67081032419122</v>
      </c>
      <c r="BJ94" s="62">
        <f t="shared" si="92"/>
        <v>290.51177680335746</v>
      </c>
      <c r="BK94" s="16">
        <f>IF(ISNA(VLOOKUP(A94,'Données projet'!$A$87:$I$107,3,0)),0,VLOOKUP(A94,'Données projet'!$A$87:$I$107,3,0))</f>
        <v>11</v>
      </c>
      <c r="BL94" s="16">
        <f>IF(ISNA(VLOOKUP(A94,'Données projet'!$A$87:$I$107,4,0)),0,VLOOKUP(A94,'Données projet'!$A$87:$I$107,4,0))</f>
        <v>179.25384615384615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0.44414106377893675</v>
      </c>
      <c r="BR94" s="23">
        <f>EXP(-LN(2)/2)*BR93+(1-EXP(-LN(2)/2))/(LN(2)/2)*BL94*BO94*VLOOKUP('Données projet'!$B$11,Paramètres!$A$1:$I$89,3,0)*0.475*44/12</f>
        <v>7.0936513396100038E-9</v>
      </c>
      <c r="BS94" s="24">
        <f t="shared" si="63"/>
        <v>0.44414107087258808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5.9</v>
      </c>
      <c r="BY94" s="13">
        <f>IF('Données projet'!$A$114&gt;35,BY93+BX94-CG93,IF(A94&lt;'Données projet'!$A$114,$BV$205^A94,IF(A94='Données projet'!$A$114,'Données projet'!$B$114,BY93+BX94-CG93)))</f>
        <v>307.9000000000002</v>
      </c>
      <c r="BZ94" s="14">
        <f>BY94*VLOOKUP('Données projet'!$B$12,Paramètres!$A$1:$I$89,3,0)*VLOOKUP('Données projet'!$B$12,Paramètres!$A$1:$I$89,5,0)</f>
        <v>312.21060000000023</v>
      </c>
      <c r="CA94" s="14">
        <f t="shared" si="93"/>
        <v>73.730300342886395</v>
      </c>
      <c r="CB94" s="22">
        <f t="shared" si="64"/>
        <v>672.18040143052747</v>
      </c>
      <c r="CC94" s="62">
        <f t="shared" si="65"/>
        <v>965.51373476386084</v>
      </c>
      <c r="CD94" s="62">
        <f ca="1">AVERAGE(OFFSET($CC$3,0,0,'Données projet'!$E$12+1,1))-AVERAGE(OFFSET($H$3,0,0,'Données projet'!$E$12+1,1))</f>
        <v>587.74247372331615</v>
      </c>
      <c r="CE94" s="62">
        <f t="shared" si="94"/>
        <v>306.61893266146666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3.8461538461538511</v>
      </c>
      <c r="CT94" s="13">
        <f>IF('Données projet'!$A$140&gt;35,CT93+CS94-DB93,IF(A94&lt;'Données projet'!$A$140,$CQ$205^A94,IF(A94='Données projet'!$A$140,'Données projet'!$B$140,CT93+CS94-DB93)))</f>
        <v>252.56410256410248</v>
      </c>
      <c r="CU94" s="18">
        <f>CT94*VLOOKUP('Données projet'!$B$13,Paramètres!$A$1:$I$89,3,0)*VLOOKUP('Données projet'!$B$13,Paramètres!$A$1:$I$89,5,0)</f>
        <v>240.33999999999992</v>
      </c>
      <c r="CV94" s="14">
        <f t="shared" si="95"/>
        <v>58.512677110228594</v>
      </c>
      <c r="CW94" s="22">
        <f t="shared" si="67"/>
        <v>520.50174596698128</v>
      </c>
      <c r="CX94" s="62">
        <f t="shared" si="68"/>
        <v>813.83507930031465</v>
      </c>
      <c r="CY94" s="62">
        <f ca="1">AVERAGE(OFFSET($CX$3,0,0,'Données projet'!$E$13+1,1))-AVERAGE(OFFSET($H$3,0,0,'Données projet'!$E$13+1,1))</f>
        <v>406.24139966722936</v>
      </c>
      <c r="CZ94" s="62">
        <f t="shared" si="96"/>
        <v>295.95724296920577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6.7984728957526396E-14</v>
      </c>
      <c r="DQ94" s="14">
        <f t="shared" si="97"/>
        <v>1.0682447123141398E-12</v>
      </c>
      <c r="DR94" s="22">
        <f t="shared" si="70"/>
        <v>1.978932943548152E-12</v>
      </c>
      <c r="DS94" s="62">
        <f t="shared" si="71"/>
        <v>293.3333333333353</v>
      </c>
      <c r="DT94" s="62">
        <f ca="1">AVERAGE(OFFSET($DS$3,0,0,'Données projet'!$E$14+1,1))-AVERAGE(OFFSET($H$3,0,0,'Données projet'!$E$14+1,1))</f>
        <v>356.42779334565381</v>
      </c>
      <c r="DU94" s="62">
        <f t="shared" si="98"/>
        <v>320.06572891923685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0.73218056056534497</v>
      </c>
      <c r="EC94" s="23">
        <f>EXP(-LN(2)/2)*EC93+(1-EXP(-LN(2)/2))/(LN(2)/2)*DW94*DZ94*VLOOKUP('Données projet'!$B$14,Paramètres!$A$1:$I$89,3,0)*0.475*44/12</f>
        <v>1.1182469669276608E-8</v>
      </c>
      <c r="ED94" s="24">
        <f t="shared" si="72"/>
        <v>0.73218057174781459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-5.6843418860808015E-14</v>
      </c>
      <c r="FF94" s="18">
        <f>FE94*VLOOKUP('Données projet'!$B$16,Paramètres!$A$1:$I$89,3,0)*VLOOKUP('Données projet'!$B$16,Paramètres!$A$1:$I$89,5,0)</f>
        <v>-4.5224624045658861E-14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370.59298168107364</v>
      </c>
      <c r="FK94" s="62">
        <f t="shared" si="102"/>
        <v>404.61777090709171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5.9</v>
      </c>
      <c r="FZ94" s="13">
        <f>IF('Données projet'!$A$244&gt;35,FZ93+FY94-GH93,IF(A94&lt;'Données projet'!$A$244,$FW$205^A94,IF(A94='Données projet'!$A$244,'Données projet'!$B$244,FZ93+FY94-GH93)))</f>
        <v>307.9000000000002</v>
      </c>
      <c r="GA94" s="18">
        <f>FZ94*VLOOKUP('Données projet'!$B$17,Paramètres!$A$1:$I$89,3,0)*VLOOKUP('Données projet'!$B$17,Paramètres!$A$1:$I$89,5,0)</f>
        <v>297.80088000000023</v>
      </c>
      <c r="GB94" s="14">
        <f t="shared" si="103"/>
        <v>70.715246231293804</v>
      </c>
      <c r="GC94" s="22">
        <f t="shared" si="79"/>
        <v>641.83225318617042</v>
      </c>
      <c r="GD94" s="62">
        <f t="shared" si="80"/>
        <v>935.16558651950368</v>
      </c>
      <c r="GE94" s="62">
        <f ca="1">AVERAGE(OFFSET($GD$3,0,0,'Données projet'!$E$17+1,1))-AVERAGE(OFFSET($H$3,0,0,'Données projet'!$E$17+1,1))</f>
        <v>562.69380557620775</v>
      </c>
      <c r="GF94" s="62">
        <f t="shared" si="104"/>
        <v>294.45557293177131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4.102564102564088</v>
      </c>
      <c r="GU94" s="13">
        <f>IF('Données projet'!$A$270&gt;35,GU93+GT94-HC93,IF(A94&lt;'Données projet'!$A$270,$GR$205^A94,IF(A94='Données projet'!$A$270,'Données projet'!$B$270,GU93+GT94-HC93)))</f>
        <v>318.84615384615392</v>
      </c>
      <c r="GV94" s="18">
        <f>GU94*VLOOKUP('Données projet'!$B$18,Paramètres!$A$1:$I$89,3,0)*VLOOKUP('Données projet'!$B$18,Paramètres!$A$1:$I$89,5,0)</f>
        <v>213.88200000000003</v>
      </c>
      <c r="GW94" s="14">
        <f t="shared" si="105"/>
        <v>52.782993910626054</v>
      </c>
      <c r="GX94" s="22">
        <f t="shared" si="82"/>
        <v>464.44153106100708</v>
      </c>
      <c r="GY94" s="62">
        <f t="shared" si="83"/>
        <v>757.7748643943404</v>
      </c>
      <c r="GZ94" s="62">
        <f ca="1">AVERAGE(OFFSET($GY$3,0,0,'Données projet'!$E$18+1,1))-AVERAGE(OFFSET($H$3,0,0,'Données projet'!$E$18+1,1))</f>
        <v>363.53487081291541</v>
      </c>
      <c r="HA94" s="62">
        <f t="shared" si="106"/>
        <v>308.1559670593121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905.91634374468731</v>
      </c>
      <c r="S95" s="62">
        <f ca="1">AVERAGE(OFFSET($R$3,0,0,'Données projet'!$E$9+1,1))-AVERAGE(OFFSET($H$3,0,0,'Données projet'!$E$9+1,1))</f>
        <v>529.25712986118265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313.80000000000018</v>
      </c>
      <c r="AJ95" s="14">
        <f>AI95*VLOOKUP('Données projet'!$B$10,Paramètres!$A$1:$I$89,3,0)*VLOOKUP('Données projet'!$B$10,Paramètres!$A$1:$I$89,5,0)</f>
        <v>264.34512000000018</v>
      </c>
      <c r="AK95" s="14">
        <f t="shared" si="89"/>
        <v>63.64768664182855</v>
      </c>
      <c r="AL95" s="22">
        <f t="shared" si="58"/>
        <v>571.25413823451834</v>
      </c>
      <c r="AM95" s="62">
        <f t="shared" si="59"/>
        <v>864.58747156785171</v>
      </c>
      <c r="AN95" s="62">
        <f ca="1">AVERAGE(OFFSET($AM$3,0,0,'Données projet'!$E$10+1,1))-AVERAGE(OFFSET($H$3,0,0,'Données projet'!$E$10+1,1))</f>
        <v>495.77338291316386</v>
      </c>
      <c r="AO95" s="62">
        <f t="shared" si="90"/>
        <v>261.95434270986397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1.1380052455933766E-13</v>
      </c>
      <c r="BF95" s="14">
        <f t="shared" si="91"/>
        <v>1.6840738663456724E-12</v>
      </c>
      <c r="BG95" s="22">
        <f t="shared" si="61"/>
        <v>3.1312978974928925E-12</v>
      </c>
      <c r="BH95" s="62">
        <f t="shared" si="62"/>
        <v>293.33333333333644</v>
      </c>
      <c r="BI95" s="62">
        <f ca="1">AVERAGE(OFFSET($BH$3,0,0,'Données projet'!$E$11+1,1))-AVERAGE(OFFSET($H$3,0,0,'Données projet'!$E$11+1,1))</f>
        <v>320.67081032419122</v>
      </c>
      <c r="BJ95" s="62">
        <f t="shared" si="92"/>
        <v>290.51177680335746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0.4319960030335383</v>
      </c>
      <c r="BR95" s="23">
        <f>EXP(-LN(2)/2)*BR94+(1-EXP(-LN(2)/2))/(LN(2)/2)*BL95*BO95*VLOOKUP('Données projet'!$B$11,Paramètres!$A$1:$I$89,3,0)*0.475*44/12</f>
        <v>5.0159689656112706E-9</v>
      </c>
      <c r="BS95" s="24">
        <f t="shared" si="63"/>
        <v>0.43199600804950727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5.9</v>
      </c>
      <c r="BY95" s="13">
        <f>IF('Données projet'!$A$114&gt;35,BY94+BX95-CG94,IF(A95&lt;'Données projet'!$A$114,$BV$205^A95,IF(A95='Données projet'!$A$114,'Données projet'!$B$114,BY94+BX95-CG94)))</f>
        <v>313.80000000000018</v>
      </c>
      <c r="BZ95" s="14">
        <f>BY95*VLOOKUP('Données projet'!$B$12,Paramètres!$A$1:$I$89,3,0)*VLOOKUP('Données projet'!$B$12,Paramètres!$A$1:$I$89,5,0)</f>
        <v>318.19320000000016</v>
      </c>
      <c r="CA95" s="14">
        <f t="shared" si="93"/>
        <v>74.977289985928564</v>
      </c>
      <c r="CB95" s="22">
        <f t="shared" si="64"/>
        <v>684.77193672549254</v>
      </c>
      <c r="CC95" s="62">
        <f t="shared" si="65"/>
        <v>978.10527005882591</v>
      </c>
      <c r="CD95" s="62">
        <f ca="1">AVERAGE(OFFSET($CC$3,0,0,'Données projet'!$E$12+1,1))-AVERAGE(OFFSET($H$3,0,0,'Données projet'!$E$12+1,1))</f>
        <v>587.74247372331615</v>
      </c>
      <c r="CE95" s="62">
        <f t="shared" si="94"/>
        <v>306.61893266146666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3.8461538461538511</v>
      </c>
      <c r="CT95" s="13">
        <f>IF('Données projet'!$A$140&gt;35,CT94+CS95-DB94,IF(A95&lt;'Données projet'!$A$140,$CQ$205^A95,IF(A95='Données projet'!$A$140,'Données projet'!$B$140,CT94+CS95-DB94)))</f>
        <v>256.41025641025635</v>
      </c>
      <c r="CU95" s="18">
        <f>CT95*VLOOKUP('Données projet'!$B$13,Paramètres!$A$1:$I$89,3,0)*VLOOKUP('Données projet'!$B$13,Paramètres!$A$1:$I$89,5,0)</f>
        <v>243.99999999999997</v>
      </c>
      <c r="CV95" s="14">
        <f t="shared" si="95"/>
        <v>59.299320299313244</v>
      </c>
      <c r="CW95" s="22">
        <f t="shared" si="67"/>
        <v>528.24631618797048</v>
      </c>
      <c r="CX95" s="62">
        <f t="shared" si="68"/>
        <v>821.57964952130374</v>
      </c>
      <c r="CY95" s="62">
        <f ca="1">AVERAGE(OFFSET($CX$3,0,0,'Données projet'!$E$13+1,1))-AVERAGE(OFFSET($H$3,0,0,'Données projet'!$E$13+1,1))</f>
        <v>406.24139966722936</v>
      </c>
      <c r="CZ95" s="62">
        <f t="shared" si="96"/>
        <v>295.95724296920577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6.7984728957526396E-14</v>
      </c>
      <c r="DQ95" s="14">
        <f t="shared" si="97"/>
        <v>1.0682447123141398E-12</v>
      </c>
      <c r="DR95" s="22">
        <f t="shared" si="70"/>
        <v>1.978932943548152E-12</v>
      </c>
      <c r="DS95" s="62">
        <f t="shared" si="71"/>
        <v>293.3333333333353</v>
      </c>
      <c r="DT95" s="62">
        <f ca="1">AVERAGE(OFFSET($DS$3,0,0,'Données projet'!$E$14+1,1))-AVERAGE(OFFSET($H$3,0,0,'Données projet'!$E$14+1,1))</f>
        <v>356.42779334565381</v>
      </c>
      <c r="DU95" s="62">
        <f t="shared" si="98"/>
        <v>320.06572891923685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0.71215904463298341</v>
      </c>
      <c r="EC95" s="23">
        <f>EXP(-LN(2)/2)*EC94+(1-EXP(-LN(2)/2))/(LN(2)/2)*DW95*DZ95*VLOOKUP('Données projet'!$B$14,Paramètres!$A$1:$I$89,3,0)*0.475*44/12</f>
        <v>7.9072001335583785E-9</v>
      </c>
      <c r="ED95" s="24">
        <f t="shared" si="72"/>
        <v>0.71215905254018352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-5.6843418860808015E-14</v>
      </c>
      <c r="FF95" s="18">
        <f>FE95*VLOOKUP('Données projet'!$B$16,Paramètres!$A$1:$I$89,3,0)*VLOOKUP('Données projet'!$B$16,Paramètres!$A$1:$I$89,5,0)</f>
        <v>-4.5224624045658861E-14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370.59298168107364</v>
      </c>
      <c r="FK95" s="62">
        <f t="shared" si="102"/>
        <v>404.61777090709171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5.9</v>
      </c>
      <c r="FZ95" s="13">
        <f>IF('Données projet'!$A$244&gt;35,FZ94+FY95-GH94,IF(A95&lt;'Données projet'!$A$244,$FW$205^A95,IF(A95='Données projet'!$A$244,'Données projet'!$B$244,FZ94+FY95-GH94)))</f>
        <v>313.80000000000018</v>
      </c>
      <c r="GA95" s="18">
        <f>FZ95*VLOOKUP('Données projet'!$B$17,Paramètres!$A$1:$I$89,3,0)*VLOOKUP('Données projet'!$B$17,Paramètres!$A$1:$I$89,5,0)</f>
        <v>303.50736000000023</v>
      </c>
      <c r="GB95" s="14">
        <f t="shared" si="103"/>
        <v>71.911242710970541</v>
      </c>
      <c r="GC95" s="22">
        <f t="shared" si="79"/>
        <v>653.85406638827408</v>
      </c>
      <c r="GD95" s="62">
        <f t="shared" si="80"/>
        <v>947.18739972160733</v>
      </c>
      <c r="GE95" s="62">
        <f ca="1">AVERAGE(OFFSET($GD$3,0,0,'Données projet'!$E$17+1,1))-AVERAGE(OFFSET($H$3,0,0,'Données projet'!$E$17+1,1))</f>
        <v>562.69380557620775</v>
      </c>
      <c r="GF95" s="62">
        <f t="shared" si="104"/>
        <v>294.45557293177131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4.102564102564088</v>
      </c>
      <c r="GU95" s="13">
        <f>IF('Données projet'!$A$270&gt;35,GU94+GT95-HC94,IF(A95&lt;'Données projet'!$A$270,$GR$205^A95,IF(A95='Données projet'!$A$270,'Données projet'!$B$270,GU94+GT95-HC94)))</f>
        <v>322.94871794871801</v>
      </c>
      <c r="GV95" s="18">
        <f>GU95*VLOOKUP('Données projet'!$B$18,Paramètres!$A$1:$I$89,3,0)*VLOOKUP('Données projet'!$B$18,Paramètres!$A$1:$I$89,5,0)</f>
        <v>216.63400000000004</v>
      </c>
      <c r="GW95" s="14">
        <f t="shared" si="105"/>
        <v>53.382647066119048</v>
      </c>
      <c r="GX95" s="22">
        <f t="shared" si="82"/>
        <v>470.27899364015747</v>
      </c>
      <c r="GY95" s="62">
        <f t="shared" si="83"/>
        <v>763.61232697349078</v>
      </c>
      <c r="GZ95" s="62">
        <f ca="1">AVERAGE(OFFSET($GY$3,0,0,'Données projet'!$E$18+1,1))-AVERAGE(OFFSET($H$3,0,0,'Données projet'!$E$18+1,1))</f>
        <v>363.53487081291541</v>
      </c>
      <c r="HA95" s="62">
        <f t="shared" si="106"/>
        <v>308.1559670593121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529.25712986118265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319.70000000000016</v>
      </c>
      <c r="AJ96" s="14">
        <f>AI96*VLOOKUP('Données projet'!$B$10,Paramètres!$A$1:$I$89,3,0)*VLOOKUP('Données projet'!$B$10,Paramètres!$A$1:$I$89,5,0)</f>
        <v>269.31528000000014</v>
      </c>
      <c r="AK96" s="14">
        <f t="shared" si="89"/>
        <v>64.703932954620839</v>
      </c>
      <c r="AL96" s="22">
        <f t="shared" si="58"/>
        <v>581.75012922929818</v>
      </c>
      <c r="AM96" s="62">
        <f t="shared" si="59"/>
        <v>875.08346256263144</v>
      </c>
      <c r="AN96" s="62">
        <f ca="1">AVERAGE(OFFSET($AM$3,0,0,'Données projet'!$E$10+1,1))-AVERAGE(OFFSET($H$3,0,0,'Données projet'!$E$10+1,1))</f>
        <v>495.77338291316386</v>
      </c>
      <c r="AO96" s="62">
        <f t="shared" si="90"/>
        <v>261.95434270986397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1.1380052455933766E-13</v>
      </c>
      <c r="BF96" s="14">
        <f t="shared" si="91"/>
        <v>1.6840738663456724E-12</v>
      </c>
      <c r="BG96" s="22">
        <f t="shared" si="61"/>
        <v>3.1312978974928925E-12</v>
      </c>
      <c r="BH96" s="62">
        <f t="shared" si="62"/>
        <v>293.33333333333644</v>
      </c>
      <c r="BI96" s="62">
        <f ca="1">AVERAGE(OFFSET($BH$3,0,0,'Données projet'!$E$11+1,1))-AVERAGE(OFFSET($H$3,0,0,'Données projet'!$E$11+1,1))</f>
        <v>320.67081032419122</v>
      </c>
      <c r="BJ96" s="62">
        <f t="shared" si="92"/>
        <v>290.51177680335746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0.42018304961290376</v>
      </c>
      <c r="BR96" s="23">
        <f>EXP(-LN(2)/2)*BR95+(1-EXP(-LN(2)/2))/(LN(2)/2)*BL96*BO96*VLOOKUP('Données projet'!$B$11,Paramètres!$A$1:$I$89,3,0)*0.475*44/12</f>
        <v>3.5468256698050019E-9</v>
      </c>
      <c r="BS96" s="24">
        <f t="shared" si="63"/>
        <v>0.42018305315972942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5.9</v>
      </c>
      <c r="BY96" s="13">
        <f>IF('Données projet'!$A$114&gt;35,BY95+BX96-CG95,IF(A96&lt;'Données projet'!$A$114,$BV$205^A96,IF(A96='Données projet'!$A$114,'Données projet'!$B$114,BY95+BX96-CG95)))</f>
        <v>319.70000000000016</v>
      </c>
      <c r="BZ96" s="14">
        <f>BY96*VLOOKUP('Données projet'!$B$12,Paramètres!$A$1:$I$89,3,0)*VLOOKUP('Données projet'!$B$12,Paramètres!$A$1:$I$89,5,0)</f>
        <v>324.17580000000021</v>
      </c>
      <c r="CA96" s="14">
        <f t="shared" si="93"/>
        <v>76.221553371909266</v>
      </c>
      <c r="CB96" s="22">
        <f t="shared" si="64"/>
        <v>697.35872378940894</v>
      </c>
      <c r="CC96" s="62">
        <f t="shared" si="65"/>
        <v>990.6920571227422</v>
      </c>
      <c r="CD96" s="62">
        <f ca="1">AVERAGE(OFFSET($CC$3,0,0,'Données projet'!$E$12+1,1))-AVERAGE(OFFSET($H$3,0,0,'Données projet'!$E$12+1,1))</f>
        <v>587.74247372331615</v>
      </c>
      <c r="CE96" s="62">
        <f t="shared" si="94"/>
        <v>306.61893266146666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3.8461538461538511</v>
      </c>
      <c r="CT96" s="13">
        <f>IF('Données projet'!$A$140&gt;35,CT95+CS96-DB95,IF(A96&lt;'Données projet'!$A$140,$CQ$205^A96,IF(A96='Données projet'!$A$140,'Données projet'!$B$140,CT95+CS96-DB95)))</f>
        <v>260.25641025641022</v>
      </c>
      <c r="CU96" s="18">
        <f>CT96*VLOOKUP('Données projet'!$B$13,Paramètres!$A$1:$I$89,3,0)*VLOOKUP('Données projet'!$B$13,Paramètres!$A$1:$I$89,5,0)</f>
        <v>247.65999999999994</v>
      </c>
      <c r="CV96" s="14">
        <f t="shared" si="95"/>
        <v>60.084591153326222</v>
      </c>
      <c r="CW96" s="22">
        <f t="shared" si="67"/>
        <v>535.98849625870969</v>
      </c>
      <c r="CX96" s="62">
        <f t="shared" si="68"/>
        <v>829.32182959204306</v>
      </c>
      <c r="CY96" s="62">
        <f ca="1">AVERAGE(OFFSET($CX$3,0,0,'Données projet'!$E$13+1,1))-AVERAGE(OFFSET($H$3,0,0,'Données projet'!$E$13+1,1))</f>
        <v>406.24139966722936</v>
      </c>
      <c r="CZ96" s="62">
        <f t="shared" si="96"/>
        <v>295.95724296920577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6.7984728957526396E-14</v>
      </c>
      <c r="DQ96" s="14">
        <f t="shared" si="97"/>
        <v>1.0682447123141398E-12</v>
      </c>
      <c r="DR96" s="22">
        <f t="shared" si="70"/>
        <v>1.978932943548152E-12</v>
      </c>
      <c r="DS96" s="62">
        <f t="shared" si="71"/>
        <v>293.3333333333353</v>
      </c>
      <c r="DT96" s="62">
        <f ca="1">AVERAGE(OFFSET($DS$3,0,0,'Données projet'!$E$14+1,1))-AVERAGE(OFFSET($H$3,0,0,'Données projet'!$E$14+1,1))</f>
        <v>356.42779334565381</v>
      </c>
      <c r="DU96" s="62">
        <f t="shared" si="98"/>
        <v>320.06572891923685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0.69268501810667793</v>
      </c>
      <c r="EC96" s="23">
        <f>EXP(-LN(2)/2)*EC95+(1-EXP(-LN(2)/2))/(LN(2)/2)*DW96*DZ96*VLOOKUP('Données projet'!$B$14,Paramètres!$A$1:$I$89,3,0)*0.475*44/12</f>
        <v>5.5912348346383038E-9</v>
      </c>
      <c r="ED96" s="24">
        <f t="shared" si="72"/>
        <v>0.69268502369791274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-5.6843418860808015E-14</v>
      </c>
      <c r="FF96" s="18">
        <f>FE96*VLOOKUP('Données projet'!$B$16,Paramètres!$A$1:$I$89,3,0)*VLOOKUP('Données projet'!$B$16,Paramètres!$A$1:$I$89,5,0)</f>
        <v>-4.5224624045658861E-14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370.59298168107364</v>
      </c>
      <c r="FK96" s="62">
        <f t="shared" si="102"/>
        <v>404.61777090709171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5.9</v>
      </c>
      <c r="FZ96" s="13">
        <f>IF('Données projet'!$A$244&gt;35,FZ95+FY96-GH95,IF(A96&lt;'Données projet'!$A$244,$FW$205^A96,IF(A96='Données projet'!$A$244,'Données projet'!$B$244,FZ95+FY96-GH95)))</f>
        <v>319.70000000000016</v>
      </c>
      <c r="GA96" s="18">
        <f>FZ96*VLOOKUP('Données projet'!$B$17,Paramètres!$A$1:$I$89,3,0)*VLOOKUP('Données projet'!$B$17,Paramètres!$A$1:$I$89,5,0)</f>
        <v>309.21384000000012</v>
      </c>
      <c r="GB96" s="14">
        <f t="shared" si="103"/>
        <v>73.104624418450499</v>
      </c>
      <c r="GC96" s="22">
        <f t="shared" si="79"/>
        <v>665.87132552880155</v>
      </c>
      <c r="GD96" s="62">
        <f t="shared" si="80"/>
        <v>959.20465886213492</v>
      </c>
      <c r="GE96" s="62">
        <f ca="1">AVERAGE(OFFSET($GD$3,0,0,'Données projet'!$E$17+1,1))-AVERAGE(OFFSET($H$3,0,0,'Données projet'!$E$17+1,1))</f>
        <v>562.69380557620775</v>
      </c>
      <c r="GF96" s="62">
        <f t="shared" si="104"/>
        <v>294.45557293177131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4.102564102564088</v>
      </c>
      <c r="GU96" s="13">
        <f>IF('Données projet'!$A$270&gt;35,GU95+GT96-HC95,IF(A96&lt;'Données projet'!$A$270,$GR$205^A96,IF(A96='Données projet'!$A$270,'Données projet'!$B$270,GU95+GT96-HC95)))</f>
        <v>327.0512820512821</v>
      </c>
      <c r="GV96" s="18">
        <f>GU96*VLOOKUP('Données projet'!$B$18,Paramètres!$A$1:$I$89,3,0)*VLOOKUP('Données projet'!$B$18,Paramètres!$A$1:$I$89,5,0)</f>
        <v>219.38600000000002</v>
      </c>
      <c r="GW96" s="14">
        <f t="shared" si="105"/>
        <v>53.981414155321495</v>
      </c>
      <c r="GX96" s="22">
        <f t="shared" si="82"/>
        <v>476.11491298718494</v>
      </c>
      <c r="GY96" s="62">
        <f t="shared" si="83"/>
        <v>769.44824632051825</v>
      </c>
      <c r="GZ96" s="62">
        <f ca="1">AVERAGE(OFFSET($GY$3,0,0,'Données projet'!$E$18+1,1))-AVERAGE(OFFSET($H$3,0,0,'Données projet'!$E$18+1,1))</f>
        <v>363.53487081291541</v>
      </c>
      <c r="HA96" s="62">
        <f t="shared" si="106"/>
        <v>308.1559670593121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928.42634827284951</v>
      </c>
      <c r="S97" s="62">
        <f ca="1">AVERAGE(OFFSET($R$3,0,0,'Données projet'!$E$9+1,1))-AVERAGE(OFFSET($H$3,0,0,'Données projet'!$E$9+1,1))</f>
        <v>529.25712986118265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325.60000000000014</v>
      </c>
      <c r="AJ97" s="14">
        <f>AI97*VLOOKUP('Données projet'!$B$10,Paramètres!$A$1:$I$89,3,0)*VLOOKUP('Données projet'!$B$10,Paramètres!$A$1:$I$89,5,0)</f>
        <v>274.28544000000016</v>
      </c>
      <c r="AK97" s="14">
        <f t="shared" si="89"/>
        <v>65.757912602905577</v>
      </c>
      <c r="AL97" s="22">
        <f t="shared" si="58"/>
        <v>592.24217245006082</v>
      </c>
      <c r="AM97" s="62">
        <f t="shared" si="59"/>
        <v>885.57550578339419</v>
      </c>
      <c r="AN97" s="62">
        <f ca="1">AVERAGE(OFFSET($AM$3,0,0,'Données projet'!$E$10+1,1))-AVERAGE(OFFSET($H$3,0,0,'Données projet'!$E$10+1,1))</f>
        <v>495.77338291316386</v>
      </c>
      <c r="AO97" s="62">
        <f t="shared" si="90"/>
        <v>261.95434270986397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1.1380052455933766E-13</v>
      </c>
      <c r="BF97" s="14">
        <f t="shared" si="91"/>
        <v>1.6840738663456724E-12</v>
      </c>
      <c r="BG97" s="22">
        <f t="shared" si="61"/>
        <v>3.1312978974928925E-12</v>
      </c>
      <c r="BH97" s="62">
        <f t="shared" si="62"/>
        <v>293.33333333333644</v>
      </c>
      <c r="BI97" s="62">
        <f ca="1">AVERAGE(OFFSET($BH$3,0,0,'Données projet'!$E$11+1,1))-AVERAGE(OFFSET($H$3,0,0,'Données projet'!$E$11+1,1))</f>
        <v>320.67081032419122</v>
      </c>
      <c r="BJ97" s="62">
        <f t="shared" si="92"/>
        <v>290.51177680335746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0.40869312202477265</v>
      </c>
      <c r="BR97" s="23">
        <f>EXP(-LN(2)/2)*BR96+(1-EXP(-LN(2)/2))/(LN(2)/2)*BL97*BO97*VLOOKUP('Données projet'!$B$11,Paramètres!$A$1:$I$89,3,0)*0.475*44/12</f>
        <v>2.5079844828056353E-9</v>
      </c>
      <c r="BS97" s="24">
        <f t="shared" si="63"/>
        <v>0.40869312453275713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5.9</v>
      </c>
      <c r="BY97" s="13">
        <f>IF('Données projet'!$A$114&gt;35,BY96+BX97-CG96,IF(A97&lt;'Données projet'!$A$114,$BV$205^A97,IF(A97='Données projet'!$A$114,'Données projet'!$B$114,BY96+BX97-CG96)))</f>
        <v>325.60000000000014</v>
      </c>
      <c r="BZ97" s="14">
        <f>BY97*VLOOKUP('Données projet'!$B$12,Paramètres!$A$1:$I$89,3,0)*VLOOKUP('Données projet'!$B$12,Paramètres!$A$1:$I$89,5,0)</f>
        <v>330.15840000000014</v>
      </c>
      <c r="CA97" s="14">
        <f t="shared" si="93"/>
        <v>77.463146615877591</v>
      </c>
      <c r="CB97" s="22">
        <f t="shared" si="64"/>
        <v>709.94086035598696</v>
      </c>
      <c r="CC97" s="62">
        <f t="shared" si="65"/>
        <v>1003.2741936893203</v>
      </c>
      <c r="CD97" s="62">
        <f ca="1">AVERAGE(OFFSET($CC$3,0,0,'Données projet'!$E$12+1,1))-AVERAGE(OFFSET($H$3,0,0,'Données projet'!$E$12+1,1))</f>
        <v>587.74247372331615</v>
      </c>
      <c r="CE97" s="62">
        <f t="shared" si="94"/>
        <v>306.61893266146666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3.8461538461538511</v>
      </c>
      <c r="CT97" s="13">
        <f>IF('Données projet'!$A$140&gt;35,CT96+CS97-DB96,IF(A97&lt;'Données projet'!$A$140,$CQ$205^A97,IF(A97='Données projet'!$A$140,'Données projet'!$B$140,CT96+CS97-DB96)))</f>
        <v>264.10256410256409</v>
      </c>
      <c r="CU97" s="18">
        <f>CT97*VLOOKUP('Données projet'!$B$13,Paramètres!$A$1:$I$89,3,0)*VLOOKUP('Données projet'!$B$13,Paramètres!$A$1:$I$89,5,0)</f>
        <v>251.32</v>
      </c>
      <c r="CV97" s="14">
        <f t="shared" si="95"/>
        <v>60.868512295963441</v>
      </c>
      <c r="CW97" s="22">
        <f t="shared" si="67"/>
        <v>543.72832558213634</v>
      </c>
      <c r="CX97" s="62">
        <f t="shared" si="68"/>
        <v>837.06165891546971</v>
      </c>
      <c r="CY97" s="62">
        <f ca="1">AVERAGE(OFFSET($CX$3,0,0,'Données projet'!$E$13+1,1))-AVERAGE(OFFSET($H$3,0,0,'Données projet'!$E$13+1,1))</f>
        <v>406.24139966722936</v>
      </c>
      <c r="CZ97" s="62">
        <f t="shared" si="96"/>
        <v>295.95724296920577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6.7984728957526396E-14</v>
      </c>
      <c r="DQ97" s="14">
        <f t="shared" si="97"/>
        <v>1.0682447123141398E-12</v>
      </c>
      <c r="DR97" s="22">
        <f t="shared" si="70"/>
        <v>1.978932943548152E-12</v>
      </c>
      <c r="DS97" s="62">
        <f t="shared" si="71"/>
        <v>293.3333333333353</v>
      </c>
      <c r="DT97" s="62">
        <f ca="1">AVERAGE(OFFSET($DS$3,0,0,'Données projet'!$E$14+1,1))-AVERAGE(OFFSET($H$3,0,0,'Données projet'!$E$14+1,1))</f>
        <v>356.42779334565381</v>
      </c>
      <c r="DU97" s="62">
        <f t="shared" si="98"/>
        <v>320.06572891923685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0.67374350985982889</v>
      </c>
      <c r="EC97" s="23">
        <f>EXP(-LN(2)/2)*EC96+(1-EXP(-LN(2)/2))/(LN(2)/2)*DW97*DZ97*VLOOKUP('Données projet'!$B$14,Paramètres!$A$1:$I$89,3,0)*0.475*44/12</f>
        <v>3.9536000667791892E-9</v>
      </c>
      <c r="ED97" s="24">
        <f t="shared" si="72"/>
        <v>0.67374351381342901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-5.6843418860808015E-14</v>
      </c>
      <c r="FF97" s="18">
        <f>FE97*VLOOKUP('Données projet'!$B$16,Paramètres!$A$1:$I$89,3,0)*VLOOKUP('Données projet'!$B$16,Paramètres!$A$1:$I$89,5,0)</f>
        <v>-4.5224624045658861E-14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370.59298168107364</v>
      </c>
      <c r="FK97" s="62">
        <f t="shared" si="102"/>
        <v>404.61777090709171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5.9</v>
      </c>
      <c r="FZ97" s="13">
        <f>IF('Données projet'!$A$244&gt;35,FZ96+FY97-GH96,IF(A97&lt;'Données projet'!$A$244,$FW$205^A97,IF(A97='Données projet'!$A$244,'Données projet'!$B$244,FZ96+FY97-GH96)))</f>
        <v>325.60000000000014</v>
      </c>
      <c r="GA97" s="18">
        <f>FZ97*VLOOKUP('Données projet'!$B$17,Paramètres!$A$1:$I$89,3,0)*VLOOKUP('Données projet'!$B$17,Paramètres!$A$1:$I$89,5,0)</f>
        <v>314.92032000000012</v>
      </c>
      <c r="GB97" s="14">
        <f t="shared" si="103"/>
        <v>74.295445174069556</v>
      </c>
      <c r="GC97" s="22">
        <f t="shared" si="79"/>
        <v>677.88412434483791</v>
      </c>
      <c r="GD97" s="62">
        <f t="shared" si="80"/>
        <v>971.21745767817129</v>
      </c>
      <c r="GE97" s="62">
        <f ca="1">AVERAGE(OFFSET($GD$3,0,0,'Données projet'!$E$17+1,1))-AVERAGE(OFFSET($H$3,0,0,'Données projet'!$E$17+1,1))</f>
        <v>562.69380557620775</v>
      </c>
      <c r="GF97" s="62">
        <f t="shared" si="104"/>
        <v>294.45557293177131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4.102564102564088</v>
      </c>
      <c r="GU97" s="13">
        <f>IF('Données projet'!$A$270&gt;35,GU96+GT97-HC96,IF(A97&lt;'Données projet'!$A$270,$GR$205^A97,IF(A97='Données projet'!$A$270,'Données projet'!$B$270,GU96+GT97-HC96)))</f>
        <v>331.15384615384619</v>
      </c>
      <c r="GV97" s="18">
        <f>GU97*VLOOKUP('Données projet'!$B$18,Paramètres!$A$1:$I$89,3,0)*VLOOKUP('Données projet'!$B$18,Paramètres!$A$1:$I$89,5,0)</f>
        <v>222.13800000000001</v>
      </c>
      <c r="GW97" s="14">
        <f t="shared" si="105"/>
        <v>54.579307578512022</v>
      </c>
      <c r="GX97" s="22">
        <f t="shared" si="82"/>
        <v>481.94931069924172</v>
      </c>
      <c r="GY97" s="62">
        <f t="shared" si="83"/>
        <v>775.28264403257504</v>
      </c>
      <c r="GZ97" s="62">
        <f ca="1">AVERAGE(OFFSET($GY$3,0,0,'Données projet'!$E$18+1,1))-AVERAGE(OFFSET($H$3,0,0,'Données projet'!$E$18+1,1))</f>
        <v>363.53487081291541</v>
      </c>
      <c r="HA97" s="62">
        <f t="shared" si="106"/>
        <v>308.1559670593121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939.67512790562591</v>
      </c>
      <c r="S98" s="62">
        <f ca="1">AVERAGE(OFFSET($R$3,0,0,'Données projet'!$E$9+1,1))-AVERAGE(OFFSET($H$3,0,0,'Données projet'!$E$9+1,1))</f>
        <v>529.25712986118265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331.50000000000011</v>
      </c>
      <c r="AJ98" s="14">
        <f>AI98*VLOOKUP('Données projet'!$B$10,Paramètres!$A$1:$I$89,3,0)*VLOOKUP('Données projet'!$B$10,Paramètres!$A$1:$I$89,5,0)</f>
        <v>279.25560000000013</v>
      </c>
      <c r="AK98" s="14">
        <f t="shared" si="89"/>
        <v>66.809671397146161</v>
      </c>
      <c r="AL98" s="22">
        <f t="shared" si="58"/>
        <v>602.73034768336299</v>
      </c>
      <c r="AM98" s="62">
        <f t="shared" si="59"/>
        <v>896.06368101669636</v>
      </c>
      <c r="AN98" s="62">
        <f ca="1">AVERAGE(OFFSET($AM$3,0,0,'Données projet'!$E$10+1,1))-AVERAGE(OFFSET($H$3,0,0,'Données projet'!$E$10+1,1))</f>
        <v>495.77338291316386</v>
      </c>
      <c r="AO98" s="62">
        <f t="shared" si="90"/>
        <v>261.95434270986397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1.1380052455933766E-13</v>
      </c>
      <c r="BF98" s="14">
        <f t="shared" si="91"/>
        <v>1.6840738663456724E-12</v>
      </c>
      <c r="BG98" s="22">
        <f t="shared" si="61"/>
        <v>3.1312978974928925E-12</v>
      </c>
      <c r="BH98" s="62">
        <f t="shared" si="62"/>
        <v>293.33333333333644</v>
      </c>
      <c r="BI98" s="62">
        <f ca="1">AVERAGE(OFFSET($BH$3,0,0,'Données projet'!$E$11+1,1))-AVERAGE(OFFSET($H$3,0,0,'Données projet'!$E$11+1,1))</f>
        <v>320.67081032419122</v>
      </c>
      <c r="BJ98" s="62">
        <f t="shared" si="92"/>
        <v>290.51177680335746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0.39751738711076806</v>
      </c>
      <c r="BR98" s="23">
        <f>EXP(-LN(2)/2)*BR97+(1-EXP(-LN(2)/2))/(LN(2)/2)*BL98*BO98*VLOOKUP('Données projet'!$B$11,Paramètres!$A$1:$I$89,3,0)*0.475*44/12</f>
        <v>1.7734128349025009E-9</v>
      </c>
      <c r="BS98" s="24">
        <f t="shared" si="63"/>
        <v>0.39751738888418092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5.9</v>
      </c>
      <c r="BY98" s="13">
        <f>IF('Données projet'!$A$114&gt;35,BY97+BX98-CG97,IF(A98&lt;'Données projet'!$A$114,$BV$205^A98,IF(A98='Données projet'!$A$114,'Données projet'!$B$114,BY97+BX98-CG97)))</f>
        <v>331.50000000000011</v>
      </c>
      <c r="BZ98" s="14">
        <f>BY98*VLOOKUP('Données projet'!$B$12,Paramètres!$A$1:$I$89,3,0)*VLOOKUP('Données projet'!$B$12,Paramètres!$A$1:$I$89,5,0)</f>
        <v>336.14100000000013</v>
      </c>
      <c r="CA98" s="14">
        <f t="shared" si="93"/>
        <v>78.70212368278645</v>
      </c>
      <c r="CB98" s="22">
        <f t="shared" si="64"/>
        <v>722.51844041418656</v>
      </c>
      <c r="CC98" s="62">
        <f t="shared" si="65"/>
        <v>1015.8517737475199</v>
      </c>
      <c r="CD98" s="62">
        <f ca="1">AVERAGE(OFFSET($CC$3,0,0,'Données projet'!$E$12+1,1))-AVERAGE(OFFSET($H$3,0,0,'Données projet'!$E$12+1,1))</f>
        <v>587.74247372331615</v>
      </c>
      <c r="CE98" s="62">
        <f t="shared" si="94"/>
        <v>306.61893266146666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267.94871794871796</v>
      </c>
      <c r="CR98" s="13">
        <f>VLOOKUP(A98,'Données projet'!$A$139:$I$159,9,0)</f>
        <v>3.8461538461538511</v>
      </c>
      <c r="CS98" s="13">
        <f t="array" ref="CS98">INDEX(CR:CR,MIN(IF(ISNUMBER(CR98:CR294),ROW(CR98:CR294),"")))</f>
        <v>3.8461538461538511</v>
      </c>
      <c r="CT98" s="13">
        <f>IF('Données projet'!$A$140&gt;35,CT97+CS98-DB97,IF(A98&lt;'Données projet'!$A$140,$CQ$205^A98,IF(A98='Données projet'!$A$140,'Données projet'!$B$140,CT97+CS98-DB97)))</f>
        <v>267.94871794871796</v>
      </c>
      <c r="CU98" s="18">
        <f>CT98*VLOOKUP('Données projet'!$B$13,Paramètres!$A$1:$I$89,3,0)*VLOOKUP('Données projet'!$B$13,Paramètres!$A$1:$I$89,5,0)</f>
        <v>254.98000000000002</v>
      </c>
      <c r="CV98" s="14">
        <f t="shared" si="95"/>
        <v>61.651105654144821</v>
      </c>
      <c r="CW98" s="22">
        <f t="shared" si="67"/>
        <v>551.46584234763566</v>
      </c>
      <c r="CX98" s="62">
        <f t="shared" si="68"/>
        <v>844.79917568096903</v>
      </c>
      <c r="CY98" s="62">
        <f ca="1">AVERAGE(OFFSET($CX$3,0,0,'Données projet'!$E$13+1,1))-AVERAGE(OFFSET($H$3,0,0,'Données projet'!$E$13+1,1))</f>
        <v>406.24139966722936</v>
      </c>
      <c r="CZ98" s="62">
        <f t="shared" si="96"/>
        <v>295.95724296920577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27.564102564102562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6.7984728957526396E-14</v>
      </c>
      <c r="DQ98" s="14">
        <f t="shared" si="97"/>
        <v>1.0682447123141398E-12</v>
      </c>
      <c r="DR98" s="22">
        <f t="shared" si="70"/>
        <v>1.978932943548152E-12</v>
      </c>
      <c r="DS98" s="62">
        <f t="shared" si="71"/>
        <v>293.3333333333353</v>
      </c>
      <c r="DT98" s="62">
        <f ca="1">AVERAGE(OFFSET($DS$3,0,0,'Données projet'!$E$14+1,1))-AVERAGE(OFFSET($H$3,0,0,'Données projet'!$E$14+1,1))</f>
        <v>356.42779334565381</v>
      </c>
      <c r="DU98" s="62">
        <f t="shared" si="98"/>
        <v>320.06572891923685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0.65531995815208055</v>
      </c>
      <c r="EC98" s="23">
        <f>EXP(-LN(2)/2)*EC97+(1-EXP(-LN(2)/2))/(LN(2)/2)*DW98*DZ98*VLOOKUP('Données projet'!$B$14,Paramètres!$A$1:$I$89,3,0)*0.475*44/12</f>
        <v>2.7956174173191519E-9</v>
      </c>
      <c r="ED98" s="24">
        <f t="shared" si="72"/>
        <v>0.65531996094769795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-5.6843418860808015E-14</v>
      </c>
      <c r="FF98" s="18">
        <f>FE98*VLOOKUP('Données projet'!$B$16,Paramètres!$A$1:$I$89,3,0)*VLOOKUP('Données projet'!$B$16,Paramètres!$A$1:$I$89,5,0)</f>
        <v>-4.5224624045658861E-14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370.59298168107364</v>
      </c>
      <c r="FK98" s="62">
        <f t="shared" si="102"/>
        <v>404.61777090709171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5.9</v>
      </c>
      <c r="FZ98" s="13">
        <f>IF('Données projet'!$A$244&gt;35,FZ97+FY98-GH97,IF(A98&lt;'Données projet'!$A$244,$FW$205^A98,IF(A98='Données projet'!$A$244,'Données projet'!$B$244,FZ97+FY98-GH97)))</f>
        <v>331.50000000000011</v>
      </c>
      <c r="GA98" s="18">
        <f>FZ98*VLOOKUP('Données projet'!$B$17,Paramètres!$A$1:$I$89,3,0)*VLOOKUP('Données projet'!$B$17,Paramètres!$A$1:$I$89,5,0)</f>
        <v>320.62680000000012</v>
      </c>
      <c r="GB98" s="14">
        <f t="shared" si="103"/>
        <v>75.483756735990909</v>
      </c>
      <c r="GC98" s="22">
        <f t="shared" si="79"/>
        <v>689.89255298185105</v>
      </c>
      <c r="GD98" s="62">
        <f t="shared" si="80"/>
        <v>983.22588631518443</v>
      </c>
      <c r="GE98" s="62">
        <f ca="1">AVERAGE(OFFSET($GD$3,0,0,'Données projet'!$E$17+1,1))-AVERAGE(OFFSET($H$3,0,0,'Données projet'!$E$17+1,1))</f>
        <v>562.69380557620775</v>
      </c>
      <c r="GF98" s="62">
        <f t="shared" si="104"/>
        <v>294.45557293177131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335.25641025641022</v>
      </c>
      <c r="GS98" s="13">
        <f>VLOOKUP(A98,'Données projet'!$A$269:$I$289,9,0)</f>
        <v>4.102564102564088</v>
      </c>
      <c r="GT98" s="13">
        <f t="array" ref="GT98">INDEX(GS:GS,MIN(IF(ISNUMBER(GS98:GS294),ROW(GS98:GS294),"")))</f>
        <v>4.102564102564088</v>
      </c>
      <c r="GU98" s="13">
        <f>IF('Données projet'!$A$270&gt;35,GU97+GT98-HC97,IF(A98&lt;'Données projet'!$A$270,$GR$205^A98,IF(A98='Données projet'!$A$270,'Données projet'!$B$270,GU97+GT98-HC97)))</f>
        <v>335.25641025641028</v>
      </c>
      <c r="GV98" s="18">
        <f>GU98*VLOOKUP('Données projet'!$B$18,Paramètres!$A$1:$I$89,3,0)*VLOOKUP('Données projet'!$B$18,Paramètres!$A$1:$I$89,5,0)</f>
        <v>224.89000000000001</v>
      </c>
      <c r="GW98" s="14">
        <f t="shared" si="105"/>
        <v>55.17633941105067</v>
      </c>
      <c r="GX98" s="22">
        <f t="shared" si="82"/>
        <v>487.78220780757994</v>
      </c>
      <c r="GY98" s="62">
        <f t="shared" si="83"/>
        <v>781.11554114091325</v>
      </c>
      <c r="GZ98" s="62">
        <f ca="1">AVERAGE(OFFSET($GY$3,0,0,'Données projet'!$E$18+1,1))-AVERAGE(OFFSET($H$3,0,0,'Données projet'!$E$18+1,1))</f>
        <v>363.53487081291541</v>
      </c>
      <c r="HA98" s="62">
        <f t="shared" si="106"/>
        <v>308.1559670593121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529.25712986118265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337.40000000000009</v>
      </c>
      <c r="AJ99" s="14">
        <f>AI99*VLOOKUP('Données projet'!$B$10,Paramètres!$A$1:$I$89,3,0)*VLOOKUP('Données projet'!$B$10,Paramètres!$A$1:$I$89,5,0)</f>
        <v>284.22576000000009</v>
      </c>
      <c r="AK99" s="14">
        <f t="shared" si="89"/>
        <v>67.859253423756542</v>
      </c>
      <c r="AL99" s="22">
        <f t="shared" si="58"/>
        <v>613.21473171304285</v>
      </c>
      <c r="AM99" s="62">
        <f t="shared" si="59"/>
        <v>906.54806504637622</v>
      </c>
      <c r="AN99" s="62">
        <f ca="1">AVERAGE(OFFSET($AM$3,0,0,'Données projet'!$E$10+1,1))-AVERAGE(OFFSET($H$3,0,0,'Données projet'!$E$10+1,1))</f>
        <v>495.77338291316386</v>
      </c>
      <c r="AO99" s="62">
        <f t="shared" si="90"/>
        <v>261.95434270986397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1.1380052455933766E-13</v>
      </c>
      <c r="BF99" s="14">
        <f t="shared" si="91"/>
        <v>1.6840738663456724E-12</v>
      </c>
      <c r="BG99" s="22">
        <f t="shared" si="61"/>
        <v>3.1312978974928925E-12</v>
      </c>
      <c r="BH99" s="62">
        <f t="shared" si="62"/>
        <v>293.33333333333644</v>
      </c>
      <c r="BI99" s="62">
        <f ca="1">AVERAGE(OFFSET($BH$3,0,0,'Données projet'!$E$11+1,1))-AVERAGE(OFFSET($H$3,0,0,'Données projet'!$E$11+1,1))</f>
        <v>320.67081032419122</v>
      </c>
      <c r="BJ99" s="62">
        <f t="shared" si="92"/>
        <v>290.51177680335746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0.38664725325569327</v>
      </c>
      <c r="BR99" s="23">
        <f>EXP(-LN(2)/2)*BR98+(1-EXP(-LN(2)/2))/(LN(2)/2)*BL99*BO99*VLOOKUP('Données projet'!$B$11,Paramètres!$A$1:$I$89,3,0)*0.475*44/12</f>
        <v>1.2539922414028176E-9</v>
      </c>
      <c r="BS99" s="24">
        <f t="shared" si="63"/>
        <v>0.38664725450968551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5.9</v>
      </c>
      <c r="BY99" s="13">
        <f>IF('Données projet'!$A$114&gt;35,BY98+BX99-CG98,IF(A99&lt;'Données projet'!$A$114,$BV$205^A99,IF(A99='Données projet'!$A$114,'Données projet'!$B$114,BY98+BX99-CG98)))</f>
        <v>337.40000000000009</v>
      </c>
      <c r="BZ99" s="14">
        <f>BY99*VLOOKUP('Données projet'!$B$12,Paramètres!$A$1:$I$89,3,0)*VLOOKUP('Données projet'!$B$12,Paramètres!$A$1:$I$89,5,0)</f>
        <v>342.12360000000012</v>
      </c>
      <c r="CA99" s="14">
        <f t="shared" si="93"/>
        <v>79.938536506649669</v>
      </c>
      <c r="CB99" s="22">
        <f t="shared" si="64"/>
        <v>735.09155441574831</v>
      </c>
      <c r="CC99" s="62">
        <f t="shared" si="65"/>
        <v>1028.4248877490816</v>
      </c>
      <c r="CD99" s="62">
        <f ca="1">AVERAGE(OFFSET($CC$3,0,0,'Données projet'!$E$12+1,1))-AVERAGE(OFFSET($H$3,0,0,'Données projet'!$E$12+1,1))</f>
        <v>587.74247372331615</v>
      </c>
      <c r="CE99" s="62">
        <f t="shared" si="94"/>
        <v>306.61893266146666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3.5897435897435854</v>
      </c>
      <c r="CT99" s="13">
        <f>IF('Données projet'!$A$140&gt;35,CT98+CS99-DB98,IF(A99&lt;'Données projet'!$A$140,$CQ$205^A99,IF(A99='Données projet'!$A$140,'Données projet'!$B$140,CT98+CS99-DB98)))</f>
        <v>243.97435897435898</v>
      </c>
      <c r="CU99" s="18">
        <f>CT99*VLOOKUP('Données projet'!$B$13,Paramètres!$A$1:$I$89,3,0)*VLOOKUP('Données projet'!$B$13,Paramètres!$A$1:$I$89,5,0)</f>
        <v>232.166</v>
      </c>
      <c r="CV99" s="14">
        <f t="shared" si="95"/>
        <v>56.750765573960223</v>
      </c>
      <c r="CW99" s="22">
        <f t="shared" si="67"/>
        <v>503.19670004131399</v>
      </c>
      <c r="CX99" s="62">
        <f t="shared" si="68"/>
        <v>796.53003337464725</v>
      </c>
      <c r="CY99" s="62">
        <f ca="1">AVERAGE(OFFSET($CX$3,0,0,'Données projet'!$E$13+1,1))-AVERAGE(OFFSET($H$3,0,0,'Données projet'!$E$13+1,1))</f>
        <v>406.24139966722936</v>
      </c>
      <c r="CZ99" s="62">
        <f t="shared" si="96"/>
        <v>295.95724296920577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6.7984728957526396E-14</v>
      </c>
      <c r="DQ99" s="14">
        <f t="shared" si="97"/>
        <v>1.0682447123141398E-12</v>
      </c>
      <c r="DR99" s="22">
        <f t="shared" si="70"/>
        <v>1.978932943548152E-12</v>
      </c>
      <c r="DS99" s="62">
        <f t="shared" si="71"/>
        <v>293.3333333333353</v>
      </c>
      <c r="DT99" s="62">
        <f ca="1">AVERAGE(OFFSET($DS$3,0,0,'Données projet'!$E$14+1,1))-AVERAGE(OFFSET($H$3,0,0,'Données projet'!$E$14+1,1))</f>
        <v>356.42779334565381</v>
      </c>
      <c r="DU99" s="62">
        <f t="shared" si="98"/>
        <v>320.06572891923685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0.63740019943463311</v>
      </c>
      <c r="EC99" s="23">
        <f>EXP(-LN(2)/2)*EC98+(1-EXP(-LN(2)/2))/(LN(2)/2)*DW99*DZ99*VLOOKUP('Données projet'!$B$14,Paramètres!$A$1:$I$89,3,0)*0.475*44/12</f>
        <v>1.9768000333895946E-9</v>
      </c>
      <c r="ED99" s="24">
        <f t="shared" si="72"/>
        <v>0.63740020141143316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-5.6843418860808015E-14</v>
      </c>
      <c r="FF99" s="18">
        <f>FE99*VLOOKUP('Données projet'!$B$16,Paramètres!$A$1:$I$89,3,0)*VLOOKUP('Données projet'!$B$16,Paramètres!$A$1:$I$89,5,0)</f>
        <v>-4.5224624045658861E-14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370.59298168107364</v>
      </c>
      <c r="FK99" s="62">
        <f t="shared" si="102"/>
        <v>404.61777090709171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5.9</v>
      </c>
      <c r="FZ99" s="13">
        <f>IF('Données projet'!$A$244&gt;35,FZ98+FY99-GH98,IF(A99&lt;'Données projet'!$A$244,$FW$205^A99,IF(A99='Données projet'!$A$244,'Données projet'!$B$244,FZ98+FY99-GH98)))</f>
        <v>337.40000000000009</v>
      </c>
      <c r="GA99" s="18">
        <f>FZ99*VLOOKUP('Données projet'!$B$17,Paramètres!$A$1:$I$89,3,0)*VLOOKUP('Données projet'!$B$17,Paramètres!$A$1:$I$89,5,0)</f>
        <v>326.33328000000006</v>
      </c>
      <c r="GB99" s="14">
        <f t="shared" si="103"/>
        <v>76.669608914490098</v>
      </c>
      <c r="GC99" s="22">
        <f t="shared" si="79"/>
        <v>701.89669819273695</v>
      </c>
      <c r="GD99" s="62">
        <f t="shared" si="80"/>
        <v>995.23003152607021</v>
      </c>
      <c r="GE99" s="62">
        <f ca="1">AVERAGE(OFFSET($GD$3,0,0,'Données projet'!$E$17+1,1))-AVERAGE(OFFSET($H$3,0,0,'Données projet'!$E$17+1,1))</f>
        <v>562.69380557620775</v>
      </c>
      <c r="GF99" s="62">
        <f t="shared" si="104"/>
        <v>294.45557293177131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3.9743589743589838</v>
      </c>
      <c r="GU99" s="13">
        <f>IF('Données projet'!$A$270&gt;35,GU98+GT99-HC98,IF(A99&lt;'Données projet'!$A$270,$GR$205^A99,IF(A99='Données projet'!$A$270,'Données projet'!$B$270,GU98+GT99-HC98)))</f>
        <v>339.23076923076928</v>
      </c>
      <c r="GV99" s="18">
        <f>GU99*VLOOKUP('Données projet'!$B$18,Paramètres!$A$1:$I$89,3,0)*VLOOKUP('Données projet'!$B$18,Paramètres!$A$1:$I$89,5,0)</f>
        <v>227.55600000000004</v>
      </c>
      <c r="GW99" s="14">
        <f t="shared" si="105"/>
        <v>55.753903477108544</v>
      </c>
      <c r="GX99" s="22">
        <f t="shared" si="82"/>
        <v>493.43141522263085</v>
      </c>
      <c r="GY99" s="62">
        <f t="shared" si="83"/>
        <v>786.76474855596416</v>
      </c>
      <c r="GZ99" s="62">
        <f ca="1">AVERAGE(OFFSET($GY$3,0,0,'Données projet'!$E$18+1,1))-AVERAGE(OFFSET($H$3,0,0,'Données projet'!$E$18+1,1))</f>
        <v>363.53487081291541</v>
      </c>
      <c r="HA99" s="62">
        <f t="shared" si="106"/>
        <v>308.1559670593121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962.16065102468065</v>
      </c>
      <c r="S100" s="62">
        <f ca="1">AVERAGE(OFFSET($R$3,0,0,'Données projet'!$E$9+1,1))-AVERAGE(OFFSET($H$3,0,0,'Données projet'!$E$9+1,1))</f>
        <v>529.25712986118265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343.30000000000007</v>
      </c>
      <c r="AJ100" s="14">
        <f>AI100*VLOOKUP('Données projet'!$B$10,Paramètres!$A$1:$I$89,3,0)*VLOOKUP('Données projet'!$B$10,Paramètres!$A$1:$I$89,5,0)</f>
        <v>289.19592000000011</v>
      </c>
      <c r="AK100" s="14">
        <f t="shared" si="89"/>
        <v>68.906701138977212</v>
      </c>
      <c r="AL100" s="22">
        <f t="shared" si="58"/>
        <v>623.6953984837188</v>
      </c>
      <c r="AM100" s="62">
        <f t="shared" si="59"/>
        <v>917.02873181705218</v>
      </c>
      <c r="AN100" s="62">
        <f ca="1">AVERAGE(OFFSET($AM$3,0,0,'Données projet'!$E$10+1,1))-AVERAGE(OFFSET($H$3,0,0,'Données projet'!$E$10+1,1))</f>
        <v>495.77338291316386</v>
      </c>
      <c r="AO100" s="62">
        <f t="shared" si="90"/>
        <v>261.95434270986397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1.1380052455933766E-13</v>
      </c>
      <c r="BF100" s="14">
        <f t="shared" si="91"/>
        <v>1.6840738663456724E-12</v>
      </c>
      <c r="BG100" s="22">
        <f t="shared" si="61"/>
        <v>3.1312978974928925E-12</v>
      </c>
      <c r="BH100" s="62">
        <f t="shared" si="62"/>
        <v>293.33333333333644</v>
      </c>
      <c r="BI100" s="62">
        <f ca="1">AVERAGE(OFFSET($BH$3,0,0,'Données projet'!$E$11+1,1))-AVERAGE(OFFSET($H$3,0,0,'Données projet'!$E$11+1,1))</f>
        <v>320.67081032419122</v>
      </c>
      <c r="BJ100" s="62">
        <f t="shared" si="92"/>
        <v>290.51177680335746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0.37607436378252096</v>
      </c>
      <c r="BR100" s="23">
        <f>EXP(-LN(2)/2)*BR99+(1-EXP(-LN(2)/2))/(LN(2)/2)*BL100*BO100*VLOOKUP('Données projet'!$B$11,Paramètres!$A$1:$I$89,3,0)*0.475*44/12</f>
        <v>8.8670641745125047E-10</v>
      </c>
      <c r="BS100" s="24">
        <f t="shared" si="63"/>
        <v>0.37607436466922739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5.9</v>
      </c>
      <c r="BY100" s="13">
        <f>IF('Données projet'!$A$114&gt;35,BY99+BX100-CG99,IF(A100&lt;'Données projet'!$A$114,$BV$205^A100,IF(A100='Données projet'!$A$114,'Données projet'!$B$114,BY99+BX100-CG99)))</f>
        <v>343.30000000000007</v>
      </c>
      <c r="BZ100" s="14">
        <f>BY100*VLOOKUP('Données projet'!$B$12,Paramètres!$A$1:$I$89,3,0)*VLOOKUP('Données projet'!$B$12,Paramètres!$A$1:$I$89,5,0)</f>
        <v>348.10620000000006</v>
      </c>
      <c r="CA100" s="14">
        <f t="shared" si="93"/>
        <v>81.172435101128784</v>
      </c>
      <c r="CB100" s="22">
        <f t="shared" si="64"/>
        <v>747.66028946779932</v>
      </c>
      <c r="CC100" s="62">
        <f t="shared" si="65"/>
        <v>1040.9936228011327</v>
      </c>
      <c r="CD100" s="62">
        <f ca="1">AVERAGE(OFFSET($CC$3,0,0,'Données projet'!$E$12+1,1))-AVERAGE(OFFSET($H$3,0,0,'Données projet'!$E$12+1,1))</f>
        <v>587.74247372331615</v>
      </c>
      <c r="CE100" s="62">
        <f t="shared" si="94"/>
        <v>306.61893266146666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3.5897435897435854</v>
      </c>
      <c r="CT100" s="13">
        <f>IF('Données projet'!$A$140&gt;35,CT99+CS100-DB99,IF(A100&lt;'Données projet'!$A$140,$CQ$205^A100,IF(A100='Données projet'!$A$140,'Données projet'!$B$140,CT99+CS100-DB99)))</f>
        <v>247.56410256410257</v>
      </c>
      <c r="CU100" s="18">
        <f>CT100*VLOOKUP('Données projet'!$B$13,Paramètres!$A$1:$I$89,3,0)*VLOOKUP('Données projet'!$B$13,Paramètres!$A$1:$I$89,5,0)</f>
        <v>235.58199999999999</v>
      </c>
      <c r="CV100" s="14">
        <f t="shared" si="95"/>
        <v>57.487950824806624</v>
      </c>
      <c r="CW100" s="22">
        <f t="shared" si="67"/>
        <v>510.4301643532047</v>
      </c>
      <c r="CX100" s="62">
        <f t="shared" si="68"/>
        <v>803.76349768653802</v>
      </c>
      <c r="CY100" s="62">
        <f ca="1">AVERAGE(OFFSET($CX$3,0,0,'Données projet'!$E$13+1,1))-AVERAGE(OFFSET($H$3,0,0,'Données projet'!$E$13+1,1))</f>
        <v>406.24139966722936</v>
      </c>
      <c r="CZ100" s="62">
        <f t="shared" si="96"/>
        <v>295.95724296920577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6.7984728957526396E-14</v>
      </c>
      <c r="DQ100" s="14">
        <f t="shared" si="97"/>
        <v>1.0682447123141398E-12</v>
      </c>
      <c r="DR100" s="22">
        <f t="shared" si="70"/>
        <v>1.978932943548152E-12</v>
      </c>
      <c r="DS100" s="62">
        <f t="shared" si="71"/>
        <v>293.3333333333353</v>
      </c>
      <c r="DT100" s="62">
        <f ca="1">AVERAGE(OFFSET($DS$3,0,0,'Données projet'!$E$14+1,1))-AVERAGE(OFFSET($H$3,0,0,'Données projet'!$E$14+1,1))</f>
        <v>356.42779334565381</v>
      </c>
      <c r="DU100" s="62">
        <f t="shared" si="98"/>
        <v>320.06572891923685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0.61997045746167334</v>
      </c>
      <c r="EC100" s="23">
        <f>EXP(-LN(2)/2)*EC99+(1-EXP(-LN(2)/2))/(LN(2)/2)*DW100*DZ100*VLOOKUP('Données projet'!$B$14,Paramètres!$A$1:$I$89,3,0)*0.475*44/12</f>
        <v>1.3978087086595759E-9</v>
      </c>
      <c r="ED100" s="24">
        <f t="shared" si="72"/>
        <v>0.6199704588594821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-5.6843418860808015E-14</v>
      </c>
      <c r="FF100" s="18">
        <f>FE100*VLOOKUP('Données projet'!$B$16,Paramètres!$A$1:$I$89,3,0)*VLOOKUP('Données projet'!$B$16,Paramètres!$A$1:$I$89,5,0)</f>
        <v>-4.5224624045658861E-14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370.59298168107364</v>
      </c>
      <c r="FK100" s="62">
        <f t="shared" si="102"/>
        <v>404.61777090709171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5.9</v>
      </c>
      <c r="FZ100" s="13">
        <f>IF('Données projet'!$A$244&gt;35,FZ99+FY100-GH99,IF(A100&lt;'Données projet'!$A$244,$FW$205^A100,IF(A100='Données projet'!$A$244,'Données projet'!$B$244,FZ99+FY100-GH99)))</f>
        <v>343.30000000000007</v>
      </c>
      <c r="GA100" s="18">
        <f>FZ100*VLOOKUP('Données projet'!$B$17,Paramètres!$A$1:$I$89,3,0)*VLOOKUP('Données projet'!$B$17,Paramètres!$A$1:$I$89,5,0)</f>
        <v>332.03976000000006</v>
      </c>
      <c r="GB100" s="14">
        <f t="shared" si="103"/>
        <v>77.853049678019573</v>
      </c>
      <c r="GC100" s="22">
        <f t="shared" si="79"/>
        <v>713.89664352255079</v>
      </c>
      <c r="GD100" s="62">
        <f t="shared" si="80"/>
        <v>1007.2299768558842</v>
      </c>
      <c r="GE100" s="62">
        <f ca="1">AVERAGE(OFFSET($GD$3,0,0,'Données projet'!$E$17+1,1))-AVERAGE(OFFSET($H$3,0,0,'Données projet'!$E$17+1,1))</f>
        <v>562.69380557620775</v>
      </c>
      <c r="GF100" s="62">
        <f t="shared" si="104"/>
        <v>294.45557293177131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3.9743589743589838</v>
      </c>
      <c r="GU100" s="13">
        <f>IF('Données projet'!$A$270&gt;35,GU99+GT100-HC99,IF(A100&lt;'Données projet'!$A$270,$GR$205^A100,IF(A100='Données projet'!$A$270,'Données projet'!$B$270,GU99+GT100-HC99)))</f>
        <v>343.20512820512829</v>
      </c>
      <c r="GV100" s="18">
        <f>GU100*VLOOKUP('Données projet'!$B$18,Paramètres!$A$1:$I$89,3,0)*VLOOKUP('Données projet'!$B$18,Paramètres!$A$1:$I$89,5,0)</f>
        <v>230.22200000000004</v>
      </c>
      <c r="GW100" s="14">
        <f t="shared" si="105"/>
        <v>56.330680425949346</v>
      </c>
      <c r="GX100" s="22">
        <f t="shared" si="82"/>
        <v>499.07925174186192</v>
      </c>
      <c r="GY100" s="62">
        <f t="shared" si="83"/>
        <v>792.41258507519524</v>
      </c>
      <c r="GZ100" s="62">
        <f ca="1">AVERAGE(OFFSET($GY$3,0,0,'Données projet'!$E$18+1,1))-AVERAGE(OFFSET($H$3,0,0,'Données projet'!$E$18+1,1))</f>
        <v>363.53487081291541</v>
      </c>
      <c r="HA100" s="62">
        <f t="shared" si="106"/>
        <v>308.1559670593121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973.39754917677442</v>
      </c>
      <c r="S101" s="62">
        <f ca="1">AVERAGE(OFFSET($R$3,0,0,'Données projet'!$E$9+1,1))-AVERAGE(OFFSET($H$3,0,0,'Données projet'!$E$9+1,1))</f>
        <v>529.25712986118265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349.20000000000005</v>
      </c>
      <c r="AJ101" s="14">
        <f>AI101*VLOOKUP('Données projet'!$B$10,Paramètres!$A$1:$I$89,3,0)*VLOOKUP('Données projet'!$B$10,Paramètres!$A$1:$I$89,5,0)</f>
        <v>294.16608000000008</v>
      </c>
      <c r="AK101" s="14">
        <f t="shared" si="89"/>
        <v>69.952055456115559</v>
      </c>
      <c r="AL101" s="22">
        <f t="shared" si="58"/>
        <v>634.1724192527347</v>
      </c>
      <c r="AM101" s="62">
        <f t="shared" si="59"/>
        <v>927.50575258606796</v>
      </c>
      <c r="AN101" s="62">
        <f ca="1">AVERAGE(OFFSET($AM$3,0,0,'Données projet'!$E$10+1,1))-AVERAGE(OFFSET($H$3,0,0,'Données projet'!$E$10+1,1))</f>
        <v>495.77338291316386</v>
      </c>
      <c r="AO101" s="62">
        <f t="shared" si="90"/>
        <v>261.95434270986397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1.1380052455933766E-13</v>
      </c>
      <c r="BF101" s="14">
        <f t="shared" si="91"/>
        <v>1.6840738663456724E-12</v>
      </c>
      <c r="BG101" s="22">
        <f t="shared" si="61"/>
        <v>3.1312978974928925E-12</v>
      </c>
      <c r="BH101" s="62">
        <f t="shared" si="62"/>
        <v>293.33333333333644</v>
      </c>
      <c r="BI101" s="62">
        <f ca="1">AVERAGE(OFFSET($BH$3,0,0,'Données projet'!$E$11+1,1))-AVERAGE(OFFSET($H$3,0,0,'Données projet'!$E$11+1,1))</f>
        <v>320.67081032419122</v>
      </c>
      <c r="BJ101" s="62">
        <f t="shared" si="92"/>
        <v>290.51177680335746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0.36579059052799667</v>
      </c>
      <c r="BR101" s="23">
        <f>EXP(-LN(2)/2)*BR100+(1-EXP(-LN(2)/2))/(LN(2)/2)*BL101*BO101*VLOOKUP('Données projet'!$B$11,Paramètres!$A$1:$I$89,3,0)*0.475*44/12</f>
        <v>6.2699612070140882E-10</v>
      </c>
      <c r="BS101" s="24">
        <f t="shared" si="63"/>
        <v>0.36579059115499279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5.9</v>
      </c>
      <c r="BY101" s="13">
        <f>IF('Données projet'!$A$114&gt;35,BY100+BX101-CG100,IF(A101&lt;'Données projet'!$A$114,$BV$205^A101,IF(A101='Données projet'!$A$114,'Données projet'!$B$114,BY100+BX101-CG100)))</f>
        <v>349.20000000000005</v>
      </c>
      <c r="BZ101" s="14">
        <f>BY101*VLOOKUP('Données projet'!$B$12,Paramètres!$A$1:$I$89,3,0)*VLOOKUP('Données projet'!$B$12,Paramètres!$A$1:$I$89,5,0)</f>
        <v>354.08880000000011</v>
      </c>
      <c r="CA101" s="14">
        <f t="shared" si="93"/>
        <v>82.403867662302417</v>
      </c>
      <c r="CB101" s="22">
        <f t="shared" si="64"/>
        <v>760.22472951184352</v>
      </c>
      <c r="CC101" s="62">
        <f t="shared" si="65"/>
        <v>1053.5580628451769</v>
      </c>
      <c r="CD101" s="62">
        <f ca="1">AVERAGE(OFFSET($CC$3,0,0,'Données projet'!$E$12+1,1))-AVERAGE(OFFSET($H$3,0,0,'Données projet'!$E$12+1,1))</f>
        <v>587.74247372331615</v>
      </c>
      <c r="CE101" s="62">
        <f t="shared" si="94"/>
        <v>306.61893266146666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3.5897435897435854</v>
      </c>
      <c r="CT101" s="13">
        <f>IF('Données projet'!$A$140&gt;35,CT100+CS101-DB100,IF(A101&lt;'Données projet'!$A$140,$CQ$205^A101,IF(A101='Données projet'!$A$140,'Données projet'!$B$140,CT100+CS101-DB100)))</f>
        <v>251.15384615384616</v>
      </c>
      <c r="CU101" s="18">
        <f>CT101*VLOOKUP('Données projet'!$B$13,Paramètres!$A$1:$I$89,3,0)*VLOOKUP('Données projet'!$B$13,Paramètres!$A$1:$I$89,5,0)</f>
        <v>238.99799999999999</v>
      </c>
      <c r="CV101" s="14">
        <f t="shared" si="95"/>
        <v>58.223892835547517</v>
      </c>
      <c r="CW101" s="22">
        <f t="shared" si="67"/>
        <v>517.66146335524525</v>
      </c>
      <c r="CX101" s="62">
        <f t="shared" si="68"/>
        <v>810.99479668857862</v>
      </c>
      <c r="CY101" s="62">
        <f ca="1">AVERAGE(OFFSET($CX$3,0,0,'Données projet'!$E$13+1,1))-AVERAGE(OFFSET($H$3,0,0,'Données projet'!$E$13+1,1))</f>
        <v>406.24139966722936</v>
      </c>
      <c r="CZ101" s="62">
        <f t="shared" si="96"/>
        <v>295.95724296920577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6.7984728957526396E-14</v>
      </c>
      <c r="DQ101" s="14">
        <f t="shared" si="97"/>
        <v>1.0682447123141398E-12</v>
      </c>
      <c r="DR101" s="22">
        <f t="shared" si="70"/>
        <v>1.978932943548152E-12</v>
      </c>
      <c r="DS101" s="62">
        <f t="shared" si="71"/>
        <v>293.3333333333353</v>
      </c>
      <c r="DT101" s="62">
        <f ca="1">AVERAGE(OFFSET($DS$3,0,0,'Données projet'!$E$14+1,1))-AVERAGE(OFFSET($H$3,0,0,'Données projet'!$E$14+1,1))</f>
        <v>356.42779334565381</v>
      </c>
      <c r="DU101" s="62">
        <f t="shared" si="98"/>
        <v>320.06572891923685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0.60301733269955449</v>
      </c>
      <c r="EC101" s="23">
        <f>EXP(-LN(2)/2)*EC100+(1-EXP(-LN(2)/2))/(LN(2)/2)*DW101*DZ101*VLOOKUP('Données projet'!$B$14,Paramètres!$A$1:$I$89,3,0)*0.475*44/12</f>
        <v>9.8840001669479731E-10</v>
      </c>
      <c r="ED101" s="24">
        <f t="shared" si="72"/>
        <v>0.60301733368795452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-5.6843418860808015E-14</v>
      </c>
      <c r="FF101" s="18">
        <f>FE101*VLOOKUP('Données projet'!$B$16,Paramètres!$A$1:$I$89,3,0)*VLOOKUP('Données projet'!$B$16,Paramètres!$A$1:$I$89,5,0)</f>
        <v>-4.5224624045658861E-14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370.59298168107364</v>
      </c>
      <c r="FK101" s="62">
        <f t="shared" si="102"/>
        <v>404.61777090709171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5.9</v>
      </c>
      <c r="FZ101" s="13">
        <f>IF('Données projet'!$A$244&gt;35,FZ100+FY101-GH100,IF(A101&lt;'Données projet'!$A$244,$FW$205^A101,IF(A101='Données projet'!$A$244,'Données projet'!$B$244,FZ100+FY101-GH100)))</f>
        <v>349.20000000000005</v>
      </c>
      <c r="GA101" s="18">
        <f>FZ101*VLOOKUP('Données projet'!$B$17,Paramètres!$A$1:$I$89,3,0)*VLOOKUP('Données projet'!$B$17,Paramètres!$A$1:$I$89,5,0)</f>
        <v>337.74624000000006</v>
      </c>
      <c r="GB101" s="14">
        <f t="shared" si="103"/>
        <v>79.034125251774896</v>
      </c>
      <c r="GC101" s="22">
        <f t="shared" si="79"/>
        <v>725.89246948017455</v>
      </c>
      <c r="GD101" s="62">
        <f t="shared" si="80"/>
        <v>1019.2258028135079</v>
      </c>
      <c r="GE101" s="62">
        <f ca="1">AVERAGE(OFFSET($GD$3,0,0,'Données projet'!$E$17+1,1))-AVERAGE(OFFSET($H$3,0,0,'Données projet'!$E$17+1,1))</f>
        <v>562.69380557620775</v>
      </c>
      <c r="GF101" s="62">
        <f t="shared" si="104"/>
        <v>294.45557293177131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3.9743589743589838</v>
      </c>
      <c r="GU101" s="13">
        <f>IF('Données projet'!$A$270&gt;35,GU100+GT101-HC100,IF(A101&lt;'Données projet'!$A$270,$GR$205^A101,IF(A101='Données projet'!$A$270,'Données projet'!$B$270,GU100+GT101-HC100)))</f>
        <v>347.1794871794873</v>
      </c>
      <c r="GV101" s="18">
        <f>GU101*VLOOKUP('Données projet'!$B$18,Paramètres!$A$1:$I$89,3,0)*VLOOKUP('Données projet'!$B$18,Paramètres!$A$1:$I$89,5,0)</f>
        <v>232.88800000000009</v>
      </c>
      <c r="GW101" s="14">
        <f t="shared" si="105"/>
        <v>56.906680427068601</v>
      </c>
      <c r="GX101" s="22">
        <f t="shared" si="82"/>
        <v>504.72573507714452</v>
      </c>
      <c r="GY101" s="62">
        <f t="shared" si="83"/>
        <v>798.05906841047783</v>
      </c>
      <c r="GZ101" s="62">
        <f ca="1">AVERAGE(OFFSET($GY$3,0,0,'Données projet'!$E$18+1,1))-AVERAGE(OFFSET($H$3,0,0,'Données projet'!$E$18+1,1))</f>
        <v>363.53487081291541</v>
      </c>
      <c r="HA101" s="62">
        <f t="shared" si="106"/>
        <v>308.1559670593121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984.63063688101352</v>
      </c>
      <c r="S102" s="62">
        <f ca="1">AVERAGE(OFFSET($R$3,0,0,'Données projet'!$E$9+1,1))-AVERAGE(OFFSET($H$3,0,0,'Données projet'!$E$9+1,1))</f>
        <v>529.25712986118265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355.1</v>
      </c>
      <c r="AJ102" s="14">
        <f>AI102*VLOOKUP('Données projet'!$B$10,Paramètres!$A$1:$I$89,3,0)*VLOOKUP('Données projet'!$B$10,Paramètres!$A$1:$I$89,5,0)</f>
        <v>299.13624000000004</v>
      </c>
      <c r="AK102" s="14">
        <f t="shared" si="89"/>
        <v>70.995355826722886</v>
      </c>
      <c r="AL102" s="22">
        <f t="shared" si="58"/>
        <v>644.64586273154237</v>
      </c>
      <c r="AM102" s="62">
        <f t="shared" si="59"/>
        <v>937.97919606487562</v>
      </c>
      <c r="AN102" s="62">
        <f ca="1">AVERAGE(OFFSET($AM$3,0,0,'Données projet'!$E$10+1,1))-AVERAGE(OFFSET($H$3,0,0,'Données projet'!$E$10+1,1))</f>
        <v>495.77338291316386</v>
      </c>
      <c r="AO102" s="62">
        <f t="shared" si="90"/>
        <v>261.95434270986397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1.1380052455933766E-13</v>
      </c>
      <c r="BF102" s="14">
        <f t="shared" si="91"/>
        <v>1.6840738663456724E-12</v>
      </c>
      <c r="BG102" s="22">
        <f t="shared" si="61"/>
        <v>3.1312978974928925E-12</v>
      </c>
      <c r="BH102" s="62">
        <f t="shared" si="62"/>
        <v>293.33333333333644</v>
      </c>
      <c r="BI102" s="62">
        <f ca="1">AVERAGE(OFFSET($BH$3,0,0,'Données projet'!$E$11+1,1))-AVERAGE(OFFSET($H$3,0,0,'Données projet'!$E$11+1,1))</f>
        <v>320.67081032419122</v>
      </c>
      <c r="BJ102" s="62">
        <f t="shared" si="92"/>
        <v>290.51177680335746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0.35578802759391748</v>
      </c>
      <c r="BR102" s="23">
        <f>EXP(-LN(2)/2)*BR101+(1-EXP(-LN(2)/2))/(LN(2)/2)*BL102*BO102*VLOOKUP('Données projet'!$B$11,Paramètres!$A$1:$I$89,3,0)*0.475*44/12</f>
        <v>4.4335320872562523E-10</v>
      </c>
      <c r="BS102" s="24">
        <f t="shared" si="63"/>
        <v>0.35578802803727066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5.9</v>
      </c>
      <c r="BY102" s="13">
        <f>IF('Données projet'!$A$114&gt;35,BY101+BX102-CG101,IF(A102&lt;'Données projet'!$A$114,$BV$205^A102,IF(A102='Données projet'!$A$114,'Données projet'!$B$114,BY101+BX102-CG101)))</f>
        <v>355.1</v>
      </c>
      <c r="BZ102" s="14">
        <f>BY102*VLOOKUP('Données projet'!$B$12,Paramètres!$A$1:$I$89,3,0)*VLOOKUP('Données projet'!$B$12,Paramètres!$A$1:$I$89,5,0)</f>
        <v>360.07140000000004</v>
      </c>
      <c r="CA102" s="14">
        <f t="shared" si="93"/>
        <v>83.632880664293282</v>
      </c>
      <c r="CB102" s="22">
        <f t="shared" si="64"/>
        <v>772.78495549031084</v>
      </c>
      <c r="CC102" s="62">
        <f t="shared" si="65"/>
        <v>1066.1182888236442</v>
      </c>
      <c r="CD102" s="62">
        <f ca="1">AVERAGE(OFFSET($CC$3,0,0,'Données projet'!$E$12+1,1))-AVERAGE(OFFSET($H$3,0,0,'Données projet'!$E$12+1,1))</f>
        <v>587.74247372331615</v>
      </c>
      <c r="CE102" s="62">
        <f t="shared" si="94"/>
        <v>306.61893266146666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3.5897435897435854</v>
      </c>
      <c r="CT102" s="13">
        <f>IF('Données projet'!$A$140&gt;35,CT101+CS102-DB101,IF(A102&lt;'Données projet'!$A$140,$CQ$205^A102,IF(A102='Données projet'!$A$140,'Données projet'!$B$140,CT101+CS102-DB101)))</f>
        <v>254.74358974358975</v>
      </c>
      <c r="CU102" s="18">
        <f>CT102*VLOOKUP('Données projet'!$B$13,Paramètres!$A$1:$I$89,3,0)*VLOOKUP('Données projet'!$B$13,Paramètres!$A$1:$I$89,5,0)</f>
        <v>242.41400000000002</v>
      </c>
      <c r="CV102" s="14">
        <f t="shared" si="95"/>
        <v>58.958611429073422</v>
      </c>
      <c r="CW102" s="22">
        <f t="shared" si="67"/>
        <v>524.89063157230294</v>
      </c>
      <c r="CX102" s="62">
        <f t="shared" si="68"/>
        <v>818.22396490563619</v>
      </c>
      <c r="CY102" s="62">
        <f ca="1">AVERAGE(OFFSET($CX$3,0,0,'Données projet'!$E$13+1,1))-AVERAGE(OFFSET($H$3,0,0,'Données projet'!$E$13+1,1))</f>
        <v>406.24139966722936</v>
      </c>
      <c r="CZ102" s="62">
        <f t="shared" si="96"/>
        <v>295.95724296920577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6.7984728957526396E-14</v>
      </c>
      <c r="DQ102" s="14">
        <f t="shared" si="97"/>
        <v>1.0682447123141398E-12</v>
      </c>
      <c r="DR102" s="22">
        <f t="shared" si="70"/>
        <v>1.978932943548152E-12</v>
      </c>
      <c r="DS102" s="62">
        <f t="shared" si="71"/>
        <v>293.3333333333353</v>
      </c>
      <c r="DT102" s="62">
        <f ca="1">AVERAGE(OFFSET($DS$3,0,0,'Données projet'!$E$14+1,1))-AVERAGE(OFFSET($H$3,0,0,'Données projet'!$E$14+1,1))</f>
        <v>356.42779334565381</v>
      </c>
      <c r="DU102" s="62">
        <f t="shared" si="98"/>
        <v>320.06572891923685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0.58652779202558181</v>
      </c>
      <c r="EC102" s="23">
        <f>EXP(-LN(2)/2)*EC101+(1-EXP(-LN(2)/2))/(LN(2)/2)*DW102*DZ102*VLOOKUP('Données projet'!$B$14,Paramètres!$A$1:$I$89,3,0)*0.475*44/12</f>
        <v>6.9890435432978797E-10</v>
      </c>
      <c r="ED102" s="24">
        <f t="shared" si="72"/>
        <v>0.58652779272448619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-5.6843418860808015E-14</v>
      </c>
      <c r="FF102" s="18">
        <f>FE102*VLOOKUP('Données projet'!$B$16,Paramètres!$A$1:$I$89,3,0)*VLOOKUP('Données projet'!$B$16,Paramètres!$A$1:$I$89,5,0)</f>
        <v>-4.5224624045658861E-14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370.59298168107364</v>
      </c>
      <c r="FK102" s="62">
        <f t="shared" si="102"/>
        <v>404.61777090709171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5.9</v>
      </c>
      <c r="FZ102" s="13">
        <f>IF('Données projet'!$A$244&gt;35,FZ101+FY102-GH101,IF(A102&lt;'Données projet'!$A$244,$FW$205^A102,IF(A102='Données projet'!$A$244,'Données projet'!$B$244,FZ101+FY102-GH101)))</f>
        <v>355.1</v>
      </c>
      <c r="GA102" s="18">
        <f>FZ102*VLOOKUP('Données projet'!$B$17,Paramètres!$A$1:$I$89,3,0)*VLOOKUP('Données projet'!$B$17,Paramètres!$A$1:$I$89,5,0)</f>
        <v>343.45272</v>
      </c>
      <c r="GB102" s="14">
        <f t="shared" si="103"/>
        <v>80.212880209411935</v>
      </c>
      <c r="GC102" s="22">
        <f t="shared" si="79"/>
        <v>737.88425369805907</v>
      </c>
      <c r="GD102" s="62">
        <f t="shared" si="80"/>
        <v>1031.2175870313924</v>
      </c>
      <c r="GE102" s="62">
        <f ca="1">AVERAGE(OFFSET($GD$3,0,0,'Données projet'!$E$17+1,1))-AVERAGE(OFFSET($H$3,0,0,'Données projet'!$E$17+1,1))</f>
        <v>562.69380557620775</v>
      </c>
      <c r="GF102" s="62">
        <f t="shared" si="104"/>
        <v>294.45557293177131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3.9743589743589838</v>
      </c>
      <c r="GU102" s="13">
        <f>IF('Données projet'!$A$270&gt;35,GU101+GT102-HC101,IF(A102&lt;'Données projet'!$A$270,$GR$205^A102,IF(A102='Données projet'!$A$270,'Données projet'!$B$270,GU101+GT102-HC101)))</f>
        <v>351.1538461538463</v>
      </c>
      <c r="GV102" s="18">
        <f>GU102*VLOOKUP('Données projet'!$B$18,Paramètres!$A$1:$I$89,3,0)*VLOOKUP('Données projet'!$B$18,Paramètres!$A$1:$I$89,5,0)</f>
        <v>235.55400000000009</v>
      </c>
      <c r="GW102" s="14">
        <f t="shared" si="105"/>
        <v>57.481913403727333</v>
      </c>
      <c r="GX102" s="22">
        <f t="shared" si="82"/>
        <v>510.37088251149186</v>
      </c>
      <c r="GY102" s="62">
        <f t="shared" si="83"/>
        <v>803.70421584482517</v>
      </c>
      <c r="GZ102" s="62">
        <f ca="1">AVERAGE(OFFSET($GY$3,0,0,'Données projet'!$E$18+1,1))-AVERAGE(OFFSET($H$3,0,0,'Données projet'!$E$18+1,1))</f>
        <v>363.53487081291541</v>
      </c>
      <c r="HA102" s="62">
        <f t="shared" si="106"/>
        <v>308.1559670593121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995.8599847557482</v>
      </c>
      <c r="S103" s="62">
        <f ca="1">AVERAGE(OFFSET($R$3,0,0,'Données projet'!$E$9+1,1))-AVERAGE(OFFSET($H$3,0,0,'Données projet'!$E$9+1,1))</f>
        <v>529.25712986118265</v>
      </c>
      <c r="T103" s="62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361</v>
      </c>
      <c r="AJ103" s="14">
        <f>AI103*VLOOKUP('Données projet'!$B$10,Paramètres!$A$1:$I$89,3,0)*VLOOKUP('Données projet'!$B$10,Paramètres!$A$1:$I$89,5,0)</f>
        <v>304.10640000000006</v>
      </c>
      <c r="AK103" s="14">
        <f t="shared" si="89"/>
        <v>72.036640316223298</v>
      </c>
      <c r="AL103" s="22">
        <f t="shared" si="58"/>
        <v>655.11579521742237</v>
      </c>
      <c r="AM103" s="62">
        <f t="shared" si="59"/>
        <v>948.44912855075563</v>
      </c>
      <c r="AN103" s="62">
        <f ca="1">AVERAGE(OFFSET($AM$3,0,0,'Données projet'!$E$10+1,1))-AVERAGE(OFFSET($H$3,0,0,'Données projet'!$E$10+1,1))</f>
        <v>495.77338291316386</v>
      </c>
      <c r="AO103" s="62">
        <f t="shared" si="90"/>
        <v>261.95434270986397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1.1380052455933766E-13</v>
      </c>
      <c r="BF103" s="14">
        <f t="shared" si="91"/>
        <v>1.6840738663456724E-12</v>
      </c>
      <c r="BG103" s="22">
        <f t="shared" si="61"/>
        <v>3.1312978974928925E-12</v>
      </c>
      <c r="BH103" s="62">
        <f t="shared" si="62"/>
        <v>293.33333333333644</v>
      </c>
      <c r="BI103" s="62">
        <f ca="1">AVERAGE(OFFSET($BH$3,0,0,'Données projet'!$E$11+1,1))-AVERAGE(OFFSET($H$3,0,0,'Données projet'!$E$11+1,1))</f>
        <v>320.67081032419122</v>
      </c>
      <c r="BJ103" s="62">
        <f t="shared" si="92"/>
        <v>290.51177680335746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0.34605898526928258</v>
      </c>
      <c r="BR103" s="23">
        <f>EXP(-LN(2)/2)*BR102+(1-EXP(-LN(2)/2))/(LN(2)/2)*BL103*BO103*VLOOKUP('Données projet'!$B$11,Paramètres!$A$1:$I$89,3,0)*0.475*44/12</f>
        <v>3.1349806035070441E-10</v>
      </c>
      <c r="BS103" s="24">
        <f t="shared" si="63"/>
        <v>0.34605898558278064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361</v>
      </c>
      <c r="BW103" s="13">
        <f>VLOOKUP(A103,'Données projet'!$A$113:$I$133,9,0)</f>
        <v>5.9</v>
      </c>
      <c r="BX103" s="13">
        <f t="array" ref="BX103">INDEX(BW:BW,MIN(IF(ISNUMBER(BW103:BW299),ROW(BW103:BW299),"")))</f>
        <v>5.9</v>
      </c>
      <c r="BY103" s="13">
        <f>IF('Données projet'!$A$114&gt;35,BY102+BX103-CG102,IF(A103&lt;'Données projet'!$A$114,$BV$205^A103,IF(A103='Données projet'!$A$114,'Données projet'!$B$114,BY102+BX103-CG102)))</f>
        <v>361</v>
      </c>
      <c r="BZ103" s="14">
        <f>BY103*VLOOKUP('Données projet'!$B$12,Paramètres!$A$1:$I$89,3,0)*VLOOKUP('Données projet'!$B$12,Paramètres!$A$1:$I$89,5,0)</f>
        <v>366.05400000000003</v>
      </c>
      <c r="CA103" s="14">
        <f t="shared" si="93"/>
        <v>84.859518948359735</v>
      </c>
      <c r="CB103" s="22">
        <f t="shared" si="64"/>
        <v>785.34104550172651</v>
      </c>
      <c r="CC103" s="62">
        <f t="shared" si="65"/>
        <v>1078.6743788350598</v>
      </c>
      <c r="CD103" s="62">
        <f ca="1">AVERAGE(OFFSET($CC$3,0,0,'Données projet'!$E$12+1,1))-AVERAGE(OFFSET($H$3,0,0,'Données projet'!$E$12+1,1))</f>
        <v>587.74247372331615</v>
      </c>
      <c r="CE103" s="62">
        <f t="shared" si="94"/>
        <v>306.61893266146666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258.33333333333331</v>
      </c>
      <c r="CR103" s="13">
        <f>VLOOKUP(A103,'Données projet'!$A$139:$I$159,9,0)</f>
        <v>3.5897435897435854</v>
      </c>
      <c r="CS103" s="13">
        <f t="array" ref="CS103">INDEX(CR:CR,MIN(IF(ISNUMBER(CR103:CR299),ROW(CR103:CR299),"")))</f>
        <v>3.5897435897435854</v>
      </c>
      <c r="CT103" s="13">
        <f>IF('Données projet'!$A$140&gt;35,CT102+CS103-DB102,IF(A103&lt;'Données projet'!$A$140,$CQ$205^A103,IF(A103='Données projet'!$A$140,'Données projet'!$B$140,CT102+CS103-DB102)))</f>
        <v>258.33333333333331</v>
      </c>
      <c r="CU103" s="18">
        <f>CT103*VLOOKUP('Données projet'!$B$13,Paramètres!$A$1:$I$89,3,0)*VLOOKUP('Données projet'!$B$13,Paramètres!$A$1:$I$89,5,0)</f>
        <v>245.82999999999998</v>
      </c>
      <c r="CV103" s="14">
        <f t="shared" si="95"/>
        <v>59.692125837514034</v>
      </c>
      <c r="CW103" s="22">
        <f t="shared" si="67"/>
        <v>532.11770250033692</v>
      </c>
      <c r="CX103" s="62">
        <f t="shared" si="68"/>
        <v>825.45103583367018</v>
      </c>
      <c r="CY103" s="62">
        <f ca="1">AVERAGE(OFFSET($CX$3,0,0,'Données projet'!$E$13+1,1))-AVERAGE(OFFSET($H$3,0,0,'Données projet'!$E$13+1,1))</f>
        <v>406.24139966722936</v>
      </c>
      <c r="CZ103" s="62">
        <f t="shared" si="96"/>
        <v>295.95724296920577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6.7984728957526396E-14</v>
      </c>
      <c r="DQ103" s="14">
        <f t="shared" si="97"/>
        <v>1.0682447123141398E-12</v>
      </c>
      <c r="DR103" s="22">
        <f t="shared" si="70"/>
        <v>1.978932943548152E-12</v>
      </c>
      <c r="DS103" s="62">
        <f t="shared" si="71"/>
        <v>293.3333333333353</v>
      </c>
      <c r="DT103" s="62">
        <f ca="1">AVERAGE(OFFSET($DS$3,0,0,'Données projet'!$E$14+1,1))-AVERAGE(OFFSET($H$3,0,0,'Données projet'!$E$14+1,1))</f>
        <v>356.42779334565381</v>
      </c>
      <c r="DU103" s="62">
        <f t="shared" si="98"/>
        <v>320.06572891923685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0.57048915870848627</v>
      </c>
      <c r="EC103" s="23">
        <f>EXP(-LN(2)/2)*EC102+(1-EXP(-LN(2)/2))/(LN(2)/2)*DW103*DZ103*VLOOKUP('Données projet'!$B$14,Paramètres!$A$1:$I$89,3,0)*0.475*44/12</f>
        <v>4.9420000834739866E-10</v>
      </c>
      <c r="ED103" s="24">
        <f t="shared" si="72"/>
        <v>0.57048915920268628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-5.6843418860808015E-14</v>
      </c>
      <c r="FF103" s="18">
        <f>FE103*VLOOKUP('Données projet'!$B$16,Paramètres!$A$1:$I$89,3,0)*VLOOKUP('Données projet'!$B$16,Paramètres!$A$1:$I$89,5,0)</f>
        <v>-4.5224624045658861E-14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370.59298168107364</v>
      </c>
      <c r="FK103" s="62">
        <f t="shared" si="102"/>
        <v>404.61777090709171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361</v>
      </c>
      <c r="FX103" s="13">
        <f>VLOOKUP(A103,'Données projet'!$A$243:$I$263,9,0)</f>
        <v>5.9</v>
      </c>
      <c r="FY103" s="13">
        <f t="array" ref="FY103">INDEX(FX:FX,MIN(IF(ISNUMBER(FX103:FX299),ROW(FX103:FX299),"")))</f>
        <v>5.9</v>
      </c>
      <c r="FZ103" s="13">
        <f>IF('Données projet'!$A$244&gt;35,FZ102+FY103-GH102,IF(A103&lt;'Données projet'!$A$244,$FW$205^A103,IF(A103='Données projet'!$A$244,'Données projet'!$B$244,FZ102+FY103-GH102)))</f>
        <v>361</v>
      </c>
      <c r="GA103" s="18">
        <f>FZ103*VLOOKUP('Données projet'!$B$17,Paramètres!$A$1:$I$89,3,0)*VLOOKUP('Données projet'!$B$17,Paramètres!$A$1:$I$89,5,0)</f>
        <v>349.1592</v>
      </c>
      <c r="GB103" s="14">
        <f t="shared" si="103"/>
        <v>81.389357558494837</v>
      </c>
      <c r="GC103" s="22">
        <f t="shared" si="79"/>
        <v>749.87207108104519</v>
      </c>
      <c r="GD103" s="62">
        <f t="shared" si="80"/>
        <v>1043.2054044143786</v>
      </c>
      <c r="GE103" s="62">
        <f ca="1">AVERAGE(OFFSET($GD$3,0,0,'Données projet'!$E$17+1,1))-AVERAGE(OFFSET($H$3,0,0,'Données projet'!$E$17+1,1))</f>
        <v>562.69380557620775</v>
      </c>
      <c r="GF103" s="62">
        <f t="shared" si="104"/>
        <v>294.45557293177131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355.12820512820514</v>
      </c>
      <c r="GS103" s="13">
        <f>VLOOKUP(A103,'Données projet'!$A$269:$I$289,9,0)</f>
        <v>3.9743589743589838</v>
      </c>
      <c r="GT103" s="13">
        <f t="array" ref="GT103">INDEX(GS:GS,MIN(IF(ISNUMBER(GS103:GS299),ROW(GS103:GS299),"")))</f>
        <v>3.9743589743589838</v>
      </c>
      <c r="GU103" s="13">
        <f>IF('Données projet'!$A$270&gt;35,GU102+GT103-HC102,IF(A103&lt;'Données projet'!$A$270,$GR$205^A103,IF(A103='Données projet'!$A$270,'Données projet'!$B$270,GU102+GT103-HC102)))</f>
        <v>355.12820512820531</v>
      </c>
      <c r="GV103" s="18">
        <f>GU103*VLOOKUP('Données projet'!$B$18,Paramètres!$A$1:$I$89,3,0)*VLOOKUP('Données projet'!$B$18,Paramètres!$A$1:$I$89,5,0)</f>
        <v>238.22000000000014</v>
      </c>
      <c r="GW103" s="14">
        <f t="shared" si="105"/>
        <v>58.05638904163186</v>
      </c>
      <c r="GX103" s="22">
        <f t="shared" si="82"/>
        <v>516.01471091417579</v>
      </c>
      <c r="GY103" s="62">
        <f t="shared" si="83"/>
        <v>809.34804424750905</v>
      </c>
      <c r="GZ103" s="62">
        <f ca="1">AVERAGE(OFFSET($GY$3,0,0,'Données projet'!$E$18+1,1))-AVERAGE(OFFSET($H$3,0,0,'Données projet'!$E$18+1,1))</f>
        <v>363.53487081291541</v>
      </c>
      <c r="HA103" s="62">
        <f t="shared" si="106"/>
        <v>308.1559670593121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25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1005.7539908757844</v>
      </c>
      <c r="S104" s="62">
        <f ca="1">AVERAGE(OFFSET($R$3,0,0,'Données projet'!$E$9+1,1))-AVERAGE(OFFSET($H$3,0,0,'Données projet'!$E$9+1,1))</f>
        <v>529.25712986118265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366.2</v>
      </c>
      <c r="AJ104" s="14">
        <f>AI104*VLOOKUP('Données projet'!$B$10,Paramètres!$A$1:$I$89,3,0)*VLOOKUP('Données projet'!$B$10,Paramètres!$A$1:$I$89,5,0)</f>
        <v>308.48688000000004</v>
      </c>
      <c r="AK104" s="14">
        <f t="shared" si="89"/>
        <v>72.952740560520297</v>
      </c>
      <c r="AL104" s="22">
        <f t="shared" si="58"/>
        <v>664.34067247623955</v>
      </c>
      <c r="AM104" s="62">
        <f t="shared" si="59"/>
        <v>957.67400580957292</v>
      </c>
      <c r="AN104" s="62">
        <f ca="1">AVERAGE(OFFSET($AM$3,0,0,'Données projet'!$E$10+1,1))-AVERAGE(OFFSET($H$3,0,0,'Données projet'!$E$10+1,1))</f>
        <v>495.77338291316386</v>
      </c>
      <c r="AO104" s="62">
        <f t="shared" si="90"/>
        <v>261.95434270986397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1.1380052455933766E-13</v>
      </c>
      <c r="BF104" s="14">
        <f t="shared" si="91"/>
        <v>1.6840738663456724E-12</v>
      </c>
      <c r="BG104" s="22">
        <f t="shared" si="61"/>
        <v>3.1312978974928925E-12</v>
      </c>
      <c r="BH104" s="62">
        <f t="shared" si="62"/>
        <v>293.33333333333644</v>
      </c>
      <c r="BI104" s="62">
        <f ca="1">AVERAGE(OFFSET($BH$3,0,0,'Données projet'!$E$11+1,1))-AVERAGE(OFFSET($H$3,0,0,'Données projet'!$E$11+1,1))</f>
        <v>320.67081032419122</v>
      </c>
      <c r="BJ104" s="62">
        <f t="shared" si="92"/>
        <v>290.51177680335746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0.33659598411864294</v>
      </c>
      <c r="BR104" s="23">
        <f>EXP(-LN(2)/2)*BR103+(1-EXP(-LN(2)/2))/(LN(2)/2)*BL104*BO104*VLOOKUP('Données projet'!$B$11,Paramètres!$A$1:$I$89,3,0)*0.475*44/12</f>
        <v>2.2167660436281262E-10</v>
      </c>
      <c r="BS104" s="24">
        <f t="shared" si="63"/>
        <v>0.33659598434031957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5.2</v>
      </c>
      <c r="BY104" s="13">
        <f>IF('Données projet'!$A$114&gt;35,BY103+BX104-CG103,IF(A104&lt;'Données projet'!$A$114,$BV$205^A104,IF(A104='Données projet'!$A$114,'Données projet'!$B$114,BY103+BX104-CG103)))</f>
        <v>366.2</v>
      </c>
      <c r="BZ104" s="14">
        <f>BY104*VLOOKUP('Données projet'!$B$12,Paramètres!$A$1:$I$89,3,0)*VLOOKUP('Données projet'!$B$12,Paramètres!$A$1:$I$89,5,0)</f>
        <v>371.32679999999999</v>
      </c>
      <c r="CA104" s="14">
        <f t="shared" si="93"/>
        <v>85.938689571784892</v>
      </c>
      <c r="CB104" s="22">
        <f t="shared" si="64"/>
        <v>796.40406100419193</v>
      </c>
      <c r="CC104" s="62">
        <f t="shared" si="65"/>
        <v>1089.7373943375253</v>
      </c>
      <c r="CD104" s="62">
        <f ca="1">AVERAGE(OFFSET($CC$3,0,0,'Données projet'!$E$12+1,1))-AVERAGE(OFFSET($H$3,0,0,'Données projet'!$E$12+1,1))</f>
        <v>587.74247372331615</v>
      </c>
      <c r="CE104" s="62">
        <f t="shared" si="94"/>
        <v>306.61893266146666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3.3974358974359005</v>
      </c>
      <c r="CT104" s="13">
        <f>IF('Données projet'!$A$140&gt;35,CT103+CS104-DB103,IF(A104&lt;'Données projet'!$A$140,$CQ$205^A104,IF(A104='Données projet'!$A$140,'Données projet'!$B$140,CT103+CS104-DB103)))</f>
        <v>261.73076923076923</v>
      </c>
      <c r="CU104" s="18">
        <f>CT104*VLOOKUP('Données projet'!$B$13,Paramètres!$A$1:$I$89,3,0)*VLOOKUP('Données projet'!$B$13,Paramètres!$A$1:$I$89,5,0)</f>
        <v>249.06300000000002</v>
      </c>
      <c r="CV104" s="14">
        <f t="shared" si="95"/>
        <v>60.385252576343511</v>
      </c>
      <c r="CW104" s="22">
        <f t="shared" si="67"/>
        <v>538.95570657046494</v>
      </c>
      <c r="CX104" s="62">
        <f t="shared" si="68"/>
        <v>832.28903990379831</v>
      </c>
      <c r="CY104" s="62">
        <f ca="1">AVERAGE(OFFSET($CX$3,0,0,'Données projet'!$E$13+1,1))-AVERAGE(OFFSET($H$3,0,0,'Données projet'!$E$13+1,1))</f>
        <v>406.24139966722936</v>
      </c>
      <c r="CZ104" s="62">
        <f t="shared" si="96"/>
        <v>295.95724296920577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6.7984728957526396E-14</v>
      </c>
      <c r="DQ104" s="14">
        <f t="shared" si="97"/>
        <v>1.0682447123141398E-12</v>
      </c>
      <c r="DR104" s="22">
        <f t="shared" si="70"/>
        <v>1.978932943548152E-12</v>
      </c>
      <c r="DS104" s="62">
        <f t="shared" si="71"/>
        <v>293.3333333333353</v>
      </c>
      <c r="DT104" s="62">
        <f ca="1">AVERAGE(OFFSET($DS$3,0,0,'Données projet'!$E$14+1,1))-AVERAGE(OFFSET($H$3,0,0,'Données projet'!$E$14+1,1))</f>
        <v>356.42779334565381</v>
      </c>
      <c r="DU104" s="62">
        <f t="shared" si="98"/>
        <v>320.06572891923685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0.55488910266288172</v>
      </c>
      <c r="EC104" s="23">
        <f>EXP(-LN(2)/2)*EC103+(1-EXP(-LN(2)/2))/(LN(2)/2)*DW104*DZ104*VLOOKUP('Données projet'!$B$14,Paramètres!$A$1:$I$89,3,0)*0.475*44/12</f>
        <v>3.4945217716489399E-10</v>
      </c>
      <c r="ED104" s="24">
        <f t="shared" si="72"/>
        <v>0.55488910301233385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-5.6843418860808015E-14</v>
      </c>
      <c r="FF104" s="18">
        <f>FE104*VLOOKUP('Données projet'!$B$16,Paramètres!$A$1:$I$89,3,0)*VLOOKUP('Données projet'!$B$16,Paramètres!$A$1:$I$89,5,0)</f>
        <v>-4.5224624045658861E-14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370.59298168107364</v>
      </c>
      <c r="FK104" s="62">
        <f t="shared" si="102"/>
        <v>404.61777090709171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5.2</v>
      </c>
      <c r="FZ104" s="13">
        <f>IF('Données projet'!$A$244&gt;35,FZ103+FY104-GH103,IF(A104&lt;'Données projet'!$A$244,$FW$205^A104,IF(A104='Données projet'!$A$244,'Données projet'!$B$244,FZ103+FY104-GH103)))</f>
        <v>366.2</v>
      </c>
      <c r="GA104" s="18">
        <f>FZ104*VLOOKUP('Données projet'!$B$17,Paramètres!$A$1:$I$89,3,0)*VLOOKUP('Données projet'!$B$17,Paramètres!$A$1:$I$89,5,0)</f>
        <v>354.18863999999996</v>
      </c>
      <c r="GB104" s="14">
        <f t="shared" si="103"/>
        <v>82.424397643862633</v>
      </c>
      <c r="GC104" s="22">
        <f t="shared" si="79"/>
        <v>760.43437389639394</v>
      </c>
      <c r="GD104" s="62">
        <f t="shared" si="80"/>
        <v>1053.7677072297272</v>
      </c>
      <c r="GE104" s="62">
        <f ca="1">AVERAGE(OFFSET($GD$3,0,0,'Données projet'!$E$17+1,1))-AVERAGE(OFFSET($H$3,0,0,'Données projet'!$E$17+1,1))</f>
        <v>562.69380557620775</v>
      </c>
      <c r="GF104" s="62">
        <f t="shared" si="104"/>
        <v>294.45557293177131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3.6538461538461489</v>
      </c>
      <c r="GU104" s="13">
        <f>IF('Données projet'!$A$270&gt;35,GU103+GT104-HC103,IF(A104&lt;'Données projet'!$A$270,$GR$205^A104,IF(A104='Données projet'!$A$270,'Données projet'!$B$270,GU103+GT104-HC103)))</f>
        <v>333.78205128205144</v>
      </c>
      <c r="GV104" s="18">
        <f>GU104*VLOOKUP('Données projet'!$B$18,Paramètres!$A$1:$I$89,3,0)*VLOOKUP('Données projet'!$B$18,Paramètres!$A$1:$I$89,5,0)</f>
        <v>223.90100000000012</v>
      </c>
      <c r="GW104" s="14">
        <f t="shared" si="105"/>
        <v>54.961879528873183</v>
      </c>
      <c r="GX104" s="22">
        <f t="shared" si="82"/>
        <v>485.68618184612097</v>
      </c>
      <c r="GY104" s="62">
        <f t="shared" si="83"/>
        <v>779.01951517945429</v>
      </c>
      <c r="GZ104" s="62">
        <f ca="1">AVERAGE(OFFSET($GY$3,0,0,'Données projet'!$E$18+1,1))-AVERAGE(OFFSET($H$3,0,0,'Données projet'!$E$18+1,1))</f>
        <v>363.53487081291541</v>
      </c>
      <c r="HA104" s="62">
        <f t="shared" si="106"/>
        <v>308.1559670593121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1015.645190111992</v>
      </c>
      <c r="S105" s="62">
        <f ca="1">AVERAGE(OFFSET($R$3,0,0,'Données projet'!$E$9+1,1))-AVERAGE(OFFSET($H$3,0,0,'Données projet'!$E$9+1,1))</f>
        <v>529.25712986118265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371.4</v>
      </c>
      <c r="AJ105" s="14">
        <f>AI105*VLOOKUP('Données projet'!$B$10,Paramètres!$A$1:$I$89,3,0)*VLOOKUP('Données projet'!$B$10,Paramètres!$A$1:$I$89,5,0)</f>
        <v>312.86736000000002</v>
      </c>
      <c r="AK105" s="14">
        <f t="shared" si="89"/>
        <v>73.867327809619979</v>
      </c>
      <c r="AL105" s="22">
        <f t="shared" si="58"/>
        <v>673.56291460175487</v>
      </c>
      <c r="AM105" s="62">
        <f t="shared" si="59"/>
        <v>966.89624793508824</v>
      </c>
      <c r="AN105" s="62">
        <f ca="1">AVERAGE(OFFSET($AM$3,0,0,'Données projet'!$E$10+1,1))-AVERAGE(OFFSET($H$3,0,0,'Données projet'!$E$10+1,1))</f>
        <v>495.77338291316386</v>
      </c>
      <c r="AO105" s="62">
        <f t="shared" si="90"/>
        <v>261.95434270986397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1.1380052455933766E-13</v>
      </c>
      <c r="BF105" s="14">
        <f t="shared" si="91"/>
        <v>1.6840738663456724E-12</v>
      </c>
      <c r="BG105" s="22">
        <f t="shared" si="61"/>
        <v>3.1312978974928925E-12</v>
      </c>
      <c r="BH105" s="62">
        <f t="shared" si="62"/>
        <v>293.33333333333644</v>
      </c>
      <c r="BI105" s="62">
        <f ca="1">AVERAGE(OFFSET($BH$3,0,0,'Données projet'!$E$11+1,1))-AVERAGE(OFFSET($H$3,0,0,'Données projet'!$E$11+1,1))</f>
        <v>320.67081032419122</v>
      </c>
      <c r="BJ105" s="62">
        <f t="shared" si="92"/>
        <v>290.51177680335746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0.32739174923210512</v>
      </c>
      <c r="BR105" s="23">
        <f>EXP(-LN(2)/2)*BR104+(1-EXP(-LN(2)/2))/(LN(2)/2)*BL105*BO105*VLOOKUP('Données projet'!$B$11,Paramètres!$A$1:$I$89,3,0)*0.475*44/12</f>
        <v>1.5674903017535221E-10</v>
      </c>
      <c r="BS105" s="24">
        <f t="shared" si="63"/>
        <v>0.32739174938885413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5.2</v>
      </c>
      <c r="BY105" s="13">
        <f>IF('Données projet'!$A$114&gt;35,BY104+BX105-CG104,IF(A105&lt;'Données projet'!$A$114,$BV$205^A105,IF(A105='Données projet'!$A$114,'Données projet'!$B$114,BY104+BX105-CG104)))</f>
        <v>371.4</v>
      </c>
      <c r="BZ105" s="14">
        <f>BY105*VLOOKUP('Données projet'!$B$12,Paramètres!$A$1:$I$89,3,0)*VLOOKUP('Données projet'!$B$12,Paramètres!$A$1:$I$89,5,0)</f>
        <v>376.59960000000001</v>
      </c>
      <c r="CA105" s="14">
        <f t="shared" si="93"/>
        <v>87.016077879376709</v>
      </c>
      <c r="CB105" s="22">
        <f t="shared" si="64"/>
        <v>807.46397230658113</v>
      </c>
      <c r="CC105" s="62">
        <f t="shared" si="65"/>
        <v>1100.7973056399144</v>
      </c>
      <c r="CD105" s="62">
        <f ca="1">AVERAGE(OFFSET($CC$3,0,0,'Données projet'!$E$12+1,1))-AVERAGE(OFFSET($H$3,0,0,'Données projet'!$E$12+1,1))</f>
        <v>587.74247372331615</v>
      </c>
      <c r="CE105" s="62">
        <f t="shared" si="94"/>
        <v>306.61893266146666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3.3974358974359005</v>
      </c>
      <c r="CT105" s="13">
        <f>IF('Données projet'!$A$140&gt;35,CT104+CS105-DB104,IF(A105&lt;'Données projet'!$A$140,$CQ$205^A105,IF(A105='Données projet'!$A$140,'Données projet'!$B$140,CT104+CS105-DB104)))</f>
        <v>265.12820512820514</v>
      </c>
      <c r="CU105" s="18">
        <f>CT105*VLOOKUP('Données projet'!$B$13,Paramètres!$A$1:$I$89,3,0)*VLOOKUP('Données projet'!$B$13,Paramètres!$A$1:$I$89,5,0)</f>
        <v>252.29600000000002</v>
      </c>
      <c r="CV105" s="14">
        <f t="shared" si="95"/>
        <v>61.077332796544965</v>
      </c>
      <c r="CW105" s="22">
        <f t="shared" si="67"/>
        <v>545.7918879539825</v>
      </c>
      <c r="CX105" s="62">
        <f t="shared" si="68"/>
        <v>839.12522128731575</v>
      </c>
      <c r="CY105" s="62">
        <f ca="1">AVERAGE(OFFSET($CX$3,0,0,'Données projet'!$E$13+1,1))-AVERAGE(OFFSET($H$3,0,0,'Données projet'!$E$13+1,1))</f>
        <v>406.24139966722936</v>
      </c>
      <c r="CZ105" s="62">
        <f t="shared" si="96"/>
        <v>295.95724296920577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6.7984728957526396E-14</v>
      </c>
      <c r="DQ105" s="14">
        <f t="shared" si="97"/>
        <v>1.0682447123141398E-12</v>
      </c>
      <c r="DR105" s="22">
        <f t="shared" si="70"/>
        <v>1.978932943548152E-12</v>
      </c>
      <c r="DS105" s="62">
        <f t="shared" si="71"/>
        <v>293.3333333333353</v>
      </c>
      <c r="DT105" s="62">
        <f ca="1">AVERAGE(OFFSET($DS$3,0,0,'Données projet'!$E$14+1,1))-AVERAGE(OFFSET($H$3,0,0,'Données projet'!$E$14+1,1))</f>
        <v>356.42779334565381</v>
      </c>
      <c r="DU105" s="62">
        <f t="shared" si="98"/>
        <v>320.06572891923685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0.53971563097021558</v>
      </c>
      <c r="EC105" s="23">
        <f>EXP(-LN(2)/2)*EC104+(1-EXP(-LN(2)/2))/(LN(2)/2)*DW105*DZ105*VLOOKUP('Données projet'!$B$14,Paramètres!$A$1:$I$89,3,0)*0.475*44/12</f>
        <v>2.4710000417369933E-10</v>
      </c>
      <c r="ED105" s="24">
        <f t="shared" si="72"/>
        <v>0.53971563121731558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-5.6843418860808015E-14</v>
      </c>
      <c r="FF105" s="18">
        <f>FE105*VLOOKUP('Données projet'!$B$16,Paramètres!$A$1:$I$89,3,0)*VLOOKUP('Données projet'!$B$16,Paramètres!$A$1:$I$89,5,0)</f>
        <v>-4.5224624045658861E-14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370.59298168107364</v>
      </c>
      <c r="FK105" s="62">
        <f t="shared" si="102"/>
        <v>404.61777090709171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5.2</v>
      </c>
      <c r="FZ105" s="13">
        <f>IF('Données projet'!$A$244&gt;35,FZ104+FY105-GH104,IF(A105&lt;'Données projet'!$A$244,$FW$205^A105,IF(A105='Données projet'!$A$244,'Données projet'!$B$244,FZ104+FY105-GH104)))</f>
        <v>371.4</v>
      </c>
      <c r="GA105" s="18">
        <f>FZ105*VLOOKUP('Données projet'!$B$17,Paramètres!$A$1:$I$89,3,0)*VLOOKUP('Données projet'!$B$17,Paramètres!$A$1:$I$89,5,0)</f>
        <v>359.21807999999999</v>
      </c>
      <c r="GB105" s="14">
        <f t="shared" si="103"/>
        <v>83.457728297661106</v>
      </c>
      <c r="GC105" s="22">
        <f t="shared" si="79"/>
        <v>770.99369945175965</v>
      </c>
      <c r="GD105" s="62">
        <f t="shared" si="80"/>
        <v>1064.327032785093</v>
      </c>
      <c r="GE105" s="62">
        <f ca="1">AVERAGE(OFFSET($GD$3,0,0,'Données projet'!$E$17+1,1))-AVERAGE(OFFSET($H$3,0,0,'Données projet'!$E$17+1,1))</f>
        <v>562.69380557620775</v>
      </c>
      <c r="GF105" s="62">
        <f t="shared" si="104"/>
        <v>294.45557293177131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3.6538461538461489</v>
      </c>
      <c r="GU105" s="13">
        <f>IF('Données projet'!$A$270&gt;35,GU104+GT105-HC104,IF(A105&lt;'Données projet'!$A$270,$GR$205^A105,IF(A105='Données projet'!$A$270,'Données projet'!$B$270,GU104+GT105-HC104)))</f>
        <v>337.43589743589757</v>
      </c>
      <c r="GV105" s="18">
        <f>GU105*VLOOKUP('Données projet'!$B$18,Paramètres!$A$1:$I$89,3,0)*VLOOKUP('Données projet'!$B$18,Paramètres!$A$1:$I$89,5,0)</f>
        <v>226.35200000000009</v>
      </c>
      <c r="GW105" s="14">
        <f t="shared" si="105"/>
        <v>55.493166179246714</v>
      </c>
      <c r="GX105" s="22">
        <f t="shared" si="82"/>
        <v>490.88033109552151</v>
      </c>
      <c r="GY105" s="62">
        <f t="shared" si="83"/>
        <v>784.21366442885483</v>
      </c>
      <c r="GZ105" s="62">
        <f ca="1">AVERAGE(OFFSET($GY$3,0,0,'Données projet'!$E$18+1,1))-AVERAGE(OFFSET($H$3,0,0,'Données projet'!$E$18+1,1))</f>
        <v>363.53487081291541</v>
      </c>
      <c r="HA105" s="62">
        <f t="shared" si="106"/>
        <v>308.1559670593121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1025.533626305368</v>
      </c>
      <c r="S106" s="62">
        <f ca="1">AVERAGE(OFFSET($R$3,0,0,'Données projet'!$E$9+1,1))-AVERAGE(OFFSET($H$3,0,0,'Données projet'!$E$9+1,1))</f>
        <v>529.25712986118265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376.59999999999997</v>
      </c>
      <c r="AJ106" s="14">
        <f>AI106*VLOOKUP('Données projet'!$B$10,Paramètres!$A$1:$I$89,3,0)*VLOOKUP('Données projet'!$B$10,Paramètres!$A$1:$I$89,5,0)</f>
        <v>317.24784</v>
      </c>
      <c r="AK106" s="14">
        <f t="shared" si="89"/>
        <v>74.780425695144572</v>
      </c>
      <c r="AL106" s="22">
        <f t="shared" si="58"/>
        <v>682.78256275237675</v>
      </c>
      <c r="AM106" s="62">
        <f t="shared" si="59"/>
        <v>976.11589608571012</v>
      </c>
      <c r="AN106" s="62">
        <f ca="1">AVERAGE(OFFSET($AM$3,0,0,'Données projet'!$E$10+1,1))-AVERAGE(OFFSET($H$3,0,0,'Données projet'!$E$10+1,1))</f>
        <v>495.77338291316386</v>
      </c>
      <c r="AO106" s="62">
        <f t="shared" si="90"/>
        <v>261.95434270986397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1.1380052455933766E-13</v>
      </c>
      <c r="BF106" s="14">
        <f t="shared" si="91"/>
        <v>1.6840738663456724E-12</v>
      </c>
      <c r="BG106" s="22">
        <f t="shared" si="61"/>
        <v>3.1312978974928925E-12</v>
      </c>
      <c r="BH106" s="62">
        <f t="shared" si="62"/>
        <v>293.33333333333644</v>
      </c>
      <c r="BI106" s="62">
        <f ca="1">AVERAGE(OFFSET($BH$3,0,0,'Données projet'!$E$11+1,1))-AVERAGE(OFFSET($H$3,0,0,'Données projet'!$E$11+1,1))</f>
        <v>320.67081032419122</v>
      </c>
      <c r="BJ106" s="62">
        <f t="shared" si="92"/>
        <v>290.51177680335746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0.31843920463256936</v>
      </c>
      <c r="BR106" s="23">
        <f>EXP(-LN(2)/2)*BR105+(1-EXP(-LN(2)/2))/(LN(2)/2)*BL106*BO106*VLOOKUP('Données projet'!$B$11,Paramètres!$A$1:$I$89,3,0)*0.475*44/12</f>
        <v>1.1083830218140631E-10</v>
      </c>
      <c r="BS106" s="24">
        <f t="shared" si="63"/>
        <v>0.31843920474340764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5.2</v>
      </c>
      <c r="BY106" s="13">
        <f>IF('Données projet'!$A$114&gt;35,BY105+BX106-CG105,IF(A106&lt;'Données projet'!$A$114,$BV$205^A106,IF(A106='Données projet'!$A$114,'Données projet'!$B$114,BY105+BX106-CG105)))</f>
        <v>376.59999999999997</v>
      </c>
      <c r="BZ106" s="14">
        <f>BY106*VLOOKUP('Données projet'!$B$12,Paramètres!$A$1:$I$89,3,0)*VLOOKUP('Données projet'!$B$12,Paramètres!$A$1:$I$89,5,0)</f>
        <v>381.87240000000003</v>
      </c>
      <c r="CA106" s="14">
        <f t="shared" si="93"/>
        <v>88.091711709303269</v>
      </c>
      <c r="CB106" s="22">
        <f t="shared" si="64"/>
        <v>818.52082789370331</v>
      </c>
      <c r="CC106" s="62">
        <f t="shared" si="65"/>
        <v>1111.8541612270367</v>
      </c>
      <c r="CD106" s="62">
        <f ca="1">AVERAGE(OFFSET($CC$3,0,0,'Données projet'!$E$12+1,1))-AVERAGE(OFFSET($H$3,0,0,'Données projet'!$E$12+1,1))</f>
        <v>587.74247372331615</v>
      </c>
      <c r="CE106" s="62">
        <f t="shared" si="94"/>
        <v>306.61893266146666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3.3974358974359005</v>
      </c>
      <c r="CT106" s="13">
        <f>IF('Données projet'!$A$140&gt;35,CT105+CS106-DB105,IF(A106&lt;'Données projet'!$A$140,$CQ$205^A106,IF(A106='Données projet'!$A$140,'Données projet'!$B$140,CT105+CS106-DB105)))</f>
        <v>268.52564102564105</v>
      </c>
      <c r="CU106" s="18">
        <f>CT106*VLOOKUP('Données projet'!$B$13,Paramètres!$A$1:$I$89,3,0)*VLOOKUP('Données projet'!$B$13,Paramètres!$A$1:$I$89,5,0)</f>
        <v>255.52900000000002</v>
      </c>
      <c r="CV106" s="14">
        <f t="shared" si="95"/>
        <v>61.768381459172247</v>
      </c>
      <c r="CW106" s="22">
        <f t="shared" si="67"/>
        <v>552.62627270805831</v>
      </c>
      <c r="CX106" s="62">
        <f t="shared" si="68"/>
        <v>845.95960604139168</v>
      </c>
      <c r="CY106" s="62">
        <f ca="1">AVERAGE(OFFSET($CX$3,0,0,'Données projet'!$E$13+1,1))-AVERAGE(OFFSET($H$3,0,0,'Données projet'!$E$13+1,1))</f>
        <v>406.24139966722936</v>
      </c>
      <c r="CZ106" s="62">
        <f t="shared" si="96"/>
        <v>295.95724296920577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6.7984728957526396E-14</v>
      </c>
      <c r="DQ106" s="14">
        <f t="shared" si="97"/>
        <v>1.0682447123141398E-12</v>
      </c>
      <c r="DR106" s="22">
        <f t="shared" si="70"/>
        <v>1.978932943548152E-12</v>
      </c>
      <c r="DS106" s="62">
        <f t="shared" si="71"/>
        <v>293.3333333333353</v>
      </c>
      <c r="DT106" s="62">
        <f ca="1">AVERAGE(OFFSET($DS$3,0,0,'Données projet'!$E$14+1,1))-AVERAGE(OFFSET($H$3,0,0,'Données projet'!$E$14+1,1))</f>
        <v>356.42779334565381</v>
      </c>
      <c r="DU106" s="62">
        <f t="shared" si="98"/>
        <v>320.06572891923685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0.52495707865892349</v>
      </c>
      <c r="EC106" s="23">
        <f>EXP(-LN(2)/2)*EC105+(1-EXP(-LN(2)/2))/(LN(2)/2)*DW106*DZ106*VLOOKUP('Données projet'!$B$14,Paramètres!$A$1:$I$89,3,0)*0.475*44/12</f>
        <v>1.7472608858244699E-10</v>
      </c>
      <c r="ED106" s="24">
        <f t="shared" si="72"/>
        <v>0.52495707883364962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-5.6843418860808015E-14</v>
      </c>
      <c r="FF106" s="18">
        <f>FE106*VLOOKUP('Données projet'!$B$16,Paramètres!$A$1:$I$89,3,0)*VLOOKUP('Données projet'!$B$16,Paramètres!$A$1:$I$89,5,0)</f>
        <v>-4.5224624045658861E-14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370.59298168107364</v>
      </c>
      <c r="FK106" s="62">
        <f t="shared" si="102"/>
        <v>404.61777090709171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5.2</v>
      </c>
      <c r="FZ106" s="13">
        <f>IF('Données projet'!$A$244&gt;35,FZ105+FY106-GH105,IF(A106&lt;'Données projet'!$A$244,$FW$205^A106,IF(A106='Données projet'!$A$244,'Données projet'!$B$244,FZ105+FY106-GH105)))</f>
        <v>376.59999999999997</v>
      </c>
      <c r="GA106" s="18">
        <f>FZ106*VLOOKUP('Données projet'!$B$17,Paramètres!$A$1:$I$89,3,0)*VLOOKUP('Données projet'!$B$17,Paramètres!$A$1:$I$89,5,0)</f>
        <v>364.24752000000001</v>
      </c>
      <c r="GB106" s="14">
        <f t="shared" si="103"/>
        <v>84.489376219671925</v>
      </c>
      <c r="GC106" s="22">
        <f t="shared" si="79"/>
        <v>781.55009424926186</v>
      </c>
      <c r="GD106" s="62">
        <f t="shared" si="80"/>
        <v>1074.8834275825952</v>
      </c>
      <c r="GE106" s="62">
        <f ca="1">AVERAGE(OFFSET($GD$3,0,0,'Données projet'!$E$17+1,1))-AVERAGE(OFFSET($H$3,0,0,'Données projet'!$E$17+1,1))</f>
        <v>562.69380557620775</v>
      </c>
      <c r="GF106" s="62">
        <f t="shared" si="104"/>
        <v>294.45557293177131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3.6538461538461489</v>
      </c>
      <c r="GU106" s="13">
        <f>IF('Données projet'!$A$270&gt;35,GU105+GT106-HC105,IF(A106&lt;'Données projet'!$A$270,$GR$205^A106,IF(A106='Données projet'!$A$270,'Données projet'!$B$270,GU105+GT106-HC105)))</f>
        <v>341.0897435897437</v>
      </c>
      <c r="GV106" s="18">
        <f>GU106*VLOOKUP('Données projet'!$B$18,Paramètres!$A$1:$I$89,3,0)*VLOOKUP('Données projet'!$B$18,Paramètres!$A$1:$I$89,5,0)</f>
        <v>228.80300000000008</v>
      </c>
      <c r="GW106" s="14">
        <f t="shared" si="105"/>
        <v>56.023783598437618</v>
      </c>
      <c r="GX106" s="22">
        <f t="shared" si="82"/>
        <v>496.07331476727899</v>
      </c>
      <c r="GY106" s="62">
        <f t="shared" si="83"/>
        <v>789.4066481006123</v>
      </c>
      <c r="GZ106" s="62">
        <f ca="1">AVERAGE(OFFSET($GY$3,0,0,'Données projet'!$E$18+1,1))-AVERAGE(OFFSET($H$3,0,0,'Données projet'!$E$18+1,1))</f>
        <v>363.53487081291541</v>
      </c>
      <c r="HA106" s="62">
        <f t="shared" si="106"/>
        <v>308.1559670593121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1035.4193420166644</v>
      </c>
      <c r="S107" s="62">
        <f ca="1">AVERAGE(OFFSET($R$3,0,0,'Données projet'!$E$9+1,1))-AVERAGE(OFFSET($H$3,0,0,'Données projet'!$E$9+1,1))</f>
        <v>529.25712986118265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381.79999999999995</v>
      </c>
      <c r="AJ107" s="14">
        <f>AI107*VLOOKUP('Données projet'!$B$10,Paramètres!$A$1:$I$89,3,0)*VLOOKUP('Données projet'!$B$10,Paramètres!$A$1:$I$89,5,0)</f>
        <v>321.62832000000003</v>
      </c>
      <c r="AK107" s="14">
        <f t="shared" si="89"/>
        <v>75.692057158625346</v>
      </c>
      <c r="AL107" s="22">
        <f t="shared" si="58"/>
        <v>691.99965688460588</v>
      </c>
      <c r="AM107" s="62">
        <f t="shared" si="59"/>
        <v>985.33299021793914</v>
      </c>
      <c r="AN107" s="62">
        <f ca="1">AVERAGE(OFFSET($AM$3,0,0,'Données projet'!$E$10+1,1))-AVERAGE(OFFSET($H$3,0,0,'Données projet'!$E$10+1,1))</f>
        <v>495.77338291316386</v>
      </c>
      <c r="AO107" s="62">
        <f t="shared" si="90"/>
        <v>261.95434270986397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1.1380052455933766E-13</v>
      </c>
      <c r="BF107" s="14">
        <f t="shared" si="91"/>
        <v>1.6840738663456724E-12</v>
      </c>
      <c r="BG107" s="22">
        <f t="shared" si="61"/>
        <v>3.1312978974928925E-12</v>
      </c>
      <c r="BH107" s="62">
        <f t="shared" si="62"/>
        <v>293.33333333333644</v>
      </c>
      <c r="BI107" s="62">
        <f ca="1">AVERAGE(OFFSET($BH$3,0,0,'Données projet'!$E$11+1,1))-AVERAGE(OFFSET($H$3,0,0,'Données projet'!$E$11+1,1))</f>
        <v>320.67081032419122</v>
      </c>
      <c r="BJ107" s="62">
        <f t="shared" si="92"/>
        <v>290.51177680335746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0.30973146783590177</v>
      </c>
      <c r="BR107" s="23">
        <f>EXP(-LN(2)/2)*BR106+(1-EXP(-LN(2)/2))/(LN(2)/2)*BL107*BO107*VLOOKUP('Données projet'!$B$11,Paramètres!$A$1:$I$89,3,0)*0.475*44/12</f>
        <v>7.8374515087676103E-11</v>
      </c>
      <c r="BS107" s="24">
        <f t="shared" si="63"/>
        <v>0.3097314679142763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5.2</v>
      </c>
      <c r="BY107" s="13">
        <f>IF('Données projet'!$A$114&gt;35,BY106+BX107-CG106,IF(A107&lt;'Données projet'!$A$114,$BV$205^A107,IF(A107='Données projet'!$A$114,'Données projet'!$B$114,BY106+BX107-CG106)))</f>
        <v>381.79999999999995</v>
      </c>
      <c r="BZ107" s="14">
        <f>BY107*VLOOKUP('Données projet'!$B$12,Paramètres!$A$1:$I$89,3,0)*VLOOKUP('Données projet'!$B$12,Paramètres!$A$1:$I$89,5,0)</f>
        <v>387.14519999999999</v>
      </c>
      <c r="CA107" s="14">
        <f t="shared" si="93"/>
        <v>89.165618086801913</v>
      </c>
      <c r="CB107" s="22">
        <f t="shared" si="64"/>
        <v>829.57467483451319</v>
      </c>
      <c r="CC107" s="62">
        <f t="shared" si="65"/>
        <v>1122.9080081678464</v>
      </c>
      <c r="CD107" s="62">
        <f ca="1">AVERAGE(OFFSET($CC$3,0,0,'Données projet'!$E$12+1,1))-AVERAGE(OFFSET($H$3,0,0,'Données projet'!$E$12+1,1))</f>
        <v>587.74247372331615</v>
      </c>
      <c r="CE107" s="62">
        <f t="shared" si="94"/>
        <v>306.61893266146666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3.3974358974359005</v>
      </c>
      <c r="CT107" s="13">
        <f>IF('Données projet'!$A$140&gt;35,CT106+CS107-DB106,IF(A107&lt;'Données projet'!$A$140,$CQ$205^A107,IF(A107='Données projet'!$A$140,'Données projet'!$B$140,CT106+CS107-DB106)))</f>
        <v>271.92307692307696</v>
      </c>
      <c r="CU107" s="18">
        <f>CT107*VLOOKUP('Données projet'!$B$13,Paramètres!$A$1:$I$89,3,0)*VLOOKUP('Données projet'!$B$13,Paramètres!$A$1:$I$89,5,0)</f>
        <v>258.76200000000006</v>
      </c>
      <c r="CV107" s="14">
        <f t="shared" si="95"/>
        <v>62.458413124928875</v>
      </c>
      <c r="CW107" s="22">
        <f t="shared" si="67"/>
        <v>559.4588861925846</v>
      </c>
      <c r="CX107" s="62">
        <f t="shared" si="68"/>
        <v>852.79221952591797</v>
      </c>
      <c r="CY107" s="62">
        <f ca="1">AVERAGE(OFFSET($CX$3,0,0,'Données projet'!$E$13+1,1))-AVERAGE(OFFSET($H$3,0,0,'Données projet'!$E$13+1,1))</f>
        <v>406.24139966722936</v>
      </c>
      <c r="CZ107" s="62">
        <f t="shared" si="96"/>
        <v>295.95724296920577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6.7984728957526396E-14</v>
      </c>
      <c r="DQ107" s="14">
        <f t="shared" si="97"/>
        <v>1.0682447123141398E-12</v>
      </c>
      <c r="DR107" s="22">
        <f t="shared" si="70"/>
        <v>1.978932943548152E-12</v>
      </c>
      <c r="DS107" s="62">
        <f t="shared" si="71"/>
        <v>293.3333333333353</v>
      </c>
      <c r="DT107" s="62">
        <f ca="1">AVERAGE(OFFSET($DS$3,0,0,'Données projet'!$E$14+1,1))-AVERAGE(OFFSET($H$3,0,0,'Données projet'!$E$14+1,1))</f>
        <v>356.42779334565381</v>
      </c>
      <c r="DU107" s="62">
        <f t="shared" si="98"/>
        <v>320.06572891923685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0.51060209973670223</v>
      </c>
      <c r="EC107" s="23">
        <f>EXP(-LN(2)/2)*EC106+(1-EXP(-LN(2)/2))/(LN(2)/2)*DW107*DZ107*VLOOKUP('Données projet'!$B$14,Paramètres!$A$1:$I$89,3,0)*0.475*44/12</f>
        <v>1.2355000208684966E-10</v>
      </c>
      <c r="ED107" s="24">
        <f t="shared" si="72"/>
        <v>0.51060209986025218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-5.6843418860808015E-14</v>
      </c>
      <c r="FF107" s="18">
        <f>FE107*VLOOKUP('Données projet'!$B$16,Paramètres!$A$1:$I$89,3,0)*VLOOKUP('Données projet'!$B$16,Paramètres!$A$1:$I$89,5,0)</f>
        <v>-4.5224624045658861E-14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370.59298168107364</v>
      </c>
      <c r="FK107" s="62">
        <f t="shared" si="102"/>
        <v>404.61777090709171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5.2</v>
      </c>
      <c r="FZ107" s="13">
        <f>IF('Données projet'!$A$244&gt;35,FZ106+FY107-GH106,IF(A107&lt;'Données projet'!$A$244,$FW$205^A107,IF(A107='Données projet'!$A$244,'Données projet'!$B$244,FZ106+FY107-GH106)))</f>
        <v>381.79999999999995</v>
      </c>
      <c r="GA107" s="18">
        <f>FZ107*VLOOKUP('Données projet'!$B$17,Paramètres!$A$1:$I$89,3,0)*VLOOKUP('Données projet'!$B$17,Paramètres!$A$1:$I$89,5,0)</f>
        <v>369.27695999999997</v>
      </c>
      <c r="GB107" s="14">
        <f t="shared" si="103"/>
        <v>85.519367329988739</v>
      </c>
      <c r="GC107" s="22">
        <f t="shared" si="79"/>
        <v>792.10360343306365</v>
      </c>
      <c r="GD107" s="62">
        <f t="shared" si="80"/>
        <v>1085.4369367663969</v>
      </c>
      <c r="GE107" s="62">
        <f ca="1">AVERAGE(OFFSET($GD$3,0,0,'Données projet'!$E$17+1,1))-AVERAGE(OFFSET($H$3,0,0,'Données projet'!$E$17+1,1))</f>
        <v>562.69380557620775</v>
      </c>
      <c r="GF107" s="62">
        <f t="shared" si="104"/>
        <v>294.45557293177131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3.6538461538461489</v>
      </c>
      <c r="GU107" s="13">
        <f>IF('Données projet'!$A$270&gt;35,GU106+GT107-HC106,IF(A107&lt;'Données projet'!$A$270,$GR$205^A107,IF(A107='Données projet'!$A$270,'Données projet'!$B$270,GU106+GT107-HC106)))</f>
        <v>344.74358974358984</v>
      </c>
      <c r="GV107" s="18">
        <f>GU107*VLOOKUP('Données projet'!$B$18,Paramètres!$A$1:$I$89,3,0)*VLOOKUP('Données projet'!$B$18,Paramètres!$A$1:$I$89,5,0)</f>
        <v>231.25400000000008</v>
      </c>
      <c r="GW107" s="14">
        <f t="shared" si="105"/>
        <v>56.553739785222149</v>
      </c>
      <c r="GX107" s="22">
        <f t="shared" si="82"/>
        <v>501.26514679259532</v>
      </c>
      <c r="GY107" s="62">
        <f t="shared" si="83"/>
        <v>794.59848012592863</v>
      </c>
      <c r="GZ107" s="62">
        <f ca="1">AVERAGE(OFFSET($GY$3,0,0,'Données projet'!$E$18+1,1))-AVERAGE(OFFSET($H$3,0,0,'Données projet'!$E$18+1,1))</f>
        <v>363.53487081291541</v>
      </c>
      <c r="HA107" s="62">
        <f t="shared" si="106"/>
        <v>308.1559670593121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1045.3023785806893</v>
      </c>
      <c r="S108" s="62">
        <f ca="1">AVERAGE(OFFSET($R$3,0,0,'Données projet'!$E$9+1,1))-AVERAGE(OFFSET($H$3,0,0,'Données projet'!$E$9+1,1))</f>
        <v>529.25712986118265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386.99999999999994</v>
      </c>
      <c r="AJ108" s="14">
        <f>AI108*VLOOKUP('Données projet'!$B$10,Paramètres!$A$1:$I$89,3,0)*VLOOKUP('Données projet'!$B$10,Paramètres!$A$1:$I$89,5,0)</f>
        <v>326.00880000000001</v>
      </c>
      <c r="AK108" s="14">
        <f t="shared" si="89"/>
        <v>76.602244480772981</v>
      </c>
      <c r="AL108" s="22">
        <f t="shared" si="58"/>
        <v>701.2142358040129</v>
      </c>
      <c r="AM108" s="62">
        <f t="shared" si="59"/>
        <v>994.54756913734627</v>
      </c>
      <c r="AN108" s="62">
        <f ca="1">AVERAGE(OFFSET($AM$3,0,0,'Données projet'!$E$10+1,1))-AVERAGE(OFFSET($H$3,0,0,'Données projet'!$E$10+1,1))</f>
        <v>495.77338291316386</v>
      </c>
      <c r="AO108" s="62">
        <f t="shared" si="90"/>
        <v>261.95434270986397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1.1380052455933766E-13</v>
      </c>
      <c r="BF108" s="14">
        <f t="shared" si="91"/>
        <v>1.6840738663456724E-12</v>
      </c>
      <c r="BG108" s="22">
        <f t="shared" si="61"/>
        <v>3.1312978974928925E-12</v>
      </c>
      <c r="BH108" s="62">
        <f t="shared" si="62"/>
        <v>293.33333333333644</v>
      </c>
      <c r="BI108" s="62">
        <f ca="1">AVERAGE(OFFSET($BH$3,0,0,'Données projet'!$E$11+1,1))-AVERAGE(OFFSET($H$3,0,0,'Données projet'!$E$11+1,1))</f>
        <v>320.67081032419122</v>
      </c>
      <c r="BJ108" s="62">
        <f t="shared" si="92"/>
        <v>290.51177680335746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0.30126184455985905</v>
      </c>
      <c r="BR108" s="23">
        <f>EXP(-LN(2)/2)*BR107+(1-EXP(-LN(2)/2))/(LN(2)/2)*BL108*BO108*VLOOKUP('Données projet'!$B$11,Paramètres!$A$1:$I$89,3,0)*0.475*44/12</f>
        <v>5.5419151090703154E-11</v>
      </c>
      <c r="BS108" s="24">
        <f t="shared" si="63"/>
        <v>0.30126184461527822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5.2</v>
      </c>
      <c r="BY108" s="13">
        <f>IF('Données projet'!$A$114&gt;35,BY107+BX108-CG107,IF(A108&lt;'Données projet'!$A$114,$BV$205^A108,IF(A108='Données projet'!$A$114,'Données projet'!$B$114,BY107+BX108-CG107)))</f>
        <v>386.99999999999994</v>
      </c>
      <c r="BZ108" s="14">
        <f>BY108*VLOOKUP('Données projet'!$B$12,Paramètres!$A$1:$I$89,3,0)*VLOOKUP('Données projet'!$B$12,Paramètres!$A$1:$I$89,5,0)</f>
        <v>392.41800000000001</v>
      </c>
      <c r="CA108" s="14">
        <f t="shared" si="93"/>
        <v>90.237823258660114</v>
      </c>
      <c r="CB108" s="22">
        <f t="shared" si="64"/>
        <v>840.62555884216636</v>
      </c>
      <c r="CC108" s="62">
        <f t="shared" si="65"/>
        <v>1133.9588921754996</v>
      </c>
      <c r="CD108" s="62">
        <f ca="1">AVERAGE(OFFSET($CC$3,0,0,'Données projet'!$E$12+1,1))-AVERAGE(OFFSET($H$3,0,0,'Données projet'!$E$12+1,1))</f>
        <v>587.74247372331615</v>
      </c>
      <c r="CE108" s="62">
        <f t="shared" si="94"/>
        <v>306.61893266146666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3.3974358974359005</v>
      </c>
      <c r="CT108" s="13">
        <f>IF('Données projet'!$A$140&gt;35,CT107+CS108-DB107,IF(A108&lt;'Données projet'!$A$140,$CQ$205^A108,IF(A108='Données projet'!$A$140,'Données projet'!$B$140,CT107+CS108-DB107)))</f>
        <v>275.32051282051287</v>
      </c>
      <c r="CU108" s="18">
        <f>CT108*VLOOKUP('Données projet'!$B$13,Paramètres!$A$1:$I$89,3,0)*VLOOKUP('Données projet'!$B$13,Paramètres!$A$1:$I$89,5,0)</f>
        <v>261.99500000000006</v>
      </c>
      <c r="CV108" s="14">
        <f t="shared" si="95"/>
        <v>63.147441969746581</v>
      </c>
      <c r="CW108" s="22">
        <f t="shared" si="67"/>
        <v>566.28975309730868</v>
      </c>
      <c r="CX108" s="62">
        <f t="shared" si="68"/>
        <v>859.62308643064193</v>
      </c>
      <c r="CY108" s="62">
        <f ca="1">AVERAGE(OFFSET($CX$3,0,0,'Données projet'!$E$13+1,1))-AVERAGE(OFFSET($H$3,0,0,'Données projet'!$E$13+1,1))</f>
        <v>406.24139966722936</v>
      </c>
      <c r="CZ108" s="62">
        <f t="shared" si="96"/>
        <v>295.95724296920577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6.7984728957526396E-14</v>
      </c>
      <c r="DQ108" s="14">
        <f t="shared" si="97"/>
        <v>1.0682447123141398E-12</v>
      </c>
      <c r="DR108" s="22">
        <f t="shared" si="70"/>
        <v>1.978932943548152E-12</v>
      </c>
      <c r="DS108" s="62">
        <f t="shared" si="71"/>
        <v>293.3333333333353</v>
      </c>
      <c r="DT108" s="62">
        <f ca="1">AVERAGE(OFFSET($DS$3,0,0,'Données projet'!$E$14+1,1))-AVERAGE(OFFSET($H$3,0,0,'Données projet'!$E$14+1,1))</f>
        <v>356.42779334565381</v>
      </c>
      <c r="DU108" s="62">
        <f t="shared" si="98"/>
        <v>320.06572891923685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0.49663965846800467</v>
      </c>
      <c r="EC108" s="23">
        <f>EXP(-LN(2)/2)*EC107+(1-EXP(-LN(2)/2))/(LN(2)/2)*DW108*DZ108*VLOOKUP('Données projet'!$B$14,Paramètres!$A$1:$I$89,3,0)*0.475*44/12</f>
        <v>8.7363044291223496E-11</v>
      </c>
      <c r="ED108" s="24">
        <f t="shared" si="72"/>
        <v>0.49663965855536774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-5.6843418860808015E-14</v>
      </c>
      <c r="FF108" s="18">
        <f>FE108*VLOOKUP('Données projet'!$B$16,Paramètres!$A$1:$I$89,3,0)*VLOOKUP('Données projet'!$B$16,Paramètres!$A$1:$I$89,5,0)</f>
        <v>-4.5224624045658861E-14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370.59298168107364</v>
      </c>
      <c r="FK108" s="62">
        <f t="shared" si="102"/>
        <v>404.61777090709171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5.2</v>
      </c>
      <c r="FZ108" s="13">
        <f>IF('Données projet'!$A$244&gt;35,FZ107+FY108-GH107,IF(A108&lt;'Données projet'!$A$244,$FW$205^A108,IF(A108='Données projet'!$A$244,'Données projet'!$B$244,FZ107+FY108-GH107)))</f>
        <v>386.99999999999994</v>
      </c>
      <c r="GA108" s="18">
        <f>FZ108*VLOOKUP('Données projet'!$B$17,Paramètres!$A$1:$I$89,3,0)*VLOOKUP('Données projet'!$B$17,Paramètres!$A$1:$I$89,5,0)</f>
        <v>374.30639999999994</v>
      </c>
      <c r="GB108" s="14">
        <f t="shared" si="103"/>
        <v>86.547726802089201</v>
      </c>
      <c r="GC108" s="22">
        <f t="shared" si="79"/>
        <v>802.65427084697183</v>
      </c>
      <c r="GD108" s="62">
        <f t="shared" si="80"/>
        <v>1095.9876041803052</v>
      </c>
      <c r="GE108" s="62">
        <f ca="1">AVERAGE(OFFSET($GD$3,0,0,'Données projet'!$E$17+1,1))-AVERAGE(OFFSET($H$3,0,0,'Données projet'!$E$17+1,1))</f>
        <v>562.69380557620775</v>
      </c>
      <c r="GF108" s="62">
        <f t="shared" si="104"/>
        <v>294.45557293177131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3.6538461538461489</v>
      </c>
      <c r="GU108" s="13">
        <f>IF('Données projet'!$A$270&gt;35,GU107+GT108-HC107,IF(A108&lt;'Données projet'!$A$270,$GR$205^A108,IF(A108='Données projet'!$A$270,'Données projet'!$B$270,GU107+GT108-HC107)))</f>
        <v>348.39743589743597</v>
      </c>
      <c r="GV108" s="18">
        <f>GU108*VLOOKUP('Données projet'!$B$18,Paramètres!$A$1:$I$89,3,0)*VLOOKUP('Données projet'!$B$18,Paramètres!$A$1:$I$89,5,0)</f>
        <v>233.70500000000004</v>
      </c>
      <c r="GW108" s="14">
        <f t="shared" si="105"/>
        <v>57.0830425590554</v>
      </c>
      <c r="GX108" s="22">
        <f t="shared" si="82"/>
        <v>506.4558407903549</v>
      </c>
      <c r="GY108" s="62">
        <f t="shared" si="83"/>
        <v>799.78917412368821</v>
      </c>
      <c r="GZ108" s="62">
        <f ca="1">AVERAGE(OFFSET($GY$3,0,0,'Données projet'!$E$18+1,1))-AVERAGE(OFFSET($H$3,0,0,'Données projet'!$E$18+1,1))</f>
        <v>363.53487081291541</v>
      </c>
      <c r="HA108" s="62">
        <f t="shared" si="106"/>
        <v>308.1559670593121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1055.1827761576099</v>
      </c>
      <c r="S109" s="62">
        <f ca="1">AVERAGE(OFFSET($R$3,0,0,'Données projet'!$E$9+1,1))-AVERAGE(OFFSET($H$3,0,0,'Données projet'!$E$9+1,1))</f>
        <v>529.25712986118265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5.2</v>
      </c>
      <c r="AI109" s="14">
        <f>IF('Données projet'!$A$62&gt;35,AI108+AH109-AQ108,IF(A109&lt;'Données projet'!$A$62,$AF$205^A109,IF(A109='Données projet'!$A$62,'Données projet'!$B$62,AI108+AH109-AQ108)))</f>
        <v>392.19999999999993</v>
      </c>
      <c r="AJ109" s="14">
        <f>AI109*VLOOKUP('Données projet'!$B$10,Paramètres!$A$1:$I$89,3,0)*VLOOKUP('Données projet'!$B$10,Paramètres!$A$1:$I$89,5,0)</f>
        <v>330.38927999999999</v>
      </c>
      <c r="AK109" s="14">
        <f t="shared" si="89"/>
        <v>77.511009309130912</v>
      </c>
      <c r="AL109" s="22">
        <f t="shared" si="58"/>
        <v>710.42633721340314</v>
      </c>
      <c r="AM109" s="62">
        <f t="shared" si="59"/>
        <v>1003.7596705467365</v>
      </c>
      <c r="AN109" s="62">
        <f ca="1">AVERAGE(OFFSET($AM$3,0,0,'Données projet'!$E$10+1,1))-AVERAGE(OFFSET($H$3,0,0,'Données projet'!$E$10+1,1))</f>
        <v>495.77338291316386</v>
      </c>
      <c r="AO109" s="62">
        <f t="shared" si="90"/>
        <v>261.95434270986397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1.1380052455933766E-13</v>
      </c>
      <c r="BF109" s="14">
        <f t="shared" si="91"/>
        <v>1.6840738663456724E-12</v>
      </c>
      <c r="BG109" s="22">
        <f t="shared" si="61"/>
        <v>3.1312978974928925E-12</v>
      </c>
      <c r="BH109" s="62">
        <f t="shared" si="62"/>
        <v>293.33333333333644</v>
      </c>
      <c r="BI109" s="62">
        <f ca="1">AVERAGE(OFFSET($BH$3,0,0,'Données projet'!$E$11+1,1))-AVERAGE(OFFSET($H$3,0,0,'Données projet'!$E$11+1,1))</f>
        <v>320.67081032419122</v>
      </c>
      <c r="BJ109" s="62">
        <f t="shared" si="92"/>
        <v>290.51177680335746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0.29302382357769785</v>
      </c>
      <c r="BR109" s="23">
        <f>EXP(-LN(2)/2)*BR108+(1-EXP(-LN(2)/2))/(LN(2)/2)*BL109*BO109*VLOOKUP('Données projet'!$B$11,Paramètres!$A$1:$I$89,3,0)*0.475*44/12</f>
        <v>3.9187257543838051E-11</v>
      </c>
      <c r="BS109" s="24">
        <f t="shared" si="63"/>
        <v>0.29302382361688512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5.2</v>
      </c>
      <c r="BY109" s="13">
        <f>IF('Données projet'!$A$114&gt;35,BY108+BX109-CG108,IF(A109&lt;'Données projet'!$A$114,$BV$205^A109,IF(A109='Données projet'!$A$114,'Données projet'!$B$114,BY108+BX109-CG108)))</f>
        <v>392.19999999999993</v>
      </c>
      <c r="BZ109" s="14">
        <f>BY109*VLOOKUP('Données projet'!$B$12,Paramètres!$A$1:$I$89,3,0)*VLOOKUP('Données projet'!$B$12,Paramètres!$A$1:$I$89,5,0)</f>
        <v>397.69079999999997</v>
      </c>
      <c r="CA109" s="14">
        <f t="shared" si="93"/>
        <v>91.308352725791323</v>
      </c>
      <c r="CB109" s="22">
        <f t="shared" si="64"/>
        <v>851.67352433075314</v>
      </c>
      <c r="CC109" s="62">
        <f t="shared" si="65"/>
        <v>1145.0068576640865</v>
      </c>
      <c r="CD109" s="62">
        <f ca="1">AVERAGE(OFFSET($CC$3,0,0,'Données projet'!$E$12+1,1))-AVERAGE(OFFSET($H$3,0,0,'Données projet'!$E$12+1,1))</f>
        <v>587.74247372331615</v>
      </c>
      <c r="CE109" s="62">
        <f t="shared" si="94"/>
        <v>306.61893266146666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3.3974358974359005</v>
      </c>
      <c r="CT109" s="13">
        <f>IF('Données projet'!$A$140&gt;35,CT108+CS109-DB108,IF(A109&lt;'Données projet'!$A$140,$CQ$205^A109,IF(A109='Données projet'!$A$140,'Données projet'!$B$140,CT108+CS109-DB108)))</f>
        <v>278.71794871794879</v>
      </c>
      <c r="CU109" s="18">
        <f>CT109*VLOOKUP('Données projet'!$B$13,Paramètres!$A$1:$I$89,3,0)*VLOOKUP('Données projet'!$B$13,Paramètres!$A$1:$I$89,5,0)</f>
        <v>265.22800000000007</v>
      </c>
      <c r="CV109" s="14">
        <f t="shared" si="95"/>
        <v>63.835481799573074</v>
      </c>
      <c r="CW109" s="22">
        <f t="shared" si="67"/>
        <v>573.11889746758982</v>
      </c>
      <c r="CX109" s="62">
        <f t="shared" si="68"/>
        <v>866.45223080092319</v>
      </c>
      <c r="CY109" s="62">
        <f ca="1">AVERAGE(OFFSET($CX$3,0,0,'Données projet'!$E$13+1,1))-AVERAGE(OFFSET($H$3,0,0,'Données projet'!$E$13+1,1))</f>
        <v>406.24139966722936</v>
      </c>
      <c r="CZ109" s="62">
        <f t="shared" si="96"/>
        <v>295.95724296920577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6.7984728957526396E-14</v>
      </c>
      <c r="DQ109" s="14">
        <f t="shared" si="97"/>
        <v>1.0682447123141398E-12</v>
      </c>
      <c r="DR109" s="22">
        <f t="shared" si="70"/>
        <v>1.978932943548152E-12</v>
      </c>
      <c r="DS109" s="62">
        <f t="shared" si="71"/>
        <v>293.3333333333353</v>
      </c>
      <c r="DT109" s="62">
        <f ca="1">AVERAGE(OFFSET($DS$3,0,0,'Données projet'!$E$14+1,1))-AVERAGE(OFFSET($H$3,0,0,'Données projet'!$E$14+1,1))</f>
        <v>356.42779334565381</v>
      </c>
      <c r="DU109" s="62">
        <f t="shared" si="98"/>
        <v>320.06572891923685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0.48305902089005254</v>
      </c>
      <c r="EC109" s="23">
        <f>EXP(-LN(2)/2)*EC108+(1-EXP(-LN(2)/2))/(LN(2)/2)*DW109*DZ109*VLOOKUP('Données projet'!$B$14,Paramètres!$A$1:$I$89,3,0)*0.475*44/12</f>
        <v>6.1775001043424832E-11</v>
      </c>
      <c r="ED109" s="24">
        <f t="shared" si="72"/>
        <v>0.48305902095182751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-5.6843418860808015E-14</v>
      </c>
      <c r="FF109" s="18">
        <f>FE109*VLOOKUP('Données projet'!$B$16,Paramètres!$A$1:$I$89,3,0)*VLOOKUP('Données projet'!$B$16,Paramètres!$A$1:$I$89,5,0)</f>
        <v>-4.5224624045658861E-14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370.59298168107364</v>
      </c>
      <c r="FK109" s="62">
        <f t="shared" si="102"/>
        <v>404.61777090709171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5.2</v>
      </c>
      <c r="FZ109" s="13">
        <f>IF('Données projet'!$A$244&gt;35,FZ108+FY109-GH108,IF(A109&lt;'Données projet'!$A$244,$FW$205^A109,IF(A109='Données projet'!$A$244,'Données projet'!$B$244,FZ108+FY109-GH108)))</f>
        <v>392.19999999999993</v>
      </c>
      <c r="GA109" s="18">
        <f>FZ109*VLOOKUP('Données projet'!$B$17,Paramètres!$A$1:$I$89,3,0)*VLOOKUP('Données projet'!$B$17,Paramètres!$A$1:$I$89,5,0)</f>
        <v>379.33583999999996</v>
      </c>
      <c r="GB109" s="14">
        <f t="shared" si="103"/>
        <v>87.574479094077503</v>
      </c>
      <c r="GC109" s="22">
        <f t="shared" si="79"/>
        <v>813.2021390888516</v>
      </c>
      <c r="GD109" s="62">
        <f t="shared" si="80"/>
        <v>1106.535472422185</v>
      </c>
      <c r="GE109" s="62">
        <f ca="1">AVERAGE(OFFSET($GD$3,0,0,'Données projet'!$E$17+1,1))-AVERAGE(OFFSET($H$3,0,0,'Données projet'!$E$17+1,1))</f>
        <v>562.69380557620775</v>
      </c>
      <c r="GF109" s="62">
        <f t="shared" si="104"/>
        <v>294.45557293177131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3.6538461538461489</v>
      </c>
      <c r="GU109" s="13">
        <f>IF('Données projet'!$A$270&gt;35,GU108+GT109-HC108,IF(A109&lt;'Données projet'!$A$270,$GR$205^A109,IF(A109='Données projet'!$A$270,'Données projet'!$B$270,GU108+GT109-HC108)))</f>
        <v>352.0512820512821</v>
      </c>
      <c r="GV109" s="18">
        <f>GU109*VLOOKUP('Données projet'!$B$18,Paramètres!$A$1:$I$89,3,0)*VLOOKUP('Données projet'!$B$18,Paramètres!$A$1:$I$89,5,0)</f>
        <v>236.15600000000003</v>
      </c>
      <c r="GW109" s="14">
        <f t="shared" si="105"/>
        <v>57.611699565928937</v>
      </c>
      <c r="GX109" s="22">
        <f t="shared" si="82"/>
        <v>511.64541007732623</v>
      </c>
      <c r="GY109" s="62">
        <f t="shared" si="83"/>
        <v>804.97874341065949</v>
      </c>
      <c r="GZ109" s="62">
        <f ca="1">AVERAGE(OFFSET($GY$3,0,0,'Données projet'!$E$18+1,1))-AVERAGE(OFFSET($H$3,0,0,'Données projet'!$E$18+1,1))</f>
        <v>363.53487081291541</v>
      </c>
      <c r="HA109" s="62">
        <f t="shared" si="106"/>
        <v>308.1559670593121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1065.0605737814542</v>
      </c>
      <c r="S110" s="62">
        <f ca="1">AVERAGE(OFFSET($R$3,0,0,'Données projet'!$E$9+1,1))-AVERAGE(OFFSET($H$3,0,0,'Données projet'!$E$9+1,1))</f>
        <v>529.25712986118265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5.2</v>
      </c>
      <c r="AI110" s="14">
        <f>IF('Données projet'!$A$62&gt;35,AI109+AH110-AQ109,IF(A110&lt;'Données projet'!$A$62,$AF$205^A110,IF(A110='Données projet'!$A$62,'Données projet'!$B$62,AI109+AH110-AQ109)))</f>
        <v>397.39999999999992</v>
      </c>
      <c r="AJ110" s="14">
        <f>AI110*VLOOKUP('Données projet'!$B$10,Paramètres!$A$1:$I$89,3,0)*VLOOKUP('Données projet'!$B$10,Paramètres!$A$1:$I$89,5,0)</f>
        <v>334.76975999999996</v>
      </c>
      <c r="AK110" s="14">
        <f t="shared" si="89"/>
        <v>78.41837268421996</v>
      </c>
      <c r="AL110" s="22">
        <f t="shared" si="58"/>
        <v>719.63599775834973</v>
      </c>
      <c r="AM110" s="62">
        <f t="shared" si="59"/>
        <v>1012.969331091683</v>
      </c>
      <c r="AN110" s="62">
        <f ca="1">AVERAGE(OFFSET($AM$3,0,0,'Données projet'!$E$10+1,1))-AVERAGE(OFFSET($H$3,0,0,'Données projet'!$E$10+1,1))</f>
        <v>495.77338291316386</v>
      </c>
      <c r="AO110" s="62">
        <f t="shared" si="90"/>
        <v>261.95434270986397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1.1380052455933766E-13</v>
      </c>
      <c r="BF110" s="14">
        <f t="shared" si="91"/>
        <v>1.6840738663456724E-12</v>
      </c>
      <c r="BG110" s="22">
        <f t="shared" si="61"/>
        <v>3.1312978974928925E-12</v>
      </c>
      <c r="BH110" s="62">
        <f t="shared" si="62"/>
        <v>293.33333333333644</v>
      </c>
      <c r="BI110" s="62">
        <f ca="1">AVERAGE(OFFSET($BH$3,0,0,'Données projet'!$E$11+1,1))-AVERAGE(OFFSET($H$3,0,0,'Données projet'!$E$11+1,1))</f>
        <v>320.67081032419122</v>
      </c>
      <c r="BJ110" s="62">
        <f t="shared" si="92"/>
        <v>290.51177680335746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0.28501107171251255</v>
      </c>
      <c r="BR110" s="23">
        <f>EXP(-LN(2)/2)*BR109+(1-EXP(-LN(2)/2))/(LN(2)/2)*BL110*BO110*VLOOKUP('Données projet'!$B$11,Paramètres!$A$1:$I$89,3,0)*0.475*44/12</f>
        <v>2.7709575545351577E-11</v>
      </c>
      <c r="BS110" s="24">
        <f t="shared" si="63"/>
        <v>0.28501107174022211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5.2</v>
      </c>
      <c r="BY110" s="13">
        <f>IF('Données projet'!$A$114&gt;35,BY109+BX110-CG109,IF(A110&lt;'Données projet'!$A$114,$BV$205^A110,IF(A110='Données projet'!$A$114,'Données projet'!$B$114,BY109+BX110-CG109)))</f>
        <v>397.39999999999992</v>
      </c>
      <c r="BZ110" s="14">
        <f>BY110*VLOOKUP('Données projet'!$B$12,Paramètres!$A$1:$I$89,3,0)*VLOOKUP('Données projet'!$B$12,Paramètres!$A$1:$I$89,5,0)</f>
        <v>402.96359999999993</v>
      </c>
      <c r="CA110" s="14">
        <f t="shared" si="93"/>
        <v>92.377231274033051</v>
      </c>
      <c r="CB110" s="22">
        <f t="shared" si="64"/>
        <v>862.7186144689407</v>
      </c>
      <c r="CC110" s="62">
        <f t="shared" si="65"/>
        <v>1156.0519478022741</v>
      </c>
      <c r="CD110" s="62">
        <f ca="1">AVERAGE(OFFSET($CC$3,0,0,'Données projet'!$E$12+1,1))-AVERAGE(OFFSET($H$3,0,0,'Données projet'!$E$12+1,1))</f>
        <v>587.74247372331615</v>
      </c>
      <c r="CE110" s="62">
        <f t="shared" si="94"/>
        <v>306.61893266146666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3.3974358974359005</v>
      </c>
      <c r="CT110" s="13">
        <f>IF('Données projet'!$A$140&gt;35,CT109+CS110-DB109,IF(A110&lt;'Données projet'!$A$140,$CQ$205^A110,IF(A110='Données projet'!$A$140,'Données projet'!$B$140,CT109+CS110-DB109)))</f>
        <v>282.1153846153847</v>
      </c>
      <c r="CU110" s="18">
        <f>CT110*VLOOKUP('Données projet'!$B$13,Paramètres!$A$1:$I$89,3,0)*VLOOKUP('Données projet'!$B$13,Paramètres!$A$1:$I$89,5,0)</f>
        <v>268.46100000000007</v>
      </c>
      <c r="CV110" s="14">
        <f t="shared" si="95"/>
        <v>64.522546064418151</v>
      </c>
      <c r="CW110" s="22">
        <f t="shared" si="67"/>
        <v>579.94634272886162</v>
      </c>
      <c r="CX110" s="62">
        <f t="shared" si="68"/>
        <v>873.27967606219499</v>
      </c>
      <c r="CY110" s="62">
        <f ca="1">AVERAGE(OFFSET($CX$3,0,0,'Données projet'!$E$13+1,1))-AVERAGE(OFFSET($H$3,0,0,'Données projet'!$E$13+1,1))</f>
        <v>406.24139966722936</v>
      </c>
      <c r="CZ110" s="62">
        <f t="shared" si="96"/>
        <v>295.95724296920577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6.7984728957526396E-14</v>
      </c>
      <c r="DQ110" s="14">
        <f t="shared" si="97"/>
        <v>1.0682447123141398E-12</v>
      </c>
      <c r="DR110" s="22">
        <f t="shared" si="70"/>
        <v>1.978932943548152E-12</v>
      </c>
      <c r="DS110" s="62">
        <f t="shared" si="71"/>
        <v>293.3333333333353</v>
      </c>
      <c r="DT110" s="62">
        <f ca="1">AVERAGE(OFFSET($DS$3,0,0,'Données projet'!$E$14+1,1))-AVERAGE(OFFSET($H$3,0,0,'Données projet'!$E$14+1,1))</f>
        <v>356.42779334565381</v>
      </c>
      <c r="DU110" s="62">
        <f t="shared" si="98"/>
        <v>320.06572891923685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0.46984974656084416</v>
      </c>
      <c r="EC110" s="23">
        <f>EXP(-LN(2)/2)*EC109+(1-EXP(-LN(2)/2))/(LN(2)/2)*DW110*DZ110*VLOOKUP('Données projet'!$B$14,Paramètres!$A$1:$I$89,3,0)*0.475*44/12</f>
        <v>4.3681522145611748E-11</v>
      </c>
      <c r="ED110" s="24">
        <f t="shared" si="72"/>
        <v>0.46984974660452566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-5.6843418860808015E-14</v>
      </c>
      <c r="FF110" s="18">
        <f>FE110*VLOOKUP('Données projet'!$B$16,Paramètres!$A$1:$I$89,3,0)*VLOOKUP('Données projet'!$B$16,Paramètres!$A$1:$I$89,5,0)</f>
        <v>-4.5224624045658861E-14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370.59298168107364</v>
      </c>
      <c r="FK110" s="62">
        <f t="shared" si="102"/>
        <v>404.61777090709171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5.2</v>
      </c>
      <c r="FZ110" s="13">
        <f>IF('Données projet'!$A$244&gt;35,FZ109+FY110-GH109,IF(A110&lt;'Données projet'!$A$244,$FW$205^A110,IF(A110='Données projet'!$A$244,'Données projet'!$B$244,FZ109+FY110-GH109)))</f>
        <v>397.39999999999992</v>
      </c>
      <c r="GA110" s="18">
        <f>FZ110*VLOOKUP('Données projet'!$B$17,Paramètres!$A$1:$I$89,3,0)*VLOOKUP('Données projet'!$B$17,Paramètres!$A$1:$I$89,5,0)</f>
        <v>384.36527999999993</v>
      </c>
      <c r="GB110" s="14">
        <f t="shared" si="103"/>
        <v>88.599647978223373</v>
      </c>
      <c r="GC110" s="22">
        <f t="shared" si="79"/>
        <v>823.74724956207217</v>
      </c>
      <c r="GD110" s="62">
        <f t="shared" si="80"/>
        <v>1117.0805828954055</v>
      </c>
      <c r="GE110" s="62">
        <f ca="1">AVERAGE(OFFSET($GD$3,0,0,'Données projet'!$E$17+1,1))-AVERAGE(OFFSET($H$3,0,0,'Données projet'!$E$17+1,1))</f>
        <v>562.69380557620775</v>
      </c>
      <c r="GF110" s="62">
        <f t="shared" si="104"/>
        <v>294.45557293177131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3.6538461538461489</v>
      </c>
      <c r="GU110" s="13">
        <f>IF('Données projet'!$A$270&gt;35,GU109+GT110-HC109,IF(A110&lt;'Données projet'!$A$270,$GR$205^A110,IF(A110='Données projet'!$A$270,'Données projet'!$B$270,GU109+GT110-HC109)))</f>
        <v>355.70512820512823</v>
      </c>
      <c r="GV110" s="18">
        <f>GU110*VLOOKUP('Données projet'!$B$18,Paramètres!$A$1:$I$89,3,0)*VLOOKUP('Données projet'!$B$18,Paramètres!$A$1:$I$89,5,0)</f>
        <v>238.607</v>
      </c>
      <c r="GW110" s="14">
        <f t="shared" si="105"/>
        <v>58.139718283978347</v>
      </c>
      <c r="GX110" s="22">
        <f t="shared" si="82"/>
        <v>516.83386767792888</v>
      </c>
      <c r="GY110" s="62">
        <f t="shared" si="83"/>
        <v>810.16720101126225</v>
      </c>
      <c r="GZ110" s="62">
        <f ca="1">AVERAGE(OFFSET($GY$3,0,0,'Données projet'!$E$18+1,1))-AVERAGE(OFFSET($H$3,0,0,'Données projet'!$E$18+1,1))</f>
        <v>363.53487081291541</v>
      </c>
      <c r="HA110" s="62">
        <f t="shared" si="106"/>
        <v>308.1559670593121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1074.9358094060042</v>
      </c>
      <c r="S111" s="62">
        <f ca="1">AVERAGE(OFFSET($R$3,0,0,'Données projet'!$E$9+1,1))-AVERAGE(OFFSET($H$3,0,0,'Données projet'!$E$9+1,1))</f>
        <v>529.25712986118265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5.2</v>
      </c>
      <c r="AI111" s="14">
        <f>IF('Données projet'!$A$62&gt;35,AI110+AH111-AQ110,IF(A111&lt;'Données projet'!$A$62,$AF$205^A111,IF(A111='Données projet'!$A$62,'Données projet'!$B$62,AI110+AH111-AQ110)))</f>
        <v>402.59999999999991</v>
      </c>
      <c r="AJ111" s="14">
        <f>AI111*VLOOKUP('Données projet'!$B$10,Paramètres!$A$1:$I$89,3,0)*VLOOKUP('Données projet'!$B$10,Paramètres!$A$1:$I$89,5,0)</f>
        <v>339.15023999999994</v>
      </c>
      <c r="AK111" s="14">
        <f t="shared" si="89"/>
        <v>79.324355064275281</v>
      </c>
      <c r="AL111" s="22">
        <f t="shared" si="58"/>
        <v>728.84325307027939</v>
      </c>
      <c r="AM111" s="62">
        <f t="shared" si="59"/>
        <v>1022.1765864036126</v>
      </c>
      <c r="AN111" s="62">
        <f ca="1">AVERAGE(OFFSET($AM$3,0,0,'Données projet'!$E$10+1,1))-AVERAGE(OFFSET($H$3,0,0,'Données projet'!$E$10+1,1))</f>
        <v>495.77338291316386</v>
      </c>
      <c r="AO111" s="62">
        <f t="shared" si="90"/>
        <v>261.95434270986397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1.1380052455933766E-13</v>
      </c>
      <c r="BF111" s="14">
        <f t="shared" si="91"/>
        <v>1.6840738663456724E-12</v>
      </c>
      <c r="BG111" s="22">
        <f t="shared" si="61"/>
        <v>3.1312978974928925E-12</v>
      </c>
      <c r="BH111" s="62">
        <f t="shared" si="62"/>
        <v>293.33333333333644</v>
      </c>
      <c r="BI111" s="62">
        <f ca="1">AVERAGE(OFFSET($BH$3,0,0,'Données projet'!$E$11+1,1))-AVERAGE(OFFSET($H$3,0,0,'Données projet'!$E$11+1,1))</f>
        <v>320.67081032419122</v>
      </c>
      <c r="BJ111" s="62">
        <f t="shared" si="92"/>
        <v>290.51177680335746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0.27721742896845303</v>
      </c>
      <c r="BR111" s="23">
        <f>EXP(-LN(2)/2)*BR110+(1-EXP(-LN(2)/2))/(LN(2)/2)*BL111*BO111*VLOOKUP('Données projet'!$B$11,Paramètres!$A$1:$I$89,3,0)*0.475*44/12</f>
        <v>1.9593628771919026E-11</v>
      </c>
      <c r="BS111" s="24">
        <f t="shared" si="63"/>
        <v>0.27721742898804663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5.2</v>
      </c>
      <c r="BY111" s="13">
        <f>IF('Données projet'!$A$114&gt;35,BY110+BX111-CG110,IF(A111&lt;'Données projet'!$A$114,$BV$205^A111,IF(A111='Données projet'!$A$114,'Données projet'!$B$114,BY110+BX111-CG110)))</f>
        <v>402.59999999999991</v>
      </c>
      <c r="BZ111" s="14">
        <f>BY111*VLOOKUP('Données projet'!$B$12,Paramètres!$A$1:$I$89,3,0)*VLOOKUP('Données projet'!$B$12,Paramètres!$A$1:$I$89,5,0)</f>
        <v>408.23639999999995</v>
      </c>
      <c r="CA111" s="14">
        <f t="shared" si="93"/>
        <v>93.444483003287701</v>
      </c>
      <c r="CB111" s="22">
        <f t="shared" si="64"/>
        <v>873.76087123072591</v>
      </c>
      <c r="CC111" s="62">
        <f t="shared" si="65"/>
        <v>1167.0942045640593</v>
      </c>
      <c r="CD111" s="62">
        <f ca="1">AVERAGE(OFFSET($CC$3,0,0,'Données projet'!$E$12+1,1))-AVERAGE(OFFSET($H$3,0,0,'Données projet'!$E$12+1,1))</f>
        <v>587.74247372331615</v>
      </c>
      <c r="CE111" s="62">
        <f t="shared" si="94"/>
        <v>306.61893266146666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3.3974358974359005</v>
      </c>
      <c r="CT111" s="13">
        <f>IF('Données projet'!$A$140&gt;35,CT110+CS111-DB110,IF(A111&lt;'Données projet'!$A$140,$CQ$205^A111,IF(A111='Données projet'!$A$140,'Données projet'!$B$140,CT110+CS111-DB110)))</f>
        <v>285.51282051282061</v>
      </c>
      <c r="CU111" s="18">
        <f>CT111*VLOOKUP('Données projet'!$B$13,Paramètres!$A$1:$I$89,3,0)*VLOOKUP('Données projet'!$B$13,Paramètres!$A$1:$I$89,5,0)</f>
        <v>271.69400000000007</v>
      </c>
      <c r="CV111" s="14">
        <f t="shared" si="95"/>
        <v>65.208647871703889</v>
      </c>
      <c r="CW111" s="22">
        <f t="shared" si="67"/>
        <v>586.77211170988437</v>
      </c>
      <c r="CX111" s="62">
        <f t="shared" si="68"/>
        <v>880.10544504321774</v>
      </c>
      <c r="CY111" s="62">
        <f ca="1">AVERAGE(OFFSET($CX$3,0,0,'Données projet'!$E$13+1,1))-AVERAGE(OFFSET($H$3,0,0,'Données projet'!$E$13+1,1))</f>
        <v>406.24139966722936</v>
      </c>
      <c r="CZ111" s="62">
        <f t="shared" si="96"/>
        <v>295.95724296920577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6.7984728957526396E-14</v>
      </c>
      <c r="DQ111" s="14">
        <f t="shared" si="97"/>
        <v>1.0682447123141398E-12</v>
      </c>
      <c r="DR111" s="22">
        <f t="shared" si="70"/>
        <v>1.978932943548152E-12</v>
      </c>
      <c r="DS111" s="62">
        <f t="shared" si="71"/>
        <v>293.3333333333353</v>
      </c>
      <c r="DT111" s="62">
        <f ca="1">AVERAGE(OFFSET($DS$3,0,0,'Données projet'!$E$14+1,1))-AVERAGE(OFFSET($H$3,0,0,'Données projet'!$E$14+1,1))</f>
        <v>356.42779334565381</v>
      </c>
      <c r="DU111" s="62">
        <f t="shared" si="98"/>
        <v>320.06572891923685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0.45700168053281354</v>
      </c>
      <c r="EC111" s="23">
        <f>EXP(-LN(2)/2)*EC110+(1-EXP(-LN(2)/2))/(LN(2)/2)*DW111*DZ111*VLOOKUP('Données projet'!$B$14,Paramètres!$A$1:$I$89,3,0)*0.475*44/12</f>
        <v>3.0887500521712416E-11</v>
      </c>
      <c r="ED111" s="24">
        <f t="shared" si="72"/>
        <v>0.45700168056370105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-5.6843418860808015E-14</v>
      </c>
      <c r="FF111" s="18">
        <f>FE111*VLOOKUP('Données projet'!$B$16,Paramètres!$A$1:$I$89,3,0)*VLOOKUP('Données projet'!$B$16,Paramètres!$A$1:$I$89,5,0)</f>
        <v>-4.5224624045658861E-14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370.59298168107364</v>
      </c>
      <c r="FK111" s="62">
        <f t="shared" si="102"/>
        <v>404.61777090709171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5.2</v>
      </c>
      <c r="FZ111" s="13">
        <f>IF('Données projet'!$A$244&gt;35,FZ110+FY111-GH110,IF(A111&lt;'Données projet'!$A$244,$FW$205^A111,IF(A111='Données projet'!$A$244,'Données projet'!$B$244,FZ110+FY111-GH110)))</f>
        <v>402.59999999999991</v>
      </c>
      <c r="GA111" s="18">
        <f>FZ111*VLOOKUP('Données projet'!$B$17,Paramètres!$A$1:$I$89,3,0)*VLOOKUP('Données projet'!$B$17,Paramètres!$A$1:$I$89,5,0)</f>
        <v>389.39471999999989</v>
      </c>
      <c r="GB111" s="14">
        <f t="shared" si="103"/>
        <v>89.623256568911799</v>
      </c>
      <c r="GC111" s="22">
        <f t="shared" si="79"/>
        <v>834.28964252418791</v>
      </c>
      <c r="GD111" s="62">
        <f t="shared" si="80"/>
        <v>1127.6229758575212</v>
      </c>
      <c r="GE111" s="62">
        <f ca="1">AVERAGE(OFFSET($GD$3,0,0,'Données projet'!$E$17+1,1))-AVERAGE(OFFSET($H$3,0,0,'Données projet'!$E$17+1,1))</f>
        <v>562.69380557620775</v>
      </c>
      <c r="GF111" s="62">
        <f t="shared" si="104"/>
        <v>294.45557293177131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3.6538461538461489</v>
      </c>
      <c r="GU111" s="13">
        <f>IF('Données projet'!$A$270&gt;35,GU110+GT111-HC110,IF(A111&lt;'Données projet'!$A$270,$GR$205^A111,IF(A111='Données projet'!$A$270,'Données projet'!$B$270,GU110+GT111-HC110)))</f>
        <v>359.35897435897436</v>
      </c>
      <c r="GV111" s="18">
        <f>GU111*VLOOKUP('Données projet'!$B$18,Paramètres!$A$1:$I$89,3,0)*VLOOKUP('Données projet'!$B$18,Paramètres!$A$1:$I$89,5,0)</f>
        <v>241.05799999999999</v>
      </c>
      <c r="GW111" s="14">
        <f t="shared" si="105"/>
        <v>58.667106028853908</v>
      </c>
      <c r="GX111" s="22">
        <f t="shared" si="82"/>
        <v>522.02122633358715</v>
      </c>
      <c r="GY111" s="62">
        <f t="shared" si="83"/>
        <v>815.35455966692052</v>
      </c>
      <c r="GZ111" s="62">
        <f ca="1">AVERAGE(OFFSET($GY$3,0,0,'Données projet'!$E$18+1,1))-AVERAGE(OFFSET($H$3,0,0,'Données projet'!$E$18+1,1))</f>
        <v>363.53487081291541</v>
      </c>
      <c r="HA111" s="62">
        <f t="shared" si="106"/>
        <v>308.1559670593121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1084.8085199482491</v>
      </c>
      <c r="S112" s="62">
        <f ca="1">AVERAGE(OFFSET($R$3,0,0,'Données projet'!$E$9+1,1))-AVERAGE(OFFSET($H$3,0,0,'Données projet'!$E$9+1,1))</f>
        <v>529.25712986118265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5.2</v>
      </c>
      <c r="AI112" s="14">
        <f>IF('Données projet'!$A$62&gt;35,AI111+AH112-AQ111,IF(A112&lt;'Données projet'!$A$62,$AF$205^A112,IF(A112='Données projet'!$A$62,'Données projet'!$B$62,AI111+AH112-AQ111)))</f>
        <v>407.7999999999999</v>
      </c>
      <c r="AJ112" s="14">
        <f>AI112*VLOOKUP('Données projet'!$B$10,Paramètres!$A$1:$I$89,3,0)*VLOOKUP('Données projet'!$B$10,Paramètres!$A$1:$I$89,5,0)</f>
        <v>343.53071999999997</v>
      </c>
      <c r="AK112" s="14">
        <f t="shared" si="89"/>
        <v>80.228976348669505</v>
      </c>
      <c r="AL112" s="22">
        <f t="shared" si="58"/>
        <v>738.0481378072659</v>
      </c>
      <c r="AM112" s="62">
        <f t="shared" si="59"/>
        <v>1031.3814711405992</v>
      </c>
      <c r="AN112" s="62">
        <f ca="1">AVERAGE(OFFSET($AM$3,0,0,'Données projet'!$E$10+1,1))-AVERAGE(OFFSET($H$3,0,0,'Données projet'!$E$10+1,1))</f>
        <v>495.77338291316386</v>
      </c>
      <c r="AO112" s="62">
        <f t="shared" si="90"/>
        <v>261.95434270986397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1.1380052455933766E-13</v>
      </c>
      <c r="BF112" s="14">
        <f t="shared" si="91"/>
        <v>1.6840738663456724E-12</v>
      </c>
      <c r="BG112" s="22">
        <f t="shared" si="61"/>
        <v>3.1312978974928925E-12</v>
      </c>
      <c r="BH112" s="62">
        <f t="shared" si="62"/>
        <v>293.33333333333644</v>
      </c>
      <c r="BI112" s="62">
        <f ca="1">AVERAGE(OFFSET($BH$3,0,0,'Données projet'!$E$11+1,1))-AVERAGE(OFFSET($H$3,0,0,'Données projet'!$E$11+1,1))</f>
        <v>320.67081032419122</v>
      </c>
      <c r="BJ112" s="62">
        <f t="shared" si="92"/>
        <v>290.51177680335746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0.26963690379507965</v>
      </c>
      <c r="BR112" s="23">
        <f>EXP(-LN(2)/2)*BR111+(1-EXP(-LN(2)/2))/(LN(2)/2)*BL112*BO112*VLOOKUP('Données projet'!$B$11,Paramètres!$A$1:$I$89,3,0)*0.475*44/12</f>
        <v>1.3854787772675789E-11</v>
      </c>
      <c r="BS112" s="24">
        <f t="shared" si="63"/>
        <v>0.26963690380893446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5.2</v>
      </c>
      <c r="BY112" s="13">
        <f>IF('Données projet'!$A$114&gt;35,BY111+BX112-CG111,IF(A112&lt;'Données projet'!$A$114,$BV$205^A112,IF(A112='Données projet'!$A$114,'Données projet'!$B$114,BY111+BX112-CG111)))</f>
        <v>407.7999999999999</v>
      </c>
      <c r="BZ112" s="14">
        <f>BY112*VLOOKUP('Données projet'!$B$12,Paramètres!$A$1:$I$89,3,0)*VLOOKUP('Données projet'!$B$12,Paramètres!$A$1:$I$89,5,0)</f>
        <v>413.50919999999991</v>
      </c>
      <c r="CA112" s="14">
        <f t="shared" si="93"/>
        <v>94.510131355114737</v>
      </c>
      <c r="CB112" s="22">
        <f t="shared" si="64"/>
        <v>884.80033544349135</v>
      </c>
      <c r="CC112" s="62">
        <f t="shared" si="65"/>
        <v>1178.1336687768246</v>
      </c>
      <c r="CD112" s="62">
        <f ca="1">AVERAGE(OFFSET($CC$3,0,0,'Données projet'!$E$12+1,1))-AVERAGE(OFFSET($H$3,0,0,'Données projet'!$E$12+1,1))</f>
        <v>587.74247372331615</v>
      </c>
      <c r="CE112" s="62">
        <f t="shared" si="94"/>
        <v>306.61893266146666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3.3974358974359005</v>
      </c>
      <c r="CT112" s="13">
        <f>IF('Données projet'!$A$140&gt;35,CT111+CS112-DB111,IF(A112&lt;'Données projet'!$A$140,$CQ$205^A112,IF(A112='Données projet'!$A$140,'Données projet'!$B$140,CT111+CS112-DB111)))</f>
        <v>288.91025641025652</v>
      </c>
      <c r="CU112" s="18">
        <f>CT112*VLOOKUP('Données projet'!$B$13,Paramètres!$A$1:$I$89,3,0)*VLOOKUP('Données projet'!$B$13,Paramètres!$A$1:$I$89,5,0)</f>
        <v>274.92700000000013</v>
      </c>
      <c r="CV112" s="14">
        <f t="shared" si="95"/>
        <v>65.893799998961399</v>
      </c>
      <c r="CW112" s="22">
        <f t="shared" si="67"/>
        <v>593.59622666485791</v>
      </c>
      <c r="CX112" s="62">
        <f t="shared" si="68"/>
        <v>886.92955999819128</v>
      </c>
      <c r="CY112" s="62">
        <f ca="1">AVERAGE(OFFSET($CX$3,0,0,'Données projet'!$E$13+1,1))-AVERAGE(OFFSET($H$3,0,0,'Données projet'!$E$13+1,1))</f>
        <v>406.24139966722936</v>
      </c>
      <c r="CZ112" s="62">
        <f t="shared" si="96"/>
        <v>295.95724296920577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6.7984728957526396E-14</v>
      </c>
      <c r="DQ112" s="14">
        <f t="shared" si="97"/>
        <v>1.0682447123141398E-12</v>
      </c>
      <c r="DR112" s="22">
        <f t="shared" si="70"/>
        <v>1.978932943548152E-12</v>
      </c>
      <c r="DS112" s="62">
        <f t="shared" si="71"/>
        <v>293.3333333333353</v>
      </c>
      <c r="DT112" s="62">
        <f ca="1">AVERAGE(OFFSET($DS$3,0,0,'Données projet'!$E$14+1,1))-AVERAGE(OFFSET($H$3,0,0,'Données projet'!$E$14+1,1))</f>
        <v>356.42779334565381</v>
      </c>
      <c r="DU112" s="62">
        <f t="shared" si="98"/>
        <v>320.06572891923685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0.44450494554596987</v>
      </c>
      <c r="EC112" s="23">
        <f>EXP(-LN(2)/2)*EC111+(1-EXP(-LN(2)/2))/(LN(2)/2)*DW112*DZ112*VLOOKUP('Données projet'!$B$14,Paramètres!$A$1:$I$89,3,0)*0.475*44/12</f>
        <v>2.1840761072805874E-11</v>
      </c>
      <c r="ED112" s="24">
        <f t="shared" si="72"/>
        <v>0.44450494556781062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-5.6843418860808015E-14</v>
      </c>
      <c r="FF112" s="18">
        <f>FE112*VLOOKUP('Données projet'!$B$16,Paramètres!$A$1:$I$89,3,0)*VLOOKUP('Données projet'!$B$16,Paramètres!$A$1:$I$89,5,0)</f>
        <v>-4.5224624045658861E-14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370.59298168107364</v>
      </c>
      <c r="FK112" s="62">
        <f t="shared" si="102"/>
        <v>404.61777090709171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5.2</v>
      </c>
      <c r="FZ112" s="13">
        <f>IF('Données projet'!$A$244&gt;35,FZ111+FY112-GH111,IF(A112&lt;'Données projet'!$A$244,$FW$205^A112,IF(A112='Données projet'!$A$244,'Données projet'!$B$244,FZ111+FY112-GH111)))</f>
        <v>407.7999999999999</v>
      </c>
      <c r="GA112" s="18">
        <f>FZ112*VLOOKUP('Données projet'!$B$17,Paramètres!$A$1:$I$89,3,0)*VLOOKUP('Données projet'!$B$17,Paramètres!$A$1:$I$89,5,0)</f>
        <v>394.42415999999992</v>
      </c>
      <c r="GB112" s="14">
        <f t="shared" si="103"/>
        <v>90.645327349106196</v>
      </c>
      <c r="GC112" s="22">
        <f t="shared" si="79"/>
        <v>844.82935713302641</v>
      </c>
      <c r="GD112" s="62">
        <f t="shared" si="80"/>
        <v>1138.1626904663597</v>
      </c>
      <c r="GE112" s="62">
        <f ca="1">AVERAGE(OFFSET($GD$3,0,0,'Données projet'!$E$17+1,1))-AVERAGE(OFFSET($H$3,0,0,'Données projet'!$E$17+1,1))</f>
        <v>562.69380557620775</v>
      </c>
      <c r="GF112" s="62">
        <f t="shared" si="104"/>
        <v>294.45557293177131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3.6538461538461489</v>
      </c>
      <c r="GU112" s="13">
        <f>IF('Données projet'!$A$270&gt;35,GU111+GT112-HC111,IF(A112&lt;'Données projet'!$A$270,$GR$205^A112,IF(A112='Données projet'!$A$270,'Données projet'!$B$270,GU111+GT112-HC111)))</f>
        <v>363.0128205128205</v>
      </c>
      <c r="GV112" s="18">
        <f>GU112*VLOOKUP('Données projet'!$B$18,Paramètres!$A$1:$I$89,3,0)*VLOOKUP('Données projet'!$B$18,Paramètres!$A$1:$I$89,5,0)</f>
        <v>243.50900000000001</v>
      </c>
      <c r="GW112" s="14">
        <f t="shared" si="105"/>
        <v>59.193869958866358</v>
      </c>
      <c r="GX112" s="22">
        <f t="shared" si="82"/>
        <v>527.20749851169228</v>
      </c>
      <c r="GY112" s="62">
        <f t="shared" si="83"/>
        <v>820.54083184502565</v>
      </c>
      <c r="GZ112" s="62">
        <f ca="1">AVERAGE(OFFSET($GY$3,0,0,'Données projet'!$E$18+1,1))-AVERAGE(OFFSET($H$3,0,0,'Données projet'!$E$18+1,1))</f>
        <v>363.53487081291541</v>
      </c>
      <c r="HA112" s="62">
        <f t="shared" si="106"/>
        <v>308.1559670593121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1094.6787413295594</v>
      </c>
      <c r="S113" s="62">
        <f ca="1">AVERAGE(OFFSET($R$3,0,0,'Données projet'!$E$9+1,1))-AVERAGE(OFFSET($H$3,0,0,'Données projet'!$E$9+1,1))</f>
        <v>529.25712986118265</v>
      </c>
      <c r="T113" s="62">
        <f t="shared" si="88"/>
        <v>278.21741231699929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413</v>
      </c>
      <c r="AG113" s="13">
        <f>VLOOKUP(A113,'Données projet'!$A$61:$I$81,9,0)</f>
        <v>5.2</v>
      </c>
      <c r="AH113" s="13">
        <f t="array" ref="AH113">INDEX(AG:AG,MIN(IF(ISNUMBER(AG113:AG309),ROW(AG113:AG309),"")))</f>
        <v>5.2</v>
      </c>
      <c r="AI113" s="14">
        <f>IF('Données projet'!$A$62&gt;35,AI112+AH113-AQ112,IF(A113&lt;'Données projet'!$A$62,$AF$205^A113,IF(A113='Données projet'!$A$62,'Données projet'!$B$62,AI112+AH113-AQ112)))</f>
        <v>412.99999999999989</v>
      </c>
      <c r="AJ113" s="14">
        <f>AI113*VLOOKUP('Données projet'!$B$10,Paramètres!$A$1:$I$89,3,0)*VLOOKUP('Données projet'!$B$10,Paramètres!$A$1:$I$89,5,0)</f>
        <v>347.91119999999995</v>
      </c>
      <c r="AK113" s="14">
        <f t="shared" si="89"/>
        <v>81.132255900106884</v>
      </c>
      <c r="AL113" s="22">
        <f t="shared" si="58"/>
        <v>747.25068569268603</v>
      </c>
      <c r="AM113" s="62">
        <f t="shared" si="59"/>
        <v>1040.5840190260194</v>
      </c>
      <c r="AN113" s="62">
        <f ca="1">AVERAGE(OFFSET($AM$3,0,0,'Données projet'!$E$10+1,1))-AVERAGE(OFFSET($H$3,0,0,'Données projet'!$E$10+1,1))</f>
        <v>495.77338291316386</v>
      </c>
      <c r="AO113" s="62">
        <f t="shared" si="90"/>
        <v>261.95434270986397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106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1.1380052455933766E-13</v>
      </c>
      <c r="BF113" s="14">
        <f t="shared" si="91"/>
        <v>1.6840738663456724E-12</v>
      </c>
      <c r="BG113" s="22">
        <f t="shared" si="61"/>
        <v>3.1312978974928925E-12</v>
      </c>
      <c r="BH113" s="62">
        <f t="shared" si="62"/>
        <v>293.33333333333644</v>
      </c>
      <c r="BI113" s="62">
        <f ca="1">AVERAGE(OFFSET($BH$3,0,0,'Données projet'!$E$11+1,1))-AVERAGE(OFFSET($H$3,0,0,'Données projet'!$E$11+1,1))</f>
        <v>320.67081032419122</v>
      </c>
      <c r="BJ113" s="62">
        <f t="shared" si="92"/>
        <v>290.51177680335746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0.26226366848121468</v>
      </c>
      <c r="BR113" s="23">
        <f>EXP(-LN(2)/2)*BR112+(1-EXP(-LN(2)/2))/(LN(2)/2)*BL113*BO113*VLOOKUP('Données projet'!$B$11,Paramètres!$A$1:$I$89,3,0)*0.475*44/12</f>
        <v>9.7968143859595129E-12</v>
      </c>
      <c r="BS113" s="24">
        <f t="shared" si="63"/>
        <v>0.26226366849101151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413</v>
      </c>
      <c r="BW113" s="13">
        <f>VLOOKUP(A113,'Données projet'!$A$113:$I$133,9,0)</f>
        <v>5.2</v>
      </c>
      <c r="BX113" s="13">
        <f t="array" ref="BX113">INDEX(BW:BW,MIN(IF(ISNUMBER(BW113:BW309),ROW(BW113:BW309),"")))</f>
        <v>5.2</v>
      </c>
      <c r="BY113" s="13">
        <f>IF('Données projet'!$A$114&gt;35,BY112+BX113-CG112,IF(A113&lt;'Données projet'!$A$114,$BV$205^A113,IF(A113='Données projet'!$A$114,'Données projet'!$B$114,BY112+BX113-CG112)))</f>
        <v>412.99999999999989</v>
      </c>
      <c r="BZ113" s="14">
        <f>BY113*VLOOKUP('Données projet'!$B$12,Paramètres!$A$1:$I$89,3,0)*VLOOKUP('Données projet'!$B$12,Paramètres!$A$1:$I$89,5,0)</f>
        <v>418.78199999999993</v>
      </c>
      <c r="CA113" s="14">
        <f t="shared" si="93"/>
        <v>95.574199138875656</v>
      </c>
      <c r="CB113" s="22">
        <f t="shared" si="64"/>
        <v>895.83704683354154</v>
      </c>
      <c r="CC113" s="62">
        <f t="shared" si="65"/>
        <v>1189.1703801668748</v>
      </c>
      <c r="CD113" s="62">
        <f ca="1">AVERAGE(OFFSET($CC$3,0,0,'Données projet'!$E$12+1,1))-AVERAGE(OFFSET($H$3,0,0,'Données projet'!$E$12+1,1))</f>
        <v>587.74247372331615</v>
      </c>
      <c r="CE113" s="62">
        <f t="shared" si="94"/>
        <v>306.61893266146666</v>
      </c>
      <c r="CF113" s="16">
        <f>IF(ISNA(VLOOKUP(A113,'Données projet'!$A$113:$I$133,3,0)),0,VLOOKUP(A113,'Données projet'!$A$113:$I$133,3,0))</f>
        <v>8</v>
      </c>
      <c r="CG113" s="16">
        <f>IF(ISNA(VLOOKUP(A113,'Données projet'!$A$113:$I$133,4,0)),0,VLOOKUP(A113,'Données projet'!$A$113:$I$133,4,0))</f>
        <v>106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292.30769230769232</v>
      </c>
      <c r="CR113" s="13">
        <f>VLOOKUP(A113,'Données projet'!$A$139:$I$159,9,0)</f>
        <v>3.3974358974359005</v>
      </c>
      <c r="CS113" s="13">
        <f t="array" ref="CS113">INDEX(CR:CR,MIN(IF(ISNUMBER(CR113:CR309),ROW(CR113:CR309),"")))</f>
        <v>3.3974358974359005</v>
      </c>
      <c r="CT113" s="13">
        <f>IF('Données projet'!$A$140&gt;35,CT112+CS113-DB112,IF(A113&lt;'Données projet'!$A$140,$CQ$205^A113,IF(A113='Données projet'!$A$140,'Données projet'!$B$140,CT112+CS113-DB112)))</f>
        <v>292.30769230769243</v>
      </c>
      <c r="CU113" s="18">
        <f>CT113*VLOOKUP('Données projet'!$B$13,Paramètres!$A$1:$I$89,3,0)*VLOOKUP('Données projet'!$B$13,Paramètres!$A$1:$I$89,5,0)</f>
        <v>278.16000000000014</v>
      </c>
      <c r="CV113" s="14">
        <f t="shared" si="95"/>
        <v>66.578014905913179</v>
      </c>
      <c r="CW113" s="22">
        <f t="shared" si="67"/>
        <v>600.41870929446566</v>
      </c>
      <c r="CX113" s="62">
        <f t="shared" si="68"/>
        <v>893.75204262779903</v>
      </c>
      <c r="CY113" s="62">
        <f ca="1">AVERAGE(OFFSET($CX$3,0,0,'Données projet'!$E$13+1,1))-AVERAGE(OFFSET($H$3,0,0,'Données projet'!$E$13+1,1))</f>
        <v>406.24139966722936</v>
      </c>
      <c r="CZ113" s="62">
        <f t="shared" si="96"/>
        <v>295.95724296920577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37.820512820512818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6.7984728957526396E-14</v>
      </c>
      <c r="DQ113" s="14">
        <f t="shared" si="97"/>
        <v>1.0682447123141398E-12</v>
      </c>
      <c r="DR113" s="22">
        <f t="shared" si="70"/>
        <v>1.978932943548152E-12</v>
      </c>
      <c r="DS113" s="62">
        <f t="shared" si="71"/>
        <v>293.3333333333353</v>
      </c>
      <c r="DT113" s="62">
        <f ca="1">AVERAGE(OFFSET($DS$3,0,0,'Données projet'!$E$14+1,1))-AVERAGE(OFFSET($H$3,0,0,'Données projet'!$E$14+1,1))</f>
        <v>356.42779334565381</v>
      </c>
      <c r="DU113" s="62">
        <f t="shared" si="98"/>
        <v>320.06572891923685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0.43234993443451614</v>
      </c>
      <c r="EC113" s="23">
        <f>EXP(-LN(2)/2)*EC112+(1-EXP(-LN(2)/2))/(LN(2)/2)*DW113*DZ113*VLOOKUP('Données projet'!$B$14,Paramètres!$A$1:$I$89,3,0)*0.475*44/12</f>
        <v>1.5443750260856208E-11</v>
      </c>
      <c r="ED113" s="24">
        <f t="shared" si="72"/>
        <v>0.43234993444995989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-5.6843418860808015E-14</v>
      </c>
      <c r="FF113" s="18">
        <f>FE113*VLOOKUP('Données projet'!$B$16,Paramètres!$A$1:$I$89,3,0)*VLOOKUP('Données projet'!$B$16,Paramètres!$A$1:$I$89,5,0)</f>
        <v>-4.5224624045658861E-14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370.59298168107364</v>
      </c>
      <c r="FK113" s="62">
        <f t="shared" si="102"/>
        <v>404.61777090709171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413</v>
      </c>
      <c r="FX113" s="13">
        <f>VLOOKUP(A113,'Données projet'!$A$243:$I$263,9,0)</f>
        <v>5.2</v>
      </c>
      <c r="FY113" s="13">
        <f t="array" ref="FY113">INDEX(FX:FX,MIN(IF(ISNUMBER(FX113:FX309),ROW(FX113:FX309),"")))</f>
        <v>5.2</v>
      </c>
      <c r="FZ113" s="13">
        <f>IF('Données projet'!$A$244&gt;35,FZ112+FY113-GH112,IF(A113&lt;'Données projet'!$A$244,$FW$205^A113,IF(A113='Données projet'!$A$244,'Données projet'!$B$244,FZ112+FY113-GH112)))</f>
        <v>412.99999999999989</v>
      </c>
      <c r="GA113" s="18">
        <f>FZ113*VLOOKUP('Données projet'!$B$17,Paramètres!$A$1:$I$89,3,0)*VLOOKUP('Données projet'!$B$17,Paramètres!$A$1:$I$89,5,0)</f>
        <v>399.45359999999994</v>
      </c>
      <c r="GB113" s="14">
        <f t="shared" si="103"/>
        <v>91.665882195424544</v>
      </c>
      <c r="GC113" s="22">
        <f t="shared" si="79"/>
        <v>855.36643149036433</v>
      </c>
      <c r="GD113" s="62">
        <f t="shared" si="80"/>
        <v>1148.6997648236977</v>
      </c>
      <c r="GE113" s="62">
        <f ca="1">AVERAGE(OFFSET($GD$3,0,0,'Données projet'!$E$17+1,1))-AVERAGE(OFFSET($H$3,0,0,'Données projet'!$E$17+1,1))</f>
        <v>562.69380557620775</v>
      </c>
      <c r="GF113" s="62">
        <f t="shared" si="104"/>
        <v>294.45557293177131</v>
      </c>
      <c r="GG113" s="16">
        <f>IF(ISNA(VLOOKUP(A113,'Données projet'!$A$243:$I$263,3,0)),0,VLOOKUP(A113,'Données projet'!$A$243:$I$263,3,0))</f>
        <v>8</v>
      </c>
      <c r="GH113" s="16">
        <f>IF(ISNA(VLOOKUP(A113,'Données projet'!$A$243:$I$263,4,0)),0,VLOOKUP(A113,'Données projet'!$A$243:$I$263,4,0))</f>
        <v>106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366.66666666666663</v>
      </c>
      <c r="GS113" s="13">
        <f>VLOOKUP(A113,'Données projet'!$A$269:$I$289,9,0)</f>
        <v>3.6538461538461489</v>
      </c>
      <c r="GT113" s="13">
        <f t="array" ref="GT113">INDEX(GS:GS,MIN(IF(ISNUMBER(GS113:GS309),ROW(GS113:GS309),"")))</f>
        <v>3.6538461538461489</v>
      </c>
      <c r="GU113" s="13">
        <f>IF('Données projet'!$A$270&gt;35,GU112+GT113-HC112,IF(A113&lt;'Données projet'!$A$270,$GR$205^A113,IF(A113='Données projet'!$A$270,'Données projet'!$B$270,GU112+GT113-HC112)))</f>
        <v>366.66666666666663</v>
      </c>
      <c r="GV113" s="18">
        <f>GU113*VLOOKUP('Données projet'!$B$18,Paramètres!$A$1:$I$89,3,0)*VLOOKUP('Données projet'!$B$18,Paramètres!$A$1:$I$89,5,0)</f>
        <v>245.95999999999998</v>
      </c>
      <c r="GW113" s="14">
        <f t="shared" si="105"/>
        <v>59.7200170799197</v>
      </c>
      <c r="GX113" s="22">
        <f t="shared" si="82"/>
        <v>532.39269641419344</v>
      </c>
      <c r="GY113" s="62">
        <f t="shared" si="83"/>
        <v>825.72602974752681</v>
      </c>
      <c r="GZ113" s="62">
        <f ca="1">AVERAGE(OFFSET($GY$3,0,0,'Données projet'!$E$18+1,1))-AVERAGE(OFFSET($H$3,0,0,'Données projet'!$E$18+1,1))</f>
        <v>363.53487081291541</v>
      </c>
      <c r="HA113" s="62">
        <f t="shared" si="106"/>
        <v>308.1559670593121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366.66666666666663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901.52682274780091</v>
      </c>
      <c r="S114" s="62">
        <f ca="1">AVERAGE(OFFSET($R$3,0,0,'Données projet'!$E$9+1,1))-AVERAGE(OFFSET($H$3,0,0,'Données projet'!$E$9+1,1))</f>
        <v>529.25712986118265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311.49999999999989</v>
      </c>
      <c r="AJ114" s="14">
        <f>AI114*VLOOKUP('Données projet'!$B$10,Paramètres!$A$1:$I$89,3,0)*VLOOKUP('Données projet'!$B$10,Paramètres!$A$1:$I$89,5,0)</f>
        <v>262.40759999999995</v>
      </c>
      <c r="AK114" s="14">
        <f t="shared" si="89"/>
        <v>63.23530534975442</v>
      </c>
      <c r="AL114" s="22">
        <f t="shared" si="58"/>
        <v>567.16139348415538</v>
      </c>
      <c r="AM114" s="62">
        <f t="shared" si="59"/>
        <v>860.49472681748875</v>
      </c>
      <c r="AN114" s="62">
        <f ca="1">AVERAGE(OFFSET($AM$3,0,0,'Données projet'!$E$10+1,1))-AVERAGE(OFFSET($H$3,0,0,'Données projet'!$E$10+1,1))</f>
        <v>495.77338291316386</v>
      </c>
      <c r="AO114" s="62">
        <f t="shared" si="90"/>
        <v>261.95434270986397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1.1380052455933766E-13</v>
      </c>
      <c r="BF114" s="14">
        <f t="shared" si="91"/>
        <v>1.6840738663456724E-12</v>
      </c>
      <c r="BG114" s="22">
        <f t="shared" si="61"/>
        <v>3.1312978974928925E-12</v>
      </c>
      <c r="BH114" s="62">
        <f t="shared" si="62"/>
        <v>293.33333333333644</v>
      </c>
      <c r="BI114" s="62">
        <f ca="1">AVERAGE(OFFSET($BH$3,0,0,'Données projet'!$E$11+1,1))-AVERAGE(OFFSET($H$3,0,0,'Données projet'!$E$11+1,1))</f>
        <v>320.67081032419122</v>
      </c>
      <c r="BJ114" s="62">
        <f t="shared" si="92"/>
        <v>290.51177680335746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0.25509205467474894</v>
      </c>
      <c r="BR114" s="23">
        <f>EXP(-LN(2)/2)*BR113+(1-EXP(-LN(2)/2))/(LN(2)/2)*BL114*BO114*VLOOKUP('Données projet'!$B$11,Paramètres!$A$1:$I$89,3,0)*0.475*44/12</f>
        <v>6.9273938863378943E-12</v>
      </c>
      <c r="BS114" s="24">
        <f t="shared" si="63"/>
        <v>0.25509205468167634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</v>
      </c>
      <c r="BY114" s="13">
        <f>IF('Données projet'!$A$114&gt;35,BY113+BX114-CG113,IF(A114&lt;'Données projet'!$A$114,$BV$205^A114,IF(A114='Données projet'!$A$114,'Données projet'!$B$114,BY113+BX114-CG113)))</f>
        <v>311.49999999999989</v>
      </c>
      <c r="BZ114" s="14">
        <f>BY114*VLOOKUP('Données projet'!$B$12,Paramètres!$A$1:$I$89,3,0)*VLOOKUP('Données projet'!$B$12,Paramètres!$A$1:$I$89,5,0)</f>
        <v>315.86099999999993</v>
      </c>
      <c r="CA114" s="14">
        <f t="shared" si="93"/>
        <v>74.491502782151414</v>
      </c>
      <c r="CB114" s="22">
        <f t="shared" si="64"/>
        <v>679.86394234558031</v>
      </c>
      <c r="CC114" s="62">
        <f t="shared" si="65"/>
        <v>973.19727567891368</v>
      </c>
      <c r="CD114" s="62">
        <f ca="1">AVERAGE(OFFSET($CC$3,0,0,'Données projet'!$E$12+1,1))-AVERAGE(OFFSET($H$3,0,0,'Données projet'!$E$12+1,1))</f>
        <v>587.74247372331615</v>
      </c>
      <c r="CE114" s="62">
        <f t="shared" si="94"/>
        <v>306.61893266146666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3.141025641025641</v>
      </c>
      <c r="CT114" s="13">
        <f>IF('Données projet'!$A$140&gt;35,CT113+CS114-DB113,IF(A114&lt;'Données projet'!$A$140,$CQ$205^A114,IF(A114='Données projet'!$A$140,'Données projet'!$B$140,CT113+CS114-DB113)))</f>
        <v>257.62820512820525</v>
      </c>
      <c r="CU114" s="18">
        <f>CT114*VLOOKUP('Données projet'!$B$13,Paramètres!$A$1:$I$89,3,0)*VLOOKUP('Données projet'!$B$13,Paramètres!$A$1:$I$89,5,0)</f>
        <v>245.15900000000013</v>
      </c>
      <c r="CV114" s="14">
        <f t="shared" si="95"/>
        <v>59.548136793550292</v>
      </c>
      <c r="CW114" s="22">
        <f t="shared" si="67"/>
        <v>530.69826324876692</v>
      </c>
      <c r="CX114" s="62">
        <f t="shared" si="68"/>
        <v>824.03159658210029</v>
      </c>
      <c r="CY114" s="62">
        <f ca="1">AVERAGE(OFFSET($CX$3,0,0,'Données projet'!$E$13+1,1))-AVERAGE(OFFSET($H$3,0,0,'Données projet'!$E$13+1,1))</f>
        <v>406.24139966722936</v>
      </c>
      <c r="CZ114" s="62">
        <f t="shared" si="96"/>
        <v>295.95724296920577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6.7984728957526396E-14</v>
      </c>
      <c r="DQ114" s="14">
        <f t="shared" si="97"/>
        <v>1.0682447123141398E-12</v>
      </c>
      <c r="DR114" s="22">
        <f t="shared" si="70"/>
        <v>1.978932943548152E-12</v>
      </c>
      <c r="DS114" s="62">
        <f t="shared" si="71"/>
        <v>293.3333333333353</v>
      </c>
      <c r="DT114" s="62">
        <f ca="1">AVERAGE(OFFSET($DS$3,0,0,'Données projet'!$E$14+1,1))-AVERAGE(OFFSET($H$3,0,0,'Données projet'!$E$14+1,1))</f>
        <v>356.42779334565381</v>
      </c>
      <c r="DU114" s="62">
        <f t="shared" si="98"/>
        <v>320.06572891923685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0.42052730274110939</v>
      </c>
      <c r="EC114" s="23">
        <f>EXP(-LN(2)/2)*EC113+(1-EXP(-LN(2)/2))/(LN(2)/2)*DW114*DZ114*VLOOKUP('Données projet'!$B$14,Paramètres!$A$1:$I$89,3,0)*0.475*44/12</f>
        <v>1.0920380536402937E-11</v>
      </c>
      <c r="ED114" s="24">
        <f t="shared" si="72"/>
        <v>0.42052730275202976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-5.6843418860808015E-14</v>
      </c>
      <c r="FF114" s="18">
        <f>FE114*VLOOKUP('Données projet'!$B$16,Paramètres!$A$1:$I$89,3,0)*VLOOKUP('Données projet'!$B$16,Paramètres!$A$1:$I$89,5,0)</f>
        <v>-4.5224624045658861E-14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370.59298168107364</v>
      </c>
      <c r="FK114" s="62">
        <f t="shared" si="102"/>
        <v>404.61777090709171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4.5</v>
      </c>
      <c r="FZ114" s="13">
        <f>IF('Données projet'!$A$244&gt;35,FZ113+FY114-GH113,IF(A114&lt;'Données projet'!$A$244,$FW$205^A114,IF(A114='Données projet'!$A$244,'Données projet'!$B$244,FZ113+FY114-GH113)))</f>
        <v>311.49999999999989</v>
      </c>
      <c r="GA114" s="18">
        <f>FZ114*VLOOKUP('Données projet'!$B$17,Paramètres!$A$1:$I$89,3,0)*VLOOKUP('Données projet'!$B$17,Paramètres!$A$1:$I$89,5,0)</f>
        <v>301.2827999999999</v>
      </c>
      <c r="GB114" s="14">
        <f t="shared" si="103"/>
        <v>71.445320809508729</v>
      </c>
      <c r="GC114" s="22">
        <f t="shared" si="79"/>
        <v>649.16814374322746</v>
      </c>
      <c r="GD114" s="62">
        <f t="shared" si="80"/>
        <v>942.50147707656083</v>
      </c>
      <c r="GE114" s="62">
        <f ca="1">AVERAGE(OFFSET($GD$3,0,0,'Données projet'!$E$17+1,1))-AVERAGE(OFFSET($H$3,0,0,'Données projet'!$E$17+1,1))</f>
        <v>562.69380557620775</v>
      </c>
      <c r="GF114" s="62">
        <f t="shared" si="104"/>
        <v>294.45557293177131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>
        <f>GU114*VLOOKUP('Données projet'!$B$18,Paramètres!$A$1:$I$89,3,0)*VLOOKUP('Données projet'!$B$18,Paramètres!$A$1:$I$89,5,0)</f>
        <v>0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363.53487081291541</v>
      </c>
      <c r="HA114" s="62">
        <f t="shared" si="106"/>
        <v>308.1559670593121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529.25712986118265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315.99999999999989</v>
      </c>
      <c r="AJ115" s="14">
        <f>AI115*VLOOKUP('Données projet'!$B$10,Paramètres!$A$1:$I$89,3,0)*VLOOKUP('Données projet'!$B$10,Paramètres!$A$1:$I$89,5,0)</f>
        <v>266.19839999999994</v>
      </c>
      <c r="AK115" s="14">
        <f t="shared" si="89"/>
        <v>64.041809198373215</v>
      </c>
      <c r="AL115" s="22">
        <f t="shared" si="58"/>
        <v>575.16836435383323</v>
      </c>
      <c r="AM115" s="62">
        <f t="shared" si="59"/>
        <v>868.5016976871666</v>
      </c>
      <c r="AN115" s="62">
        <f ca="1">AVERAGE(OFFSET($AM$3,0,0,'Données projet'!$E$10+1,1))-AVERAGE(OFFSET($H$3,0,0,'Données projet'!$E$10+1,1))</f>
        <v>495.77338291316386</v>
      </c>
      <c r="AO115" s="62">
        <f t="shared" si="90"/>
        <v>261.95434270986397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1.1380052455933766E-13</v>
      </c>
      <c r="BF115" s="14">
        <f t="shared" si="91"/>
        <v>1.6840738663456724E-12</v>
      </c>
      <c r="BG115" s="22">
        <f t="shared" si="61"/>
        <v>3.1312978974928925E-12</v>
      </c>
      <c r="BH115" s="62">
        <f t="shared" si="62"/>
        <v>293.33333333333644</v>
      </c>
      <c r="BI115" s="62">
        <f ca="1">AVERAGE(OFFSET($BH$3,0,0,'Données projet'!$E$11+1,1))-AVERAGE(OFFSET($H$3,0,0,'Données projet'!$E$11+1,1))</f>
        <v>320.67081032419122</v>
      </c>
      <c r="BJ115" s="62">
        <f t="shared" si="92"/>
        <v>290.51177680335746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0.2481165490249598</v>
      </c>
      <c r="BR115" s="23">
        <f>EXP(-LN(2)/2)*BR114+(1-EXP(-LN(2)/2))/(LN(2)/2)*BL115*BO115*VLOOKUP('Données projet'!$B$11,Paramètres!$A$1:$I$89,3,0)*0.475*44/12</f>
        <v>4.8984071929797564E-12</v>
      </c>
      <c r="BS115" s="24">
        <f t="shared" si="63"/>
        <v>0.24811654902985822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</v>
      </c>
      <c r="BY115" s="13">
        <f>IF('Données projet'!$A$114&gt;35,BY114+BX115-CG114,IF(A115&lt;'Données projet'!$A$114,$BV$205^A115,IF(A115='Données projet'!$A$114,'Données projet'!$B$114,BY114+BX115-CG114)))</f>
        <v>315.99999999999989</v>
      </c>
      <c r="BZ115" s="14">
        <f>BY115*VLOOKUP('Données projet'!$B$12,Paramètres!$A$1:$I$89,3,0)*VLOOKUP('Données projet'!$B$12,Paramètres!$A$1:$I$89,5,0)</f>
        <v>320.42399999999986</v>
      </c>
      <c r="CA115" s="14">
        <f t="shared" si="93"/>
        <v>75.441568308852311</v>
      </c>
      <c r="CB115" s="22">
        <f t="shared" si="64"/>
        <v>689.46586480458427</v>
      </c>
      <c r="CC115" s="62">
        <f t="shared" si="65"/>
        <v>982.79919813791753</v>
      </c>
      <c r="CD115" s="62">
        <f ca="1">AVERAGE(OFFSET($CC$3,0,0,'Données projet'!$E$12+1,1))-AVERAGE(OFFSET($H$3,0,0,'Données projet'!$E$12+1,1))</f>
        <v>587.74247372331615</v>
      </c>
      <c r="CE115" s="62">
        <f t="shared" si="94"/>
        <v>306.61893266146666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3.141025641025641</v>
      </c>
      <c r="CT115" s="13">
        <f>IF('Données projet'!$A$140&gt;35,CT114+CS115-DB114,IF(A115&lt;'Données projet'!$A$140,$CQ$205^A115,IF(A115='Données projet'!$A$140,'Données projet'!$B$140,CT114+CS115-DB114)))</f>
        <v>260.76923076923089</v>
      </c>
      <c r="CU115" s="18">
        <f>CT115*VLOOKUP('Données projet'!$B$13,Paramètres!$A$1:$I$89,3,0)*VLOOKUP('Données projet'!$B$13,Paramètres!$A$1:$I$89,5,0)</f>
        <v>248.14800000000011</v>
      </c>
      <c r="CV115" s="14">
        <f t="shared" si="95"/>
        <v>60.189191470108021</v>
      </c>
      <c r="CW115" s="22">
        <f t="shared" si="67"/>
        <v>537.02060847710493</v>
      </c>
      <c r="CX115" s="62">
        <f t="shared" si="68"/>
        <v>830.3539418104383</v>
      </c>
      <c r="CY115" s="62">
        <f ca="1">AVERAGE(OFFSET($CX$3,0,0,'Données projet'!$E$13+1,1))-AVERAGE(OFFSET($H$3,0,0,'Données projet'!$E$13+1,1))</f>
        <v>406.24139966722936</v>
      </c>
      <c r="CZ115" s="62">
        <f t="shared" si="96"/>
        <v>295.95724296920577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6.7984728957526396E-14</v>
      </c>
      <c r="DQ115" s="14">
        <f t="shared" si="97"/>
        <v>1.0682447123141398E-12</v>
      </c>
      <c r="DR115" s="22">
        <f t="shared" si="70"/>
        <v>1.978932943548152E-12</v>
      </c>
      <c r="DS115" s="62">
        <f t="shared" si="71"/>
        <v>293.3333333333353</v>
      </c>
      <c r="DT115" s="62">
        <f ca="1">AVERAGE(OFFSET($DS$3,0,0,'Données projet'!$E$14+1,1))-AVERAGE(OFFSET($H$3,0,0,'Données projet'!$E$14+1,1))</f>
        <v>356.42779334565381</v>
      </c>
      <c r="DU115" s="62">
        <f t="shared" si="98"/>
        <v>320.06572891923685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0.40902796153308402</v>
      </c>
      <c r="EC115" s="23">
        <f>EXP(-LN(2)/2)*EC114+(1-EXP(-LN(2)/2))/(LN(2)/2)*DW115*DZ115*VLOOKUP('Données projet'!$B$14,Paramètres!$A$1:$I$89,3,0)*0.475*44/12</f>
        <v>7.721875130428104E-12</v>
      </c>
      <c r="ED115" s="24">
        <f t="shared" si="72"/>
        <v>0.4090279615408059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-5.6843418860808015E-14</v>
      </c>
      <c r="FF115" s="18">
        <f>FE115*VLOOKUP('Données projet'!$B$16,Paramètres!$A$1:$I$89,3,0)*VLOOKUP('Données projet'!$B$16,Paramètres!$A$1:$I$89,5,0)</f>
        <v>-4.5224624045658861E-14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370.59298168107364</v>
      </c>
      <c r="FK115" s="62">
        <f t="shared" si="102"/>
        <v>404.61777090709171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4.5</v>
      </c>
      <c r="FZ115" s="13">
        <f>IF('Données projet'!$A$244&gt;35,FZ114+FY115-GH114,IF(A115&lt;'Données projet'!$A$244,$FW$205^A115,IF(A115='Données projet'!$A$244,'Données projet'!$B$244,FZ114+FY115-GH114)))</f>
        <v>315.99999999999989</v>
      </c>
      <c r="GA115" s="18">
        <f>FZ115*VLOOKUP('Données projet'!$B$17,Paramètres!$A$1:$I$89,3,0)*VLOOKUP('Données projet'!$B$17,Paramètres!$A$1:$I$89,5,0)</f>
        <v>305.63519999999988</v>
      </c>
      <c r="GB115" s="14">
        <f t="shared" si="103"/>
        <v>72.356535294517812</v>
      </c>
      <c r="GC115" s="22">
        <f t="shared" si="79"/>
        <v>658.33560563795163</v>
      </c>
      <c r="GD115" s="62">
        <f t="shared" si="80"/>
        <v>951.66893897128489</v>
      </c>
      <c r="GE115" s="62">
        <f ca="1">AVERAGE(OFFSET($GD$3,0,0,'Données projet'!$E$17+1,1))-AVERAGE(OFFSET($H$3,0,0,'Données projet'!$E$17+1,1))</f>
        <v>562.69380557620775</v>
      </c>
      <c r="GF115" s="62">
        <f t="shared" si="104"/>
        <v>294.45557293177131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>
        <f>GU115*VLOOKUP('Données projet'!$B$18,Paramètres!$A$1:$I$89,3,0)*VLOOKUP('Données projet'!$B$18,Paramètres!$A$1:$I$89,5,0)</f>
        <v>0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363.53487081291541</v>
      </c>
      <c r="HA115" s="62">
        <f t="shared" si="106"/>
        <v>308.1559670593121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918.69950997432193</v>
      </c>
      <c r="S116" s="62">
        <f ca="1">AVERAGE(OFFSET($R$3,0,0,'Données projet'!$E$9+1,1))-AVERAGE(OFFSET($H$3,0,0,'Données projet'!$E$9+1,1))</f>
        <v>529.25712986118265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320.49999999999989</v>
      </c>
      <c r="AJ116" s="14">
        <f>AI116*VLOOKUP('Données projet'!$B$10,Paramètres!$A$1:$I$89,3,0)*VLOOKUP('Données projet'!$B$10,Paramètres!$A$1:$I$89,5,0)</f>
        <v>269.98919999999993</v>
      </c>
      <c r="AK116" s="14">
        <f t="shared" si="89"/>
        <v>64.846977249929083</v>
      </c>
      <c r="AL116" s="22">
        <f t="shared" si="58"/>
        <v>583.17300871029295</v>
      </c>
      <c r="AM116" s="62">
        <f t="shared" si="59"/>
        <v>876.50634204362632</v>
      </c>
      <c r="AN116" s="62">
        <f ca="1">AVERAGE(OFFSET($AM$3,0,0,'Données projet'!$E$10+1,1))-AVERAGE(OFFSET($H$3,0,0,'Données projet'!$E$10+1,1))</f>
        <v>495.77338291316386</v>
      </c>
      <c r="AO116" s="62">
        <f t="shared" si="90"/>
        <v>261.95434270986397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1.1380052455933766E-13</v>
      </c>
      <c r="BF116" s="14">
        <f t="shared" si="91"/>
        <v>1.6840738663456724E-12</v>
      </c>
      <c r="BG116" s="22">
        <f t="shared" si="61"/>
        <v>3.1312978974928925E-12</v>
      </c>
      <c r="BH116" s="62">
        <f t="shared" si="62"/>
        <v>293.33333333333644</v>
      </c>
      <c r="BI116" s="62">
        <f ca="1">AVERAGE(OFFSET($BH$3,0,0,'Données projet'!$E$11+1,1))-AVERAGE(OFFSET($H$3,0,0,'Données projet'!$E$11+1,1))</f>
        <v>320.67081032419122</v>
      </c>
      <c r="BJ116" s="62">
        <f t="shared" si="92"/>
        <v>290.51177680335746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0.24133178894399004</v>
      </c>
      <c r="BR116" s="23">
        <f>EXP(-LN(2)/2)*BR115+(1-EXP(-LN(2)/2))/(LN(2)/2)*BL116*BO116*VLOOKUP('Données projet'!$B$11,Paramètres!$A$1:$I$89,3,0)*0.475*44/12</f>
        <v>3.4636969431689471E-12</v>
      </c>
      <c r="BS116" s="24">
        <f t="shared" si="63"/>
        <v>0.24133178894745375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</v>
      </c>
      <c r="BY116" s="13">
        <f>IF('Données projet'!$A$114&gt;35,BY115+BX116-CG115,IF(A116&lt;'Données projet'!$A$114,$BV$205^A116,IF(A116='Données projet'!$A$114,'Données projet'!$B$114,BY115+BX116-CG115)))</f>
        <v>320.49999999999989</v>
      </c>
      <c r="BZ116" s="14">
        <f>BY116*VLOOKUP('Données projet'!$B$12,Paramètres!$A$1:$I$89,3,0)*VLOOKUP('Données projet'!$B$12,Paramètres!$A$1:$I$89,5,0)</f>
        <v>324.98699999999991</v>
      </c>
      <c r="CA116" s="14">
        <f t="shared" si="93"/>
        <v>76.390060259999387</v>
      </c>
      <c r="CB116" s="22">
        <f t="shared" si="64"/>
        <v>699.06504661949884</v>
      </c>
      <c r="CC116" s="62">
        <f t="shared" si="65"/>
        <v>992.3983799528321</v>
      </c>
      <c r="CD116" s="62">
        <f ca="1">AVERAGE(OFFSET($CC$3,0,0,'Données projet'!$E$12+1,1))-AVERAGE(OFFSET($H$3,0,0,'Données projet'!$E$12+1,1))</f>
        <v>587.74247372331615</v>
      </c>
      <c r="CE116" s="62">
        <f t="shared" si="94"/>
        <v>306.61893266146666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3.141025641025641</v>
      </c>
      <c r="CT116" s="13">
        <f>IF('Données projet'!$A$140&gt;35,CT115+CS116-DB115,IF(A116&lt;'Données projet'!$A$140,$CQ$205^A116,IF(A116='Données projet'!$A$140,'Données projet'!$B$140,CT115+CS116-DB115)))</f>
        <v>263.91025641025652</v>
      </c>
      <c r="CU116" s="18">
        <f>CT116*VLOOKUP('Données projet'!$B$13,Paramètres!$A$1:$I$89,3,0)*VLOOKUP('Données projet'!$B$13,Paramètres!$A$1:$I$89,5,0)</f>
        <v>251.13700000000011</v>
      </c>
      <c r="CV116" s="14">
        <f t="shared" si="95"/>
        <v>60.82934795323235</v>
      </c>
      <c r="CW116" s="22">
        <f t="shared" si="67"/>
        <v>543.34138935187991</v>
      </c>
      <c r="CX116" s="62">
        <f t="shared" si="68"/>
        <v>836.67472268521328</v>
      </c>
      <c r="CY116" s="62">
        <f ca="1">AVERAGE(OFFSET($CX$3,0,0,'Données projet'!$E$13+1,1))-AVERAGE(OFFSET($H$3,0,0,'Données projet'!$E$13+1,1))</f>
        <v>406.24139966722936</v>
      </c>
      <c r="CZ116" s="62">
        <f t="shared" si="96"/>
        <v>295.95724296920577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6.7984728957526396E-14</v>
      </c>
      <c r="DQ116" s="14">
        <f t="shared" si="97"/>
        <v>1.0682447123141398E-12</v>
      </c>
      <c r="DR116" s="22">
        <f t="shared" si="70"/>
        <v>1.978932943548152E-12</v>
      </c>
      <c r="DS116" s="62">
        <f t="shared" si="71"/>
        <v>293.3333333333353</v>
      </c>
      <c r="DT116" s="62">
        <f ca="1">AVERAGE(OFFSET($DS$3,0,0,'Données projet'!$E$14+1,1))-AVERAGE(OFFSET($H$3,0,0,'Données projet'!$E$14+1,1))</f>
        <v>356.42779334565381</v>
      </c>
      <c r="DU116" s="62">
        <f t="shared" si="98"/>
        <v>320.06572891923685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0.39784307041511618</v>
      </c>
      <c r="EC116" s="23">
        <f>EXP(-LN(2)/2)*EC115+(1-EXP(-LN(2)/2))/(LN(2)/2)*DW116*DZ116*VLOOKUP('Données projet'!$B$14,Paramètres!$A$1:$I$89,3,0)*0.475*44/12</f>
        <v>5.4601902682014685E-12</v>
      </c>
      <c r="ED116" s="24">
        <f t="shared" si="72"/>
        <v>0.39784307042057637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-5.6843418860808015E-14</v>
      </c>
      <c r="FF116" s="18">
        <f>FE116*VLOOKUP('Données projet'!$B$16,Paramètres!$A$1:$I$89,3,0)*VLOOKUP('Données projet'!$B$16,Paramètres!$A$1:$I$89,5,0)</f>
        <v>-4.5224624045658861E-14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370.59298168107364</v>
      </c>
      <c r="FK116" s="62">
        <f t="shared" si="102"/>
        <v>404.61777090709171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4.5</v>
      </c>
      <c r="FZ116" s="13">
        <f>IF('Données projet'!$A$244&gt;35,FZ115+FY116-GH115,IF(A116&lt;'Données projet'!$A$244,$FW$205^A116,IF(A116='Données projet'!$A$244,'Données projet'!$B$244,FZ115+FY116-GH115)))</f>
        <v>320.49999999999989</v>
      </c>
      <c r="GA116" s="18">
        <f>FZ116*VLOOKUP('Données projet'!$B$17,Paramètres!$A$1:$I$89,3,0)*VLOOKUP('Données projet'!$B$17,Paramètres!$A$1:$I$89,5,0)</f>
        <v>309.98759999999987</v>
      </c>
      <c r="GB116" s="14">
        <f t="shared" si="103"/>
        <v>73.266240552218449</v>
      </c>
      <c r="GC116" s="22">
        <f t="shared" si="79"/>
        <v>667.50043896178022</v>
      </c>
      <c r="GD116" s="62">
        <f t="shared" si="80"/>
        <v>960.83377229511348</v>
      </c>
      <c r="GE116" s="62">
        <f ca="1">AVERAGE(OFFSET($GD$3,0,0,'Données projet'!$E$17+1,1))-AVERAGE(OFFSET($H$3,0,0,'Données projet'!$E$17+1,1))</f>
        <v>562.69380557620775</v>
      </c>
      <c r="GF116" s="62">
        <f t="shared" si="104"/>
        <v>294.45557293177131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>
        <f>GU116*VLOOKUP('Données projet'!$B$18,Paramètres!$A$1:$I$89,3,0)*VLOOKUP('Données projet'!$B$18,Paramètres!$A$1:$I$89,5,0)</f>
        <v>0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363.53487081291541</v>
      </c>
      <c r="HA116" s="62">
        <f t="shared" si="106"/>
        <v>308.1559670593121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927.28217517997336</v>
      </c>
      <c r="S117" s="62">
        <f ca="1">AVERAGE(OFFSET($R$3,0,0,'Données projet'!$E$9+1,1))-AVERAGE(OFFSET($H$3,0,0,'Données projet'!$E$9+1,1))</f>
        <v>529.25712986118265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324.99999999999989</v>
      </c>
      <c r="AJ117" s="14">
        <f>AI117*VLOOKUP('Données projet'!$B$10,Paramètres!$A$1:$I$89,3,0)*VLOOKUP('Données projet'!$B$10,Paramètres!$A$1:$I$89,5,0)</f>
        <v>273.77999999999992</v>
      </c>
      <c r="AK117" s="14">
        <f t="shared" si="89"/>
        <v>65.650830427167435</v>
      </c>
      <c r="AL117" s="22">
        <f t="shared" si="58"/>
        <v>591.17536299398307</v>
      </c>
      <c r="AM117" s="62">
        <f t="shared" si="59"/>
        <v>884.50869632731633</v>
      </c>
      <c r="AN117" s="62">
        <f ca="1">AVERAGE(OFFSET($AM$3,0,0,'Données projet'!$E$10+1,1))-AVERAGE(OFFSET($H$3,0,0,'Données projet'!$E$10+1,1))</f>
        <v>495.77338291316386</v>
      </c>
      <c r="AO117" s="62">
        <f t="shared" si="90"/>
        <v>261.95434270986397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1.1380052455933766E-13</v>
      </c>
      <c r="BF117" s="14">
        <f t="shared" si="91"/>
        <v>1.6840738663456724E-12</v>
      </c>
      <c r="BG117" s="22">
        <f t="shared" si="61"/>
        <v>3.1312978974928925E-12</v>
      </c>
      <c r="BH117" s="62">
        <f t="shared" si="62"/>
        <v>293.33333333333644</v>
      </c>
      <c r="BI117" s="62">
        <f ca="1">AVERAGE(OFFSET($BH$3,0,0,'Données projet'!$E$11+1,1))-AVERAGE(OFFSET($H$3,0,0,'Données projet'!$E$11+1,1))</f>
        <v>320.67081032419122</v>
      </c>
      <c r="BJ117" s="62">
        <f t="shared" si="92"/>
        <v>290.51177680335746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0.23473255848422941</v>
      </c>
      <c r="BR117" s="23">
        <f>EXP(-LN(2)/2)*BR116+(1-EXP(-LN(2)/2))/(LN(2)/2)*BL117*BO117*VLOOKUP('Données projet'!$B$11,Paramètres!$A$1:$I$89,3,0)*0.475*44/12</f>
        <v>2.4492035964898782E-12</v>
      </c>
      <c r="BS117" s="24">
        <f t="shared" si="63"/>
        <v>0.23473255848667862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</v>
      </c>
      <c r="BY117" s="13">
        <f>IF('Données projet'!$A$114&gt;35,BY116+BX117-CG116,IF(A117&lt;'Données projet'!$A$114,$BV$205^A117,IF(A117='Données projet'!$A$114,'Données projet'!$B$114,BY116+BX117-CG116)))</f>
        <v>324.99999999999989</v>
      </c>
      <c r="BZ117" s="14">
        <f>BY117*VLOOKUP('Données projet'!$B$12,Paramètres!$A$1:$I$89,3,0)*VLOOKUP('Données projet'!$B$12,Paramètres!$A$1:$I$89,5,0)</f>
        <v>329.5499999999999</v>
      </c>
      <c r="CA117" s="14">
        <f t="shared" si="93"/>
        <v>77.337003282690574</v>
      </c>
      <c r="CB117" s="22">
        <f t="shared" si="64"/>
        <v>708.66153071735243</v>
      </c>
      <c r="CC117" s="62">
        <f t="shared" si="65"/>
        <v>1001.9948640506857</v>
      </c>
      <c r="CD117" s="62">
        <f ca="1">AVERAGE(OFFSET($CC$3,0,0,'Données projet'!$E$12+1,1))-AVERAGE(OFFSET($H$3,0,0,'Données projet'!$E$12+1,1))</f>
        <v>587.74247372331615</v>
      </c>
      <c r="CE117" s="62">
        <f t="shared" si="94"/>
        <v>306.61893266146666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3.141025641025641</v>
      </c>
      <c r="CT117" s="13">
        <f>IF('Données projet'!$A$140&gt;35,CT116+CS117-DB116,IF(A117&lt;'Données projet'!$A$140,$CQ$205^A117,IF(A117='Données projet'!$A$140,'Données projet'!$B$140,CT116+CS117-DB116)))</f>
        <v>267.05128205128216</v>
      </c>
      <c r="CU117" s="18">
        <f>CT117*VLOOKUP('Données projet'!$B$13,Paramètres!$A$1:$I$89,3,0)*VLOOKUP('Données projet'!$B$13,Paramètres!$A$1:$I$89,5,0)</f>
        <v>254.12600000000012</v>
      </c>
      <c r="CV117" s="14">
        <f t="shared" si="95"/>
        <v>61.46861816974539</v>
      </c>
      <c r="CW117" s="22">
        <f t="shared" si="67"/>
        <v>549.66062664564004</v>
      </c>
      <c r="CX117" s="62">
        <f t="shared" si="68"/>
        <v>842.99395997897341</v>
      </c>
      <c r="CY117" s="62">
        <f ca="1">AVERAGE(OFFSET($CX$3,0,0,'Données projet'!$E$13+1,1))-AVERAGE(OFFSET($H$3,0,0,'Données projet'!$E$13+1,1))</f>
        <v>406.24139966722936</v>
      </c>
      <c r="CZ117" s="62">
        <f t="shared" si="96"/>
        <v>295.95724296920577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6.7984728957526396E-14</v>
      </c>
      <c r="DQ117" s="14">
        <f t="shared" si="97"/>
        <v>1.0682447123141398E-12</v>
      </c>
      <c r="DR117" s="22">
        <f t="shared" si="70"/>
        <v>1.978932943548152E-12</v>
      </c>
      <c r="DS117" s="62">
        <f t="shared" si="71"/>
        <v>293.3333333333353</v>
      </c>
      <c r="DT117" s="62">
        <f ca="1">AVERAGE(OFFSET($DS$3,0,0,'Données projet'!$E$14+1,1))-AVERAGE(OFFSET($H$3,0,0,'Données projet'!$E$14+1,1))</f>
        <v>356.42779334565381</v>
      </c>
      <c r="DU117" s="62">
        <f t="shared" si="98"/>
        <v>320.06572891923685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0.38696403073295704</v>
      </c>
      <c r="EC117" s="23">
        <f>EXP(-LN(2)/2)*EC116+(1-EXP(-LN(2)/2))/(LN(2)/2)*DW117*DZ117*VLOOKUP('Données projet'!$B$14,Paramètres!$A$1:$I$89,3,0)*0.475*44/12</f>
        <v>3.860937565214052E-12</v>
      </c>
      <c r="ED117" s="24">
        <f t="shared" si="72"/>
        <v>0.38696403073681795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-5.6843418860808015E-14</v>
      </c>
      <c r="FF117" s="18">
        <f>FE117*VLOOKUP('Données projet'!$B$16,Paramètres!$A$1:$I$89,3,0)*VLOOKUP('Données projet'!$B$16,Paramètres!$A$1:$I$89,5,0)</f>
        <v>-4.5224624045658861E-14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370.59298168107364</v>
      </c>
      <c r="FK117" s="62">
        <f t="shared" si="102"/>
        <v>404.61777090709171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4.5</v>
      </c>
      <c r="FZ117" s="13">
        <f>IF('Données projet'!$A$244&gt;35,FZ116+FY117-GH116,IF(A117&lt;'Données projet'!$A$244,$FW$205^A117,IF(A117='Données projet'!$A$244,'Données projet'!$B$244,FZ116+FY117-GH116)))</f>
        <v>324.99999999999989</v>
      </c>
      <c r="GA117" s="18">
        <f>FZ117*VLOOKUP('Données projet'!$B$17,Paramètres!$A$1:$I$89,3,0)*VLOOKUP('Données projet'!$B$17,Paramètres!$A$1:$I$89,5,0)</f>
        <v>314.33999999999986</v>
      </c>
      <c r="GB117" s="14">
        <f t="shared" si="103"/>
        <v>74.174460221814215</v>
      </c>
      <c r="GC117" s="22">
        <f t="shared" si="79"/>
        <v>676.66268488632613</v>
      </c>
      <c r="GD117" s="62">
        <f t="shared" si="80"/>
        <v>969.99601821965939</v>
      </c>
      <c r="GE117" s="62">
        <f ca="1">AVERAGE(OFFSET($GD$3,0,0,'Données projet'!$E$17+1,1))-AVERAGE(OFFSET($H$3,0,0,'Données projet'!$E$17+1,1))</f>
        <v>562.69380557620775</v>
      </c>
      <c r="GF117" s="62">
        <f t="shared" si="104"/>
        <v>294.45557293177131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>
        <f>GU117*VLOOKUP('Données projet'!$B$18,Paramètres!$A$1:$I$89,3,0)*VLOOKUP('Données projet'!$B$18,Paramètres!$A$1:$I$89,5,0)</f>
        <v>0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363.53487081291541</v>
      </c>
      <c r="HA117" s="62">
        <f t="shared" si="106"/>
        <v>308.1559670593121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935.86243873128797</v>
      </c>
      <c r="S118" s="62">
        <f ca="1">AVERAGE(OFFSET($R$3,0,0,'Données projet'!$E$9+1,1))-AVERAGE(OFFSET($H$3,0,0,'Données projet'!$E$9+1,1))</f>
        <v>529.25712986118265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329.49999999999989</v>
      </c>
      <c r="AJ118" s="14">
        <f>AI118*VLOOKUP('Données projet'!$B$10,Paramètres!$A$1:$I$89,3,0)*VLOOKUP('Données projet'!$B$10,Paramètres!$A$1:$I$89,5,0)</f>
        <v>277.57079999999991</v>
      </c>
      <c r="AK118" s="14">
        <f t="shared" si="89"/>
        <v>66.453389040149204</v>
      </c>
      <c r="AL118" s="22">
        <f t="shared" si="58"/>
        <v>599.17546257825973</v>
      </c>
      <c r="AM118" s="62">
        <f t="shared" si="59"/>
        <v>892.5087959115931</v>
      </c>
      <c r="AN118" s="62">
        <f ca="1">AVERAGE(OFFSET($AM$3,0,0,'Données projet'!$E$10+1,1))-AVERAGE(OFFSET($H$3,0,0,'Données projet'!$E$10+1,1))</f>
        <v>495.77338291316386</v>
      </c>
      <c r="AO118" s="62">
        <f t="shared" si="90"/>
        <v>261.95434270986397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1.1380052455933766E-13</v>
      </c>
      <c r="BF118" s="14">
        <f t="shared" si="91"/>
        <v>1.6840738663456724E-12</v>
      </c>
      <c r="BG118" s="22">
        <f t="shared" si="61"/>
        <v>3.1312978974928925E-12</v>
      </c>
      <c r="BH118" s="62">
        <f t="shared" si="62"/>
        <v>293.33333333333644</v>
      </c>
      <c r="BI118" s="62">
        <f ca="1">AVERAGE(OFFSET($BH$3,0,0,'Données projet'!$E$11+1,1))-AVERAGE(OFFSET($H$3,0,0,'Données projet'!$E$11+1,1))</f>
        <v>320.67081032419122</v>
      </c>
      <c r="BJ118" s="62">
        <f t="shared" si="92"/>
        <v>290.51177680335746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0.22831378432842939</v>
      </c>
      <c r="BR118" s="23">
        <f>EXP(-LN(2)/2)*BR117+(1-EXP(-LN(2)/2))/(LN(2)/2)*BL118*BO118*VLOOKUP('Données projet'!$B$11,Paramètres!$A$1:$I$89,3,0)*0.475*44/12</f>
        <v>1.7318484715844736E-12</v>
      </c>
      <c r="BS118" s="24">
        <f t="shared" si="63"/>
        <v>0.22831378433016122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4.5</v>
      </c>
      <c r="BY118" s="13">
        <f>IF('Données projet'!$A$114&gt;35,BY117+BX118-CG117,IF(A118&lt;'Données projet'!$A$114,$BV$205^A118,IF(A118='Données projet'!$A$114,'Données projet'!$B$114,BY117+BX118-CG117)))</f>
        <v>329.49999999999989</v>
      </c>
      <c r="BZ118" s="14">
        <f>BY118*VLOOKUP('Données projet'!$B$12,Paramètres!$A$1:$I$89,3,0)*VLOOKUP('Données projet'!$B$12,Paramètres!$A$1:$I$89,5,0)</f>
        <v>334.11299999999989</v>
      </c>
      <c r="CA118" s="14">
        <f t="shared" si="93"/>
        <v>78.282421302277939</v>
      </c>
      <c r="CB118" s="22">
        <f t="shared" si="64"/>
        <v>718.25535876813376</v>
      </c>
      <c r="CC118" s="62">
        <f t="shared" si="65"/>
        <v>1011.5886921014671</v>
      </c>
      <c r="CD118" s="62">
        <f ca="1">AVERAGE(OFFSET($CC$3,0,0,'Données projet'!$E$12+1,1))-AVERAGE(OFFSET($H$3,0,0,'Données projet'!$E$12+1,1))</f>
        <v>587.74247372331615</v>
      </c>
      <c r="CE118" s="62">
        <f t="shared" si="94"/>
        <v>306.61893266146666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3.141025641025641</v>
      </c>
      <c r="CT118" s="13">
        <f>IF('Données projet'!$A$140&gt;35,CT117+CS118-DB117,IF(A118&lt;'Données projet'!$A$140,$CQ$205^A118,IF(A118='Données projet'!$A$140,'Données projet'!$B$140,CT117+CS118-DB117)))</f>
        <v>270.19230769230779</v>
      </c>
      <c r="CU118" s="18">
        <f>CT118*VLOOKUP('Données projet'!$B$13,Paramètres!$A$1:$I$89,3,0)*VLOOKUP('Données projet'!$B$13,Paramètres!$A$1:$I$89,5,0)</f>
        <v>257.11500000000007</v>
      </c>
      <c r="CV118" s="14">
        <f t="shared" si="95"/>
        <v>62.107013749759211</v>
      </c>
      <c r="CW118" s="22">
        <f t="shared" si="67"/>
        <v>555.97834061416404</v>
      </c>
      <c r="CX118" s="62">
        <f t="shared" si="68"/>
        <v>849.31167394749741</v>
      </c>
      <c r="CY118" s="62">
        <f ca="1">AVERAGE(OFFSET($CX$3,0,0,'Données projet'!$E$13+1,1))-AVERAGE(OFFSET($H$3,0,0,'Données projet'!$E$13+1,1))</f>
        <v>406.24139966722936</v>
      </c>
      <c r="CZ118" s="62">
        <f t="shared" si="96"/>
        <v>295.95724296920577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6.7984728957526396E-14</v>
      </c>
      <c r="DQ118" s="14">
        <f t="shared" si="97"/>
        <v>1.0682447123141398E-12</v>
      </c>
      <c r="DR118" s="22">
        <f t="shared" si="70"/>
        <v>1.978932943548152E-12</v>
      </c>
      <c r="DS118" s="62">
        <f t="shared" si="71"/>
        <v>293.3333333333353</v>
      </c>
      <c r="DT118" s="62">
        <f ca="1">AVERAGE(OFFSET($DS$3,0,0,'Données projet'!$E$14+1,1))-AVERAGE(OFFSET($H$3,0,0,'Données projet'!$E$14+1,1))</f>
        <v>356.42779334565381</v>
      </c>
      <c r="DU118" s="62">
        <f t="shared" si="98"/>
        <v>320.06572891923685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0.37638247896301036</v>
      </c>
      <c r="EC118" s="23">
        <f>EXP(-LN(2)/2)*EC117+(1-EXP(-LN(2)/2))/(LN(2)/2)*DW118*DZ118*VLOOKUP('Données projet'!$B$14,Paramètres!$A$1:$I$89,3,0)*0.475*44/12</f>
        <v>2.7300951341007343E-12</v>
      </c>
      <c r="ED118" s="24">
        <f t="shared" si="72"/>
        <v>0.37638247896574045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-5.6843418860808015E-14</v>
      </c>
      <c r="FF118" s="18">
        <f>FE118*VLOOKUP('Données projet'!$B$16,Paramètres!$A$1:$I$89,3,0)*VLOOKUP('Données projet'!$B$16,Paramètres!$A$1:$I$89,5,0)</f>
        <v>-4.5224624045658861E-14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370.59298168107364</v>
      </c>
      <c r="FK118" s="62">
        <f t="shared" si="102"/>
        <v>404.61777090709171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4.5</v>
      </c>
      <c r="FZ118" s="13">
        <f>IF('Données projet'!$A$244&gt;35,FZ117+FY118-GH117,IF(A118&lt;'Données projet'!$A$244,$FW$205^A118,IF(A118='Données projet'!$A$244,'Données projet'!$B$244,FZ117+FY118-GH117)))</f>
        <v>329.49999999999989</v>
      </c>
      <c r="GA118" s="18">
        <f>FZ118*VLOOKUP('Données projet'!$B$17,Paramètres!$A$1:$I$89,3,0)*VLOOKUP('Données projet'!$B$17,Paramètres!$A$1:$I$89,5,0)</f>
        <v>318.69239999999991</v>
      </c>
      <c r="GB118" s="14">
        <f t="shared" si="103"/>
        <v>75.081217250277518</v>
      </c>
      <c r="GC118" s="22">
        <f t="shared" si="79"/>
        <v>685.82238337756644</v>
      </c>
      <c r="GD118" s="62">
        <f t="shared" si="80"/>
        <v>979.1557167108997</v>
      </c>
      <c r="GE118" s="62">
        <f ca="1">AVERAGE(OFFSET($GD$3,0,0,'Données projet'!$E$17+1,1))-AVERAGE(OFFSET($H$3,0,0,'Données projet'!$E$17+1,1))</f>
        <v>562.69380557620775</v>
      </c>
      <c r="GF118" s="62">
        <f t="shared" si="104"/>
        <v>294.45557293177131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>
        <f>GU118*VLOOKUP('Données projet'!$B$18,Paramètres!$A$1:$I$89,3,0)*VLOOKUP('Données projet'!$B$18,Paramètres!$A$1:$I$89,5,0)</f>
        <v>0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363.53487081291541</v>
      </c>
      <c r="HA118" s="62">
        <f t="shared" si="106"/>
        <v>308.1559670593121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944.4403372188583</v>
      </c>
      <c r="S119" s="62">
        <f ca="1">AVERAGE(OFFSET($R$3,0,0,'Données projet'!$E$9+1,1))-AVERAGE(OFFSET($H$3,0,0,'Données projet'!$E$9+1,1))</f>
        <v>529.25712986118265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333.99999999999989</v>
      </c>
      <c r="AJ119" s="14">
        <f>AI119*VLOOKUP('Données projet'!$B$10,Paramètres!$A$1:$I$89,3,0)*VLOOKUP('Données projet'!$B$10,Paramètres!$A$1:$I$89,5,0)</f>
        <v>281.36159999999995</v>
      </c>
      <c r="AK119" s="14">
        <f t="shared" si="89"/>
        <v>67.254672812309309</v>
      </c>
      <c r="AL119" s="22">
        <f t="shared" si="58"/>
        <v>607.1733418147719</v>
      </c>
      <c r="AM119" s="62">
        <f t="shared" si="59"/>
        <v>900.50667514810516</v>
      </c>
      <c r="AN119" s="62">
        <f ca="1">AVERAGE(OFFSET($AM$3,0,0,'Données projet'!$E$10+1,1))-AVERAGE(OFFSET($H$3,0,0,'Données projet'!$E$10+1,1))</f>
        <v>495.77338291316386</v>
      </c>
      <c r="AO119" s="62">
        <f t="shared" si="90"/>
        <v>261.95434270986397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1.1380052455933766E-13</v>
      </c>
      <c r="BF119" s="14">
        <f t="shared" si="91"/>
        <v>1.6840738663456724E-12</v>
      </c>
      <c r="BG119" s="22">
        <f t="shared" si="61"/>
        <v>3.1312978974928925E-12</v>
      </c>
      <c r="BH119" s="62">
        <f t="shared" si="62"/>
        <v>293.33333333333644</v>
      </c>
      <c r="BI119" s="62">
        <f ca="1">AVERAGE(OFFSET($BH$3,0,0,'Données projet'!$E$11+1,1))-AVERAGE(OFFSET($H$3,0,0,'Données projet'!$E$11+1,1))</f>
        <v>320.67081032419122</v>
      </c>
      <c r="BJ119" s="62">
        <f t="shared" si="92"/>
        <v>290.51177680335746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0.22207053188946838</v>
      </c>
      <c r="BR119" s="23">
        <f>EXP(-LN(2)/2)*BR118+(1-EXP(-LN(2)/2))/(LN(2)/2)*BL119*BO119*VLOOKUP('Données projet'!$B$11,Paramètres!$A$1:$I$89,3,0)*0.475*44/12</f>
        <v>1.2246017982449391E-12</v>
      </c>
      <c r="BS119" s="24">
        <f t="shared" si="63"/>
        <v>0.22207053189069298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333.99999999999989</v>
      </c>
      <c r="BZ119" s="14">
        <f>BY119*VLOOKUP('Données projet'!$B$12,Paramètres!$A$1:$I$89,3,0)*VLOOKUP('Données projet'!$B$12,Paramètres!$A$1:$I$89,5,0)</f>
        <v>338.67599999999993</v>
      </c>
      <c r="CA119" s="14">
        <f t="shared" si="93"/>
        <v>79.226337553065719</v>
      </c>
      <c r="CB119" s="22">
        <f t="shared" si="64"/>
        <v>727.84657123825593</v>
      </c>
      <c r="CC119" s="62">
        <f t="shared" si="65"/>
        <v>1021.1799045715893</v>
      </c>
      <c r="CD119" s="62">
        <f ca="1">AVERAGE(OFFSET($CC$3,0,0,'Données projet'!$E$12+1,1))-AVERAGE(OFFSET($H$3,0,0,'Données projet'!$E$12+1,1))</f>
        <v>587.74247372331615</v>
      </c>
      <c r="CE119" s="62">
        <f t="shared" si="94"/>
        <v>306.61893266146666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3.141025641025641</v>
      </c>
      <c r="CT119" s="13">
        <f>IF('Données projet'!$A$140&gt;35,CT118+CS119-DB118,IF(A119&lt;'Données projet'!$A$140,$CQ$205^A119,IF(A119='Données projet'!$A$140,'Données projet'!$B$140,CT118+CS119-DB118)))</f>
        <v>273.33333333333343</v>
      </c>
      <c r="CU119" s="18">
        <f>CT119*VLOOKUP('Données projet'!$B$13,Paramètres!$A$1:$I$89,3,0)*VLOOKUP('Données projet'!$B$13,Paramètres!$A$1:$I$89,5,0)</f>
        <v>260.1040000000001</v>
      </c>
      <c r="CV119" s="14">
        <f t="shared" si="95"/>
        <v>62.744546037419411</v>
      </c>
      <c r="CW119" s="22">
        <f t="shared" si="67"/>
        <v>562.29455101517226</v>
      </c>
      <c r="CX119" s="62">
        <f t="shared" si="68"/>
        <v>855.62788434850563</v>
      </c>
      <c r="CY119" s="62">
        <f ca="1">AVERAGE(OFFSET($CX$3,0,0,'Données projet'!$E$13+1,1))-AVERAGE(OFFSET($H$3,0,0,'Données projet'!$E$13+1,1))</f>
        <v>406.24139966722936</v>
      </c>
      <c r="CZ119" s="62">
        <f t="shared" si="96"/>
        <v>295.95724296920577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6.7984728957526396E-14</v>
      </c>
      <c r="DQ119" s="14">
        <f t="shared" si="97"/>
        <v>1.0682447123141398E-12</v>
      </c>
      <c r="DR119" s="22">
        <f t="shared" si="70"/>
        <v>1.978932943548152E-12</v>
      </c>
      <c r="DS119" s="62">
        <f t="shared" si="71"/>
        <v>293.3333333333353</v>
      </c>
      <c r="DT119" s="62">
        <f ca="1">AVERAGE(OFFSET($DS$3,0,0,'Données projet'!$E$14+1,1))-AVERAGE(OFFSET($H$3,0,0,'Données projet'!$E$14+1,1))</f>
        <v>356.42779334565381</v>
      </c>
      <c r="DU119" s="62">
        <f t="shared" si="98"/>
        <v>320.06572891923685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0.36609028028267249</v>
      </c>
      <c r="EC119" s="23">
        <f>EXP(-LN(2)/2)*EC118+(1-EXP(-LN(2)/2))/(LN(2)/2)*DW119*DZ119*VLOOKUP('Données projet'!$B$14,Paramètres!$A$1:$I$89,3,0)*0.475*44/12</f>
        <v>1.930468782607026E-12</v>
      </c>
      <c r="ED119" s="24">
        <f t="shared" si="72"/>
        <v>0.36609028028460294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-5.6843418860808015E-14</v>
      </c>
      <c r="FF119" s="18">
        <f>FE119*VLOOKUP('Données projet'!$B$16,Paramètres!$A$1:$I$89,3,0)*VLOOKUP('Données projet'!$B$16,Paramètres!$A$1:$I$89,5,0)</f>
        <v>-4.5224624045658861E-14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370.59298168107364</v>
      </c>
      <c r="FK119" s="62">
        <f t="shared" si="102"/>
        <v>404.61777090709171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4.5</v>
      </c>
      <c r="FZ119" s="13">
        <f>IF('Données projet'!$A$244&gt;35,FZ118+FY119-GH118,IF(A119&lt;'Données projet'!$A$244,$FW$205^A119,IF(A119='Données projet'!$A$244,'Données projet'!$B$244,FZ118+FY119-GH118)))</f>
        <v>333.99999999999989</v>
      </c>
      <c r="GA119" s="18">
        <f>FZ119*VLOOKUP('Données projet'!$B$17,Paramètres!$A$1:$I$89,3,0)*VLOOKUP('Données projet'!$B$17,Paramètres!$A$1:$I$89,5,0)</f>
        <v>323.0447999999999</v>
      </c>
      <c r="GB119" s="14">
        <f t="shared" si="103"/>
        <v>75.986533921791832</v>
      </c>
      <c r="GC119" s="22">
        <f t="shared" si="79"/>
        <v>694.97957324712058</v>
      </c>
      <c r="GD119" s="62">
        <f t="shared" si="80"/>
        <v>988.31290658045396</v>
      </c>
      <c r="GE119" s="62">
        <f ca="1">AVERAGE(OFFSET($GD$3,0,0,'Données projet'!$E$17+1,1))-AVERAGE(OFFSET($H$3,0,0,'Données projet'!$E$17+1,1))</f>
        <v>562.69380557620775</v>
      </c>
      <c r="GF119" s="62">
        <f t="shared" si="104"/>
        <v>294.45557293177131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>
        <f>GU119*VLOOKUP('Données projet'!$B$18,Paramètres!$A$1:$I$89,3,0)*VLOOKUP('Données projet'!$B$18,Paramètres!$A$1:$I$89,5,0)</f>
        <v>0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363.53487081291541</v>
      </c>
      <c r="HA119" s="62">
        <f t="shared" si="106"/>
        <v>308.1559670593121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953.01590619064291</v>
      </c>
      <c r="S120" s="62">
        <f ca="1">AVERAGE(OFFSET($R$3,0,0,'Données projet'!$E$9+1,1))-AVERAGE(OFFSET($H$3,0,0,'Données projet'!$E$9+1,1))</f>
        <v>529.25712986118265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338.49999999999989</v>
      </c>
      <c r="AJ120" s="14">
        <f>AI120*VLOOKUP('Données projet'!$B$10,Paramètres!$A$1:$I$89,3,0)*VLOOKUP('Données projet'!$B$10,Paramètres!$A$1:$I$89,5,0)</f>
        <v>285.15239999999994</v>
      </c>
      <c r="AK120" s="14">
        <f t="shared" si="89"/>
        <v>68.054700905071499</v>
      </c>
      <c r="AL120" s="22">
        <f t="shared" si="58"/>
        <v>615.16903407633276</v>
      </c>
      <c r="AM120" s="62">
        <f t="shared" si="59"/>
        <v>908.50236740966602</v>
      </c>
      <c r="AN120" s="62">
        <f ca="1">AVERAGE(OFFSET($AM$3,0,0,'Données projet'!$E$10+1,1))-AVERAGE(OFFSET($H$3,0,0,'Données projet'!$E$10+1,1))</f>
        <v>495.77338291316386</v>
      </c>
      <c r="AO120" s="62">
        <f t="shared" si="90"/>
        <v>261.95434270986397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1.1380052455933766E-13</v>
      </c>
      <c r="BF120" s="14">
        <f t="shared" si="91"/>
        <v>1.6840738663456724E-12</v>
      </c>
      <c r="BG120" s="22">
        <f t="shared" si="61"/>
        <v>3.1312978974928925E-12</v>
      </c>
      <c r="BH120" s="62">
        <f t="shared" si="62"/>
        <v>293.33333333333644</v>
      </c>
      <c r="BI120" s="62">
        <f ca="1">AVERAGE(OFFSET($BH$3,0,0,'Données projet'!$E$11+1,1))-AVERAGE(OFFSET($H$3,0,0,'Données projet'!$E$11+1,1))</f>
        <v>320.67081032419122</v>
      </c>
      <c r="BJ120" s="62">
        <f t="shared" si="92"/>
        <v>290.51177680335746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0.21599800151676915</v>
      </c>
      <c r="BR120" s="23">
        <f>EXP(-LN(2)/2)*BR119+(1-EXP(-LN(2)/2))/(LN(2)/2)*BL120*BO120*VLOOKUP('Données projet'!$B$11,Paramètres!$A$1:$I$89,3,0)*0.475*44/12</f>
        <v>8.6592423579223679E-13</v>
      </c>
      <c r="BS120" s="24">
        <f t="shared" si="63"/>
        <v>0.21599800151763507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338.49999999999989</v>
      </c>
      <c r="BZ120" s="14">
        <f>BY120*VLOOKUP('Données projet'!$B$12,Paramètres!$A$1:$I$89,3,0)*VLOOKUP('Données projet'!$B$12,Paramètres!$A$1:$I$89,5,0)</f>
        <v>343.23899999999986</v>
      </c>
      <c r="CA120" s="14">
        <f t="shared" si="93"/>
        <v>80.168774607305807</v>
      </c>
      <c r="CB120" s="22">
        <f t="shared" si="64"/>
        <v>737.43520744105729</v>
      </c>
      <c r="CC120" s="62">
        <f t="shared" si="65"/>
        <v>1030.7685407743907</v>
      </c>
      <c r="CD120" s="62">
        <f ca="1">AVERAGE(OFFSET($CC$3,0,0,'Données projet'!$E$12+1,1))-AVERAGE(OFFSET($H$3,0,0,'Données projet'!$E$12+1,1))</f>
        <v>587.74247372331615</v>
      </c>
      <c r="CE120" s="62">
        <f t="shared" si="94"/>
        <v>306.61893266146666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3.141025641025641</v>
      </c>
      <c r="CT120" s="13">
        <f>IF('Données projet'!$A$140&gt;35,CT119+CS120-DB119,IF(A120&lt;'Données projet'!$A$140,$CQ$205^A120,IF(A120='Données projet'!$A$140,'Données projet'!$B$140,CT119+CS120-DB119)))</f>
        <v>276.47435897435906</v>
      </c>
      <c r="CU120" s="18">
        <f>CT120*VLOOKUP('Données projet'!$B$13,Paramètres!$A$1:$I$89,3,0)*VLOOKUP('Données projet'!$B$13,Paramètres!$A$1:$I$89,5,0)</f>
        <v>263.09300000000007</v>
      </c>
      <c r="CV120" s="14">
        <f t="shared" si="95"/>
        <v>63.381226101139966</v>
      </c>
      <c r="CW120" s="22">
        <f t="shared" si="67"/>
        <v>568.60927712615228</v>
      </c>
      <c r="CX120" s="62">
        <f t="shared" si="68"/>
        <v>861.94261045948565</v>
      </c>
      <c r="CY120" s="62">
        <f ca="1">AVERAGE(OFFSET($CX$3,0,0,'Données projet'!$E$13+1,1))-AVERAGE(OFFSET($H$3,0,0,'Données projet'!$E$13+1,1))</f>
        <v>406.24139966722936</v>
      </c>
      <c r="CZ120" s="62">
        <f t="shared" si="96"/>
        <v>295.95724296920577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6.7984728957526396E-14</v>
      </c>
      <c r="DQ120" s="14">
        <f t="shared" si="97"/>
        <v>1.0682447123141398E-12</v>
      </c>
      <c r="DR120" s="22">
        <f t="shared" si="70"/>
        <v>1.978932943548152E-12</v>
      </c>
      <c r="DS120" s="62">
        <f t="shared" si="71"/>
        <v>293.3333333333353</v>
      </c>
      <c r="DT120" s="62">
        <f ca="1">AVERAGE(OFFSET($DS$3,0,0,'Données projet'!$E$14+1,1))-AVERAGE(OFFSET($H$3,0,0,'Données projet'!$E$14+1,1))</f>
        <v>356.42779334565381</v>
      </c>
      <c r="DU120" s="62">
        <f t="shared" si="98"/>
        <v>320.06572891923685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0.3560795223164917</v>
      </c>
      <c r="EC120" s="23">
        <f>EXP(-LN(2)/2)*EC119+(1-EXP(-LN(2)/2))/(LN(2)/2)*DW120*DZ120*VLOOKUP('Données projet'!$B$14,Paramètres!$A$1:$I$89,3,0)*0.475*44/12</f>
        <v>1.3650475670503671E-12</v>
      </c>
      <c r="ED120" s="24">
        <f t="shared" si="72"/>
        <v>0.35607952231785678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-5.6843418860808015E-14</v>
      </c>
      <c r="FF120" s="18">
        <f>FE120*VLOOKUP('Données projet'!$B$16,Paramètres!$A$1:$I$89,3,0)*VLOOKUP('Données projet'!$B$16,Paramètres!$A$1:$I$89,5,0)</f>
        <v>-4.5224624045658861E-14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370.59298168107364</v>
      </c>
      <c r="FK120" s="62">
        <f t="shared" si="102"/>
        <v>404.61777090709171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4.5</v>
      </c>
      <c r="FZ120" s="13">
        <f>IF('Données projet'!$A$244&gt;35,FZ119+FY120-GH119,IF(A120&lt;'Données projet'!$A$244,$FW$205^A120,IF(A120='Données projet'!$A$244,'Données projet'!$B$244,FZ119+FY120-GH119)))</f>
        <v>338.49999999999989</v>
      </c>
      <c r="GA120" s="18">
        <f>FZ120*VLOOKUP('Données projet'!$B$17,Paramètres!$A$1:$I$89,3,0)*VLOOKUP('Données projet'!$B$17,Paramètres!$A$1:$I$89,5,0)</f>
        <v>327.39719999999988</v>
      </c>
      <c r="GB120" s="14">
        <f t="shared" si="103"/>
        <v>76.890431885561796</v>
      </c>
      <c r="GC120" s="22">
        <f t="shared" si="79"/>
        <v>704.13429220068656</v>
      </c>
      <c r="GD120" s="62">
        <f t="shared" si="80"/>
        <v>997.46762553401982</v>
      </c>
      <c r="GE120" s="62">
        <f ca="1">AVERAGE(OFFSET($GD$3,0,0,'Données projet'!$E$17+1,1))-AVERAGE(OFFSET($H$3,0,0,'Données projet'!$E$17+1,1))</f>
        <v>562.69380557620775</v>
      </c>
      <c r="GF120" s="62">
        <f t="shared" si="104"/>
        <v>294.45557293177131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>
        <f>GU120*VLOOKUP('Données projet'!$B$18,Paramètres!$A$1:$I$89,3,0)*VLOOKUP('Données projet'!$B$18,Paramètres!$A$1:$I$89,5,0)</f>
        <v>0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363.53487081291541</v>
      </c>
      <c r="HA120" s="62">
        <f t="shared" si="106"/>
        <v>308.1559670593121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961.58918019513294</v>
      </c>
      <c r="S121" s="62">
        <f ca="1">AVERAGE(OFFSET($R$3,0,0,'Données projet'!$E$9+1,1))-AVERAGE(OFFSET($H$3,0,0,'Données projet'!$E$9+1,1))</f>
        <v>529.25712986118265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342.99999999999989</v>
      </c>
      <c r="AJ121" s="14">
        <f>AI121*VLOOKUP('Données projet'!$B$10,Paramètres!$A$1:$I$89,3,0)*VLOOKUP('Données projet'!$B$10,Paramètres!$A$1:$I$89,5,0)</f>
        <v>288.94319999999993</v>
      </c>
      <c r="AK121" s="14">
        <f t="shared" si="89"/>
        <v>68.853491941116729</v>
      </c>
      <c r="AL121" s="22">
        <f t="shared" si="58"/>
        <v>623.16257179744491</v>
      </c>
      <c r="AM121" s="62">
        <f t="shared" si="59"/>
        <v>916.49590513077828</v>
      </c>
      <c r="AN121" s="62">
        <f ca="1">AVERAGE(OFFSET($AM$3,0,0,'Données projet'!$E$10+1,1))-AVERAGE(OFFSET($H$3,0,0,'Données projet'!$E$10+1,1))</f>
        <v>495.77338291316386</v>
      </c>
      <c r="AO121" s="62">
        <f t="shared" si="90"/>
        <v>261.95434270986397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1.1380052455933766E-13</v>
      </c>
      <c r="BF121" s="14">
        <f t="shared" si="91"/>
        <v>1.6840738663456724E-12</v>
      </c>
      <c r="BG121" s="22">
        <f t="shared" si="61"/>
        <v>3.1312978974928925E-12</v>
      </c>
      <c r="BH121" s="62">
        <f t="shared" si="62"/>
        <v>293.33333333333644</v>
      </c>
      <c r="BI121" s="62">
        <f ca="1">AVERAGE(OFFSET($BH$3,0,0,'Données projet'!$E$11+1,1))-AVERAGE(OFFSET($H$3,0,0,'Données projet'!$E$11+1,1))</f>
        <v>320.67081032419122</v>
      </c>
      <c r="BJ121" s="62">
        <f t="shared" si="92"/>
        <v>290.51177680335746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0.21009152480645188</v>
      </c>
      <c r="BR121" s="23">
        <f>EXP(-LN(2)/2)*BR120+(1-EXP(-LN(2)/2))/(LN(2)/2)*BL121*BO121*VLOOKUP('Données projet'!$B$11,Paramètres!$A$1:$I$89,3,0)*0.475*44/12</f>
        <v>6.1230089912246955E-13</v>
      </c>
      <c r="BS121" s="24">
        <f t="shared" si="63"/>
        <v>0.21009152480706417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342.99999999999989</v>
      </c>
      <c r="BZ121" s="14">
        <f>BY121*VLOOKUP('Données projet'!$B$12,Paramètres!$A$1:$I$89,3,0)*VLOOKUP('Données projet'!$B$12,Paramètres!$A$1:$I$89,5,0)</f>
        <v>347.80199999999991</v>
      </c>
      <c r="CA121" s="14">
        <f t="shared" si="93"/>
        <v>81.109754402608502</v>
      </c>
      <c r="CB121" s="22">
        <f t="shared" si="64"/>
        <v>747.02130558454292</v>
      </c>
      <c r="CC121" s="62">
        <f t="shared" si="65"/>
        <v>1040.3546389178762</v>
      </c>
      <c r="CD121" s="62">
        <f ca="1">AVERAGE(OFFSET($CC$3,0,0,'Données projet'!$E$12+1,1))-AVERAGE(OFFSET($H$3,0,0,'Données projet'!$E$12+1,1))</f>
        <v>587.74247372331615</v>
      </c>
      <c r="CE121" s="62">
        <f t="shared" si="94"/>
        <v>306.61893266146666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3.141025641025641</v>
      </c>
      <c r="CT121" s="13">
        <f>IF('Données projet'!$A$140&gt;35,CT120+CS121-DB120,IF(A121&lt;'Données projet'!$A$140,$CQ$205^A121,IF(A121='Données projet'!$A$140,'Données projet'!$B$140,CT120+CS121-DB120)))</f>
        <v>279.6153846153847</v>
      </c>
      <c r="CU121" s="18">
        <f>CT121*VLOOKUP('Données projet'!$B$13,Paramètres!$A$1:$I$89,3,0)*VLOOKUP('Données projet'!$B$13,Paramètres!$A$1:$I$89,5,0)</f>
        <v>266.08200000000005</v>
      </c>
      <c r="CV121" s="14">
        <f t="shared" si="95"/>
        <v>64.017064743360152</v>
      </c>
      <c r="CW121" s="22">
        <f t="shared" si="67"/>
        <v>574.92253776135237</v>
      </c>
      <c r="CX121" s="62">
        <f t="shared" si="68"/>
        <v>868.25587109468574</v>
      </c>
      <c r="CY121" s="62">
        <f ca="1">AVERAGE(OFFSET($CX$3,0,0,'Données projet'!$E$13+1,1))-AVERAGE(OFFSET($H$3,0,0,'Données projet'!$E$13+1,1))</f>
        <v>406.24139966722936</v>
      </c>
      <c r="CZ121" s="62">
        <f t="shared" si="96"/>
        <v>295.95724296920577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6.7984728957526396E-14</v>
      </c>
      <c r="DQ121" s="14">
        <f t="shared" si="97"/>
        <v>1.0682447123141398E-12</v>
      </c>
      <c r="DR121" s="22">
        <f t="shared" si="70"/>
        <v>1.978932943548152E-12</v>
      </c>
      <c r="DS121" s="62">
        <f t="shared" si="71"/>
        <v>293.3333333333353</v>
      </c>
      <c r="DT121" s="62">
        <f ca="1">AVERAGE(OFFSET($DS$3,0,0,'Données projet'!$E$14+1,1))-AVERAGE(OFFSET($H$3,0,0,'Données projet'!$E$14+1,1))</f>
        <v>356.42779334565381</v>
      </c>
      <c r="DU121" s="62">
        <f t="shared" si="98"/>
        <v>320.06572891923685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0.34634250905333896</v>
      </c>
      <c r="EC121" s="23">
        <f>EXP(-LN(2)/2)*EC120+(1-EXP(-LN(2)/2))/(LN(2)/2)*DW121*DZ121*VLOOKUP('Données projet'!$B$14,Paramètres!$A$1:$I$89,3,0)*0.475*44/12</f>
        <v>9.65234391303513E-13</v>
      </c>
      <c r="ED121" s="24">
        <f t="shared" si="72"/>
        <v>0.34634250905430419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-5.6843418860808015E-14</v>
      </c>
      <c r="FF121" s="18">
        <f>FE121*VLOOKUP('Données projet'!$B$16,Paramètres!$A$1:$I$89,3,0)*VLOOKUP('Données projet'!$B$16,Paramètres!$A$1:$I$89,5,0)</f>
        <v>-4.5224624045658861E-14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370.59298168107364</v>
      </c>
      <c r="FK121" s="62">
        <f t="shared" si="102"/>
        <v>404.61777090709171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4.5</v>
      </c>
      <c r="FZ121" s="13">
        <f>IF('Données projet'!$A$244&gt;35,FZ120+FY121-GH120,IF(A121&lt;'Données projet'!$A$244,$FW$205^A121,IF(A121='Données projet'!$A$244,'Données projet'!$B$244,FZ120+FY121-GH120)))</f>
        <v>342.99999999999989</v>
      </c>
      <c r="GA121" s="18">
        <f>FZ121*VLOOKUP('Données projet'!$B$17,Paramètres!$A$1:$I$89,3,0)*VLOOKUP('Données projet'!$B$17,Paramètres!$A$1:$I$89,5,0)</f>
        <v>331.74959999999993</v>
      </c>
      <c r="GB121" s="14">
        <f t="shared" si="103"/>
        <v>77.792932182102803</v>
      </c>
      <c r="GC121" s="22">
        <f t="shared" si="79"/>
        <v>713.28657688382884</v>
      </c>
      <c r="GD121" s="62">
        <f t="shared" si="80"/>
        <v>1006.6199102171622</v>
      </c>
      <c r="GE121" s="62">
        <f ca="1">AVERAGE(OFFSET($GD$3,0,0,'Données projet'!$E$17+1,1))-AVERAGE(OFFSET($H$3,0,0,'Données projet'!$E$17+1,1))</f>
        <v>562.69380557620775</v>
      </c>
      <c r="GF121" s="62">
        <f t="shared" si="104"/>
        <v>294.45557293177131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>
        <f>GU121*VLOOKUP('Données projet'!$B$18,Paramètres!$A$1:$I$89,3,0)*VLOOKUP('Données projet'!$B$18,Paramètres!$A$1:$I$89,5,0)</f>
        <v>0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363.53487081291541</v>
      </c>
      <c r="HA121" s="62">
        <f t="shared" si="106"/>
        <v>308.1559670593121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970.16019282219099</v>
      </c>
      <c r="S122" s="62">
        <f ca="1">AVERAGE(OFFSET($R$3,0,0,'Données projet'!$E$9+1,1))-AVERAGE(OFFSET($H$3,0,0,'Données projet'!$E$9+1,1))</f>
        <v>529.25712986118265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347.49999999999989</v>
      </c>
      <c r="AJ122" s="14">
        <f>AI122*VLOOKUP('Données projet'!$B$10,Paramètres!$A$1:$I$89,3,0)*VLOOKUP('Données projet'!$B$10,Paramètres!$A$1:$I$89,5,0)</f>
        <v>292.73399999999992</v>
      </c>
      <c r="AK122" s="14">
        <f t="shared" si="89"/>
        <v>69.651064026395645</v>
      </c>
      <c r="AL122" s="22">
        <f t="shared" si="58"/>
        <v>631.15398651263888</v>
      </c>
      <c r="AM122" s="62">
        <f t="shared" si="59"/>
        <v>924.48731984597225</v>
      </c>
      <c r="AN122" s="62">
        <f ca="1">AVERAGE(OFFSET($AM$3,0,0,'Données projet'!$E$10+1,1))-AVERAGE(OFFSET($H$3,0,0,'Données projet'!$E$10+1,1))</f>
        <v>495.77338291316386</v>
      </c>
      <c r="AO122" s="62">
        <f t="shared" si="90"/>
        <v>261.95434270986397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1.1380052455933766E-13</v>
      </c>
      <c r="BF122" s="14">
        <f t="shared" si="91"/>
        <v>1.6840738663456724E-12</v>
      </c>
      <c r="BG122" s="22">
        <f t="shared" si="61"/>
        <v>3.1312978974928925E-12</v>
      </c>
      <c r="BH122" s="62">
        <f t="shared" si="62"/>
        <v>293.33333333333644</v>
      </c>
      <c r="BI122" s="62">
        <f ca="1">AVERAGE(OFFSET($BH$3,0,0,'Données projet'!$E$11+1,1))-AVERAGE(OFFSET($H$3,0,0,'Données projet'!$E$11+1,1))</f>
        <v>320.67081032419122</v>
      </c>
      <c r="BJ122" s="62">
        <f t="shared" si="92"/>
        <v>290.51177680335746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0.20434656101238632</v>
      </c>
      <c r="BR122" s="23">
        <f>EXP(-LN(2)/2)*BR121+(1-EXP(-LN(2)/2))/(LN(2)/2)*BL122*BO122*VLOOKUP('Données projet'!$B$11,Paramètres!$A$1:$I$89,3,0)*0.475*44/12</f>
        <v>4.3296211789611839E-13</v>
      </c>
      <c r="BS122" s="24">
        <f t="shared" si="63"/>
        <v>0.20434656101281928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347.49999999999989</v>
      </c>
      <c r="BZ122" s="14">
        <f>BY122*VLOOKUP('Données projet'!$B$12,Paramètres!$A$1:$I$89,3,0)*VLOOKUP('Données projet'!$B$12,Paramètres!$A$1:$I$89,5,0)</f>
        <v>352.3649999999999</v>
      </c>
      <c r="CA122" s="14">
        <f t="shared" si="93"/>
        <v>82.049298267873581</v>
      </c>
      <c r="CB122" s="22">
        <f t="shared" si="64"/>
        <v>756.60490281654631</v>
      </c>
      <c r="CC122" s="62">
        <f t="shared" si="65"/>
        <v>1049.9382361498797</v>
      </c>
      <c r="CD122" s="62">
        <f ca="1">AVERAGE(OFFSET($CC$3,0,0,'Données projet'!$E$12+1,1))-AVERAGE(OFFSET($H$3,0,0,'Données projet'!$E$12+1,1))</f>
        <v>587.74247372331615</v>
      </c>
      <c r="CE122" s="62">
        <f t="shared" si="94"/>
        <v>306.61893266146666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3.141025641025641</v>
      </c>
      <c r="CT122" s="13">
        <f>IF('Données projet'!$A$140&gt;35,CT121+CS122-DB121,IF(A122&lt;'Données projet'!$A$140,$CQ$205^A122,IF(A122='Données projet'!$A$140,'Données projet'!$B$140,CT121+CS122-DB121)))</f>
        <v>282.75641025641033</v>
      </c>
      <c r="CU122" s="18">
        <f>CT122*VLOOKUP('Données projet'!$B$13,Paramètres!$A$1:$I$89,3,0)*VLOOKUP('Données projet'!$B$13,Paramètres!$A$1:$I$89,5,0)</f>
        <v>269.07100000000008</v>
      </c>
      <c r="CV122" s="14">
        <f t="shared" si="95"/>
        <v>64.652072509850228</v>
      </c>
      <c r="CW122" s="22">
        <f t="shared" si="67"/>
        <v>581.2343512879894</v>
      </c>
      <c r="CX122" s="62">
        <f t="shared" si="68"/>
        <v>874.56768462132277</v>
      </c>
      <c r="CY122" s="62">
        <f ca="1">AVERAGE(OFFSET($CX$3,0,0,'Données projet'!$E$13+1,1))-AVERAGE(OFFSET($H$3,0,0,'Données projet'!$E$13+1,1))</f>
        <v>406.24139966722936</v>
      </c>
      <c r="CZ122" s="62">
        <f t="shared" si="96"/>
        <v>295.95724296920577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6.7984728957526396E-14</v>
      </c>
      <c r="DQ122" s="14">
        <f t="shared" si="97"/>
        <v>1.0682447123141398E-12</v>
      </c>
      <c r="DR122" s="22">
        <f t="shared" si="70"/>
        <v>1.978932943548152E-12</v>
      </c>
      <c r="DS122" s="62">
        <f t="shared" si="71"/>
        <v>293.3333333333353</v>
      </c>
      <c r="DT122" s="62">
        <f ca="1">AVERAGE(OFFSET($DS$3,0,0,'Données projet'!$E$14+1,1))-AVERAGE(OFFSET($H$3,0,0,'Données projet'!$E$14+1,1))</f>
        <v>356.42779334565381</v>
      </c>
      <c r="DU122" s="62">
        <f t="shared" si="98"/>
        <v>320.06572891923685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0.33687175492991445</v>
      </c>
      <c r="EC122" s="23">
        <f>EXP(-LN(2)/2)*EC121+(1-EXP(-LN(2)/2))/(LN(2)/2)*DW122*DZ122*VLOOKUP('Données projet'!$B$14,Paramètres!$A$1:$I$89,3,0)*0.475*44/12</f>
        <v>6.8252378352518357E-13</v>
      </c>
      <c r="ED122" s="24">
        <f t="shared" si="72"/>
        <v>0.33687175493059696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-5.6843418860808015E-14</v>
      </c>
      <c r="FF122" s="18">
        <f>FE122*VLOOKUP('Données projet'!$B$16,Paramètres!$A$1:$I$89,3,0)*VLOOKUP('Données projet'!$B$16,Paramètres!$A$1:$I$89,5,0)</f>
        <v>-4.5224624045658861E-14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370.59298168107364</v>
      </c>
      <c r="FK122" s="62">
        <f t="shared" si="102"/>
        <v>404.61777090709171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4.5</v>
      </c>
      <c r="FZ122" s="13">
        <f>IF('Données projet'!$A$244&gt;35,FZ121+FY122-GH121,IF(A122&lt;'Données projet'!$A$244,$FW$205^A122,IF(A122='Données projet'!$A$244,'Données projet'!$B$244,FZ121+FY122-GH121)))</f>
        <v>347.49999999999989</v>
      </c>
      <c r="GA122" s="18">
        <f>FZ122*VLOOKUP('Données projet'!$B$17,Paramètres!$A$1:$I$89,3,0)*VLOOKUP('Données projet'!$B$17,Paramètres!$A$1:$I$89,5,0)</f>
        <v>336.10199999999992</v>
      </c>
      <c r="GB122" s="14">
        <f t="shared" si="103"/>
        <v>78.694055268111313</v>
      </c>
      <c r="GC122" s="22">
        <f t="shared" si="79"/>
        <v>722.43646292529365</v>
      </c>
      <c r="GD122" s="62">
        <f t="shared" si="80"/>
        <v>1015.7697962586269</v>
      </c>
      <c r="GE122" s="62">
        <f ca="1">AVERAGE(OFFSET($GD$3,0,0,'Données projet'!$E$17+1,1))-AVERAGE(OFFSET($H$3,0,0,'Données projet'!$E$17+1,1))</f>
        <v>562.69380557620775</v>
      </c>
      <c r="GF122" s="62">
        <f t="shared" si="104"/>
        <v>294.45557293177131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>
        <f>GU122*VLOOKUP('Données projet'!$B$18,Paramètres!$A$1:$I$89,3,0)*VLOOKUP('Données projet'!$B$18,Paramètres!$A$1:$I$89,5,0)</f>
        <v>0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363.53487081291541</v>
      </c>
      <c r="HA122" s="62">
        <f t="shared" si="106"/>
        <v>308.1559670593121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978.72897674171145</v>
      </c>
      <c r="S123" s="62">
        <f ca="1">AVERAGE(OFFSET($R$3,0,0,'Données projet'!$E$9+1,1))-AVERAGE(OFFSET($H$3,0,0,'Données projet'!$E$9+1,1))</f>
        <v>529.25712986118265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351.99999999999989</v>
      </c>
      <c r="AJ123" s="14">
        <f>AI123*VLOOKUP('Données projet'!$B$10,Paramètres!$A$1:$I$89,3,0)*VLOOKUP('Données projet'!$B$10,Paramètres!$A$1:$I$89,5,0)</f>
        <v>296.52479999999991</v>
      </c>
      <c r="AK123" s="14">
        <f t="shared" si="89"/>
        <v>70.447434770968528</v>
      </c>
      <c r="AL123" s="22">
        <f t="shared" si="58"/>
        <v>639.14330889277005</v>
      </c>
      <c r="AM123" s="62">
        <f t="shared" si="59"/>
        <v>932.47664222610342</v>
      </c>
      <c r="AN123" s="62">
        <f ca="1">AVERAGE(OFFSET($AM$3,0,0,'Données projet'!$E$10+1,1))-AVERAGE(OFFSET($H$3,0,0,'Données projet'!$E$10+1,1))</f>
        <v>495.77338291316386</v>
      </c>
      <c r="AO123" s="62">
        <f t="shared" si="90"/>
        <v>261.95434270986397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1.1380052455933766E-13</v>
      </c>
      <c r="BF123" s="14">
        <f t="shared" si="91"/>
        <v>1.6840738663456724E-12</v>
      </c>
      <c r="BG123" s="22">
        <f t="shared" si="61"/>
        <v>3.1312978974928925E-12</v>
      </c>
      <c r="BH123" s="62">
        <f t="shared" si="62"/>
        <v>293.33333333333644</v>
      </c>
      <c r="BI123" s="62">
        <f ca="1">AVERAGE(OFFSET($BH$3,0,0,'Données projet'!$E$11+1,1))-AVERAGE(OFFSET($H$3,0,0,'Données projet'!$E$11+1,1))</f>
        <v>320.67081032419122</v>
      </c>
      <c r="BJ123" s="62">
        <f t="shared" si="92"/>
        <v>290.51177680335746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0.19875869355538403</v>
      </c>
      <c r="BR123" s="23">
        <f>EXP(-LN(2)/2)*BR122+(1-EXP(-LN(2)/2))/(LN(2)/2)*BL123*BO123*VLOOKUP('Données projet'!$B$11,Paramètres!$A$1:$I$89,3,0)*0.475*44/12</f>
        <v>3.0615044956123478E-13</v>
      </c>
      <c r="BS123" s="24">
        <f t="shared" si="63"/>
        <v>0.19875869355569017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352</v>
      </c>
      <c r="BW123" s="13">
        <f>VLOOKUP(A123,'Données projet'!$A$113:$I$133,9,0)</f>
        <v>4.5</v>
      </c>
      <c r="BX123" s="13">
        <f t="array" ref="BX123">INDEX(BW:BW,MIN(IF(ISNUMBER(BW123:BW319),ROW(BW123:BW319),"")))</f>
        <v>4.5</v>
      </c>
      <c r="BY123" s="13">
        <f>IF('Données projet'!$A$114&gt;35,BY122+BX123-CG122,IF(A123&lt;'Données projet'!$A$114,$BV$205^A123,IF(A123='Données projet'!$A$114,'Données projet'!$B$114,BY122+BX123-CG122)))</f>
        <v>351.99999999999989</v>
      </c>
      <c r="BZ123" s="14">
        <f>BY123*VLOOKUP('Données projet'!$B$12,Paramètres!$A$1:$I$89,3,0)*VLOOKUP('Données projet'!$B$12,Paramètres!$A$1:$I$89,5,0)</f>
        <v>356.92799999999988</v>
      </c>
      <c r="CA123" s="14">
        <f t="shared" si="93"/>
        <v>82.987426947838912</v>
      </c>
      <c r="CB123" s="22">
        <f t="shared" si="64"/>
        <v>766.18603526748586</v>
      </c>
      <c r="CC123" s="62">
        <f t="shared" si="65"/>
        <v>1059.5193686008192</v>
      </c>
      <c r="CD123" s="62">
        <f ca="1">AVERAGE(OFFSET($CC$3,0,0,'Données projet'!$E$12+1,1))-AVERAGE(OFFSET($H$3,0,0,'Données projet'!$E$12+1,1))</f>
        <v>587.74247372331615</v>
      </c>
      <c r="CE123" s="62">
        <f t="shared" si="94"/>
        <v>306.61893266146666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285.89743589743591</v>
      </c>
      <c r="CR123" s="13">
        <f>VLOOKUP(A123,'Données projet'!$A$139:$I$159,9,0)</f>
        <v>3.141025641025641</v>
      </c>
      <c r="CS123" s="13">
        <f t="array" ref="CS123">INDEX(CR:CR,MIN(IF(ISNUMBER(CR123:CR319),ROW(CR123:CR319),"")))</f>
        <v>3.141025641025641</v>
      </c>
      <c r="CT123" s="13">
        <f>IF('Données projet'!$A$140&gt;35,CT122+CS123-DB122,IF(A123&lt;'Données projet'!$A$140,$CQ$205^A123,IF(A123='Données projet'!$A$140,'Données projet'!$B$140,CT122+CS123-DB122)))</f>
        <v>285.89743589743597</v>
      </c>
      <c r="CU123" s="18">
        <f>CT123*VLOOKUP('Données projet'!$B$13,Paramètres!$A$1:$I$89,3,0)*VLOOKUP('Données projet'!$B$13,Paramètres!$A$1:$I$89,5,0)</f>
        <v>272.06000000000006</v>
      </c>
      <c r="CV123" s="14">
        <f t="shared" si="95"/>
        <v>65.286259698592175</v>
      </c>
      <c r="CW123" s="22">
        <f t="shared" si="67"/>
        <v>587.54473564171474</v>
      </c>
      <c r="CX123" s="62">
        <f t="shared" si="68"/>
        <v>880.87806897504811</v>
      </c>
      <c r="CY123" s="62">
        <f ca="1">AVERAGE(OFFSET($CX$3,0,0,'Données projet'!$E$13+1,1))-AVERAGE(OFFSET($H$3,0,0,'Données projet'!$E$13+1,1))</f>
        <v>406.24139966722936</v>
      </c>
      <c r="CZ123" s="62">
        <f t="shared" si="96"/>
        <v>295.95724296920577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285.89743589743591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6.7984728957526396E-14</v>
      </c>
      <c r="DQ123" s="14">
        <f t="shared" si="97"/>
        <v>1.0682447123141398E-12</v>
      </c>
      <c r="DR123" s="22">
        <f t="shared" si="70"/>
        <v>1.978932943548152E-12</v>
      </c>
      <c r="DS123" s="62">
        <f t="shared" si="71"/>
        <v>293.3333333333353</v>
      </c>
      <c r="DT123" s="62">
        <f ca="1">AVERAGE(OFFSET($DS$3,0,0,'Données projet'!$E$14+1,1))-AVERAGE(OFFSET($H$3,0,0,'Données projet'!$E$14+1,1))</f>
        <v>356.42779334565381</v>
      </c>
      <c r="DU123" s="62">
        <f t="shared" si="98"/>
        <v>320.06572891923685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0.32765997907604028</v>
      </c>
      <c r="EC123" s="23">
        <f>EXP(-LN(2)/2)*EC122+(1-EXP(-LN(2)/2))/(LN(2)/2)*DW123*DZ123*VLOOKUP('Données projet'!$B$14,Paramètres!$A$1:$I$89,3,0)*0.475*44/12</f>
        <v>4.826171956517565E-13</v>
      </c>
      <c r="ED123" s="24">
        <f t="shared" si="72"/>
        <v>0.32765997907652289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-5.6843418860808015E-14</v>
      </c>
      <c r="FF123" s="18">
        <f>FE123*VLOOKUP('Données projet'!$B$16,Paramètres!$A$1:$I$89,3,0)*VLOOKUP('Données projet'!$B$16,Paramètres!$A$1:$I$89,5,0)</f>
        <v>-4.5224624045658861E-14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370.59298168107364</v>
      </c>
      <c r="FK123" s="62">
        <f t="shared" si="102"/>
        <v>404.61777090709171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352</v>
      </c>
      <c r="FX123" s="13">
        <f>VLOOKUP(A123,'Données projet'!$A$243:$I$263,9,0)</f>
        <v>4.5</v>
      </c>
      <c r="FY123" s="13">
        <f t="array" ref="FY123">INDEX(FX:FX,MIN(IF(ISNUMBER(FX123:FX319),ROW(FX123:FX319),"")))</f>
        <v>4.5</v>
      </c>
      <c r="FZ123" s="13">
        <f>IF('Données projet'!$A$244&gt;35,FZ122+FY123-GH122,IF(A123&lt;'Données projet'!$A$244,$FW$205^A123,IF(A123='Données projet'!$A$244,'Données projet'!$B$244,FZ122+FY123-GH122)))</f>
        <v>351.99999999999989</v>
      </c>
      <c r="GA123" s="18">
        <f>FZ123*VLOOKUP('Données projet'!$B$17,Paramètres!$A$1:$I$89,3,0)*VLOOKUP('Données projet'!$B$17,Paramètres!$A$1:$I$89,5,0)</f>
        <v>340.45439999999991</v>
      </c>
      <c r="GB123" s="14">
        <f t="shared" si="103"/>
        <v>79.593821040010667</v>
      </c>
      <c r="GC123" s="22">
        <f t="shared" si="79"/>
        <v>731.58398497801829</v>
      </c>
      <c r="GD123" s="62">
        <f t="shared" si="80"/>
        <v>1024.9173183113517</v>
      </c>
      <c r="GE123" s="62">
        <f ca="1">AVERAGE(OFFSET($GD$3,0,0,'Données projet'!$E$17+1,1))-AVERAGE(OFFSET($H$3,0,0,'Données projet'!$E$17+1,1))</f>
        <v>562.69380557620775</v>
      </c>
      <c r="GF123" s="62">
        <f t="shared" si="104"/>
        <v>294.45557293177131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>
        <f>GU123*VLOOKUP('Données projet'!$B$18,Paramètres!$A$1:$I$89,3,0)*VLOOKUP('Données projet'!$B$18,Paramètres!$A$1:$I$89,5,0)</f>
        <v>0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363.53487081291541</v>
      </c>
      <c r="HA123" s="62">
        <f t="shared" si="106"/>
        <v>308.1559670593121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986.72452566428115</v>
      </c>
      <c r="S124" s="62">
        <f ca="1">AVERAGE(OFFSET($R$3,0,0,'Données projet'!$E$9+1,1))-AVERAGE(OFFSET($H$3,0,0,'Données projet'!$E$9+1,1))</f>
        <v>529.25712986118265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356.19999999999987</v>
      </c>
      <c r="AJ124" s="14">
        <f>AI124*VLOOKUP('Données projet'!$B$10,Paramètres!$A$1:$I$89,3,0)*VLOOKUP('Données projet'!$B$10,Paramètres!$A$1:$I$89,5,0)</f>
        <v>300.06287999999995</v>
      </c>
      <c r="AK124" s="14">
        <f t="shared" si="89"/>
        <v>71.189645378143979</v>
      </c>
      <c r="AL124" s="22">
        <f t="shared" si="58"/>
        <v>646.59814836693397</v>
      </c>
      <c r="AM124" s="62">
        <f t="shared" si="59"/>
        <v>939.93148170026734</v>
      </c>
      <c r="AN124" s="62">
        <f ca="1">AVERAGE(OFFSET($AM$3,0,0,'Données projet'!$E$10+1,1))-AVERAGE(OFFSET($H$3,0,0,'Données projet'!$E$10+1,1))</f>
        <v>495.77338291316386</v>
      </c>
      <c r="AO124" s="62">
        <f t="shared" si="90"/>
        <v>261.95434270986397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1.1380052455933766E-13</v>
      </c>
      <c r="BF124" s="14">
        <f t="shared" si="91"/>
        <v>1.6840738663456724E-12</v>
      </c>
      <c r="BG124" s="22">
        <f t="shared" si="61"/>
        <v>3.1312978974928925E-12</v>
      </c>
      <c r="BH124" s="62">
        <f t="shared" si="62"/>
        <v>293.33333333333644</v>
      </c>
      <c r="BI124" s="62">
        <f ca="1">AVERAGE(OFFSET($BH$3,0,0,'Données projet'!$E$11+1,1))-AVERAGE(OFFSET($H$3,0,0,'Données projet'!$E$11+1,1))</f>
        <v>320.67081032419122</v>
      </c>
      <c r="BJ124" s="62">
        <f t="shared" si="92"/>
        <v>290.51177680335746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0.19332362662784663</v>
      </c>
      <c r="BR124" s="23">
        <f>EXP(-LN(2)/2)*BR123+(1-EXP(-LN(2)/2))/(LN(2)/2)*BL124*BO124*VLOOKUP('Données projet'!$B$11,Paramètres!$A$1:$I$89,3,0)*0.475*44/12</f>
        <v>2.164810589480592E-13</v>
      </c>
      <c r="BS124" s="24">
        <f t="shared" si="63"/>
        <v>0.19332362662806313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356.19999999999987</v>
      </c>
      <c r="BZ124" s="14">
        <f>BY124*VLOOKUP('Données projet'!$B$12,Paramètres!$A$1:$I$89,3,0)*VLOOKUP('Données projet'!$B$12,Paramètres!$A$1:$I$89,5,0)</f>
        <v>361.18679999999989</v>
      </c>
      <c r="CA124" s="14">
        <f t="shared" si="93"/>
        <v>83.861754717801489</v>
      </c>
      <c r="CB124" s="22">
        <f t="shared" si="64"/>
        <v>775.12623280017078</v>
      </c>
      <c r="CC124" s="62">
        <f t="shared" si="65"/>
        <v>1068.459566133504</v>
      </c>
      <c r="CD124" s="62">
        <f ca="1">AVERAGE(OFFSET($CC$3,0,0,'Données projet'!$E$12+1,1))-AVERAGE(OFFSET($H$3,0,0,'Données projet'!$E$12+1,1))</f>
        <v>587.74247372331615</v>
      </c>
      <c r="CE124" s="62">
        <f t="shared" si="94"/>
        <v>306.61893266146666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5.4092197387944907E-14</v>
      </c>
      <c r="CV124" s="14">
        <f t="shared" si="95"/>
        <v>8.7287050538073676E-13</v>
      </c>
      <c r="CW124" s="22">
        <f t="shared" si="67"/>
        <v>1.6144600406554537E-12</v>
      </c>
      <c r="CX124" s="62">
        <f t="shared" si="68"/>
        <v>293.33333333333491</v>
      </c>
      <c r="CY124" s="62">
        <f ca="1">AVERAGE(OFFSET($CX$3,0,0,'Données projet'!$E$13+1,1))-AVERAGE(OFFSET($H$3,0,0,'Données projet'!$E$13+1,1))</f>
        <v>406.24139966722936</v>
      </c>
      <c r="CZ124" s="62">
        <f t="shared" si="96"/>
        <v>295.95724296920577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6.7984728957526396E-14</v>
      </c>
      <c r="DQ124" s="14">
        <f t="shared" si="97"/>
        <v>1.0682447123141398E-12</v>
      </c>
      <c r="DR124" s="22">
        <f t="shared" si="70"/>
        <v>1.978932943548152E-12</v>
      </c>
      <c r="DS124" s="62">
        <f t="shared" si="71"/>
        <v>293.3333333333353</v>
      </c>
      <c r="DT124" s="62">
        <f ca="1">AVERAGE(OFFSET($DS$3,0,0,'Données projet'!$E$14+1,1))-AVERAGE(OFFSET($H$3,0,0,'Données projet'!$E$14+1,1))</f>
        <v>356.42779334565381</v>
      </c>
      <c r="DU124" s="62">
        <f t="shared" si="98"/>
        <v>320.06572891923685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0.31870009971731655</v>
      </c>
      <c r="EC124" s="23">
        <f>EXP(-LN(2)/2)*EC123+(1-EXP(-LN(2)/2))/(LN(2)/2)*DW124*DZ124*VLOOKUP('Données projet'!$B$14,Paramètres!$A$1:$I$89,3,0)*0.475*44/12</f>
        <v>3.4126189176259178E-13</v>
      </c>
      <c r="ED124" s="24">
        <f t="shared" si="72"/>
        <v>0.31870009971765784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-5.6843418860808015E-14</v>
      </c>
      <c r="FF124" s="18">
        <f>FE124*VLOOKUP('Données projet'!$B$16,Paramètres!$A$1:$I$89,3,0)*VLOOKUP('Données projet'!$B$16,Paramètres!$A$1:$I$89,5,0)</f>
        <v>-4.5224624045658861E-14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370.59298168107364</v>
      </c>
      <c r="FK124" s="62">
        <f t="shared" si="102"/>
        <v>404.61777090709171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4.2</v>
      </c>
      <c r="FZ124" s="13">
        <f>IF('Données projet'!$A$244&gt;35,FZ123+FY124-GH123,IF(A124&lt;'Données projet'!$A$244,$FW$205^A124,IF(A124='Données projet'!$A$244,'Données projet'!$B$244,FZ123+FY124-GH123)))</f>
        <v>356.19999999999987</v>
      </c>
      <c r="GA124" s="18">
        <f>FZ124*VLOOKUP('Données projet'!$B$17,Paramètres!$A$1:$I$89,3,0)*VLOOKUP('Données projet'!$B$17,Paramètres!$A$1:$I$89,5,0)</f>
        <v>344.51663999999988</v>
      </c>
      <c r="GB124" s="14">
        <f t="shared" si="103"/>
        <v>80.432394913333098</v>
      </c>
      <c r="GC124" s="22">
        <f t="shared" si="79"/>
        <v>740.11956914072152</v>
      </c>
      <c r="GD124" s="62">
        <f t="shared" si="80"/>
        <v>1033.4529024740548</v>
      </c>
      <c r="GE124" s="62">
        <f ca="1">AVERAGE(OFFSET($GD$3,0,0,'Données projet'!$E$17+1,1))-AVERAGE(OFFSET($H$3,0,0,'Données projet'!$E$17+1,1))</f>
        <v>562.69380557620775</v>
      </c>
      <c r="GF124" s="62">
        <f t="shared" si="104"/>
        <v>294.45557293177131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>
        <f>GU124*VLOOKUP('Données projet'!$B$18,Paramètres!$A$1:$I$89,3,0)*VLOOKUP('Données projet'!$B$18,Paramètres!$A$1:$I$89,5,0)</f>
        <v>0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363.53487081291541</v>
      </c>
      <c r="HA124" s="62">
        <f t="shared" si="106"/>
        <v>308.1559670593121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994.71818600833126</v>
      </c>
      <c r="S125" s="62">
        <f ca="1">AVERAGE(OFFSET($R$3,0,0,'Données projet'!$E$9+1,1))-AVERAGE(OFFSET($H$3,0,0,'Données projet'!$E$9+1,1))</f>
        <v>529.25712986118265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360.39999999999986</v>
      </c>
      <c r="AJ125" s="14">
        <f>AI125*VLOOKUP('Données projet'!$B$10,Paramètres!$A$1:$I$89,3,0)*VLOOKUP('Données projet'!$B$10,Paramètres!$A$1:$I$89,5,0)</f>
        <v>303.60095999999987</v>
      </c>
      <c r="AK125" s="14">
        <f t="shared" si="89"/>
        <v>71.930837984431591</v>
      </c>
      <c r="AL125" s="22">
        <f t="shared" si="58"/>
        <v>654.05121482288484</v>
      </c>
      <c r="AM125" s="62">
        <f t="shared" si="59"/>
        <v>947.38454815621822</v>
      </c>
      <c r="AN125" s="62">
        <f ca="1">AVERAGE(OFFSET($AM$3,0,0,'Données projet'!$E$10+1,1))-AVERAGE(OFFSET($H$3,0,0,'Données projet'!$E$10+1,1))</f>
        <v>495.77338291316386</v>
      </c>
      <c r="AO125" s="62">
        <f t="shared" si="90"/>
        <v>261.95434270986397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1.1380052455933766E-13</v>
      </c>
      <c r="BF125" s="14">
        <f t="shared" si="91"/>
        <v>1.6840738663456724E-12</v>
      </c>
      <c r="BG125" s="22">
        <f t="shared" si="61"/>
        <v>3.1312978974928925E-12</v>
      </c>
      <c r="BH125" s="62">
        <f t="shared" si="62"/>
        <v>293.33333333333644</v>
      </c>
      <c r="BI125" s="62">
        <f ca="1">AVERAGE(OFFSET($BH$3,0,0,'Données projet'!$E$11+1,1))-AVERAGE(OFFSET($H$3,0,0,'Données projet'!$E$11+1,1))</f>
        <v>320.67081032419122</v>
      </c>
      <c r="BJ125" s="62">
        <f t="shared" si="92"/>
        <v>290.51177680335746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0.18803718189126048</v>
      </c>
      <c r="BR125" s="23">
        <f>EXP(-LN(2)/2)*BR124+(1-EXP(-LN(2)/2))/(LN(2)/2)*BL125*BO125*VLOOKUP('Données projet'!$B$11,Paramètres!$A$1:$I$89,3,0)*0.475*44/12</f>
        <v>1.5307522478061739E-13</v>
      </c>
      <c r="BS125" s="24">
        <f t="shared" si="63"/>
        <v>0.18803718189141355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360.39999999999986</v>
      </c>
      <c r="BZ125" s="14">
        <f>BY125*VLOOKUP('Données projet'!$B$12,Paramètres!$A$1:$I$89,3,0)*VLOOKUP('Données projet'!$B$12,Paramètres!$A$1:$I$89,5,0)</f>
        <v>365.44559999999984</v>
      </c>
      <c r="CA125" s="14">
        <f t="shared" si="93"/>
        <v>84.734883277678023</v>
      </c>
      <c r="CB125" s="22">
        <f t="shared" si="64"/>
        <v>784.06434170862224</v>
      </c>
      <c r="CC125" s="62">
        <f t="shared" si="65"/>
        <v>1077.3976750419556</v>
      </c>
      <c r="CD125" s="62">
        <f ca="1">AVERAGE(OFFSET($CC$3,0,0,'Données projet'!$E$12+1,1))-AVERAGE(OFFSET($H$3,0,0,'Données projet'!$E$12+1,1))</f>
        <v>587.74247372331615</v>
      </c>
      <c r="CE125" s="62">
        <f t="shared" si="94"/>
        <v>306.61893266146666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5.4092197387944907E-14</v>
      </c>
      <c r="CV125" s="14">
        <f t="shared" si="95"/>
        <v>8.7287050538073676E-13</v>
      </c>
      <c r="CW125" s="22">
        <f t="shared" si="67"/>
        <v>1.6144600406554537E-12</v>
      </c>
      <c r="CX125" s="62">
        <f t="shared" si="68"/>
        <v>293.33333333333491</v>
      </c>
      <c r="CY125" s="62">
        <f ca="1">AVERAGE(OFFSET($CX$3,0,0,'Données projet'!$E$13+1,1))-AVERAGE(OFFSET($H$3,0,0,'Données projet'!$E$13+1,1))</f>
        <v>406.24139966722936</v>
      </c>
      <c r="CZ125" s="62">
        <f t="shared" si="96"/>
        <v>295.95724296920577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6.7984728957526396E-14</v>
      </c>
      <c r="DQ125" s="14">
        <f t="shared" si="97"/>
        <v>1.0682447123141398E-12</v>
      </c>
      <c r="DR125" s="22">
        <f t="shared" si="70"/>
        <v>1.978932943548152E-12</v>
      </c>
      <c r="DS125" s="62">
        <f t="shared" si="71"/>
        <v>293.3333333333353</v>
      </c>
      <c r="DT125" s="62">
        <f ca="1">AVERAGE(OFFSET($DS$3,0,0,'Données projet'!$E$14+1,1))-AVERAGE(OFFSET($H$3,0,0,'Données projet'!$E$14+1,1))</f>
        <v>356.42779334565381</v>
      </c>
      <c r="DU125" s="62">
        <f t="shared" si="98"/>
        <v>320.06572891923685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0.30998522873083667</v>
      </c>
      <c r="EC125" s="23">
        <f>EXP(-LN(2)/2)*EC124+(1-EXP(-LN(2)/2))/(LN(2)/2)*DW125*DZ125*VLOOKUP('Données projet'!$B$14,Paramètres!$A$1:$I$89,3,0)*0.475*44/12</f>
        <v>2.4130859782587825E-13</v>
      </c>
      <c r="ED125" s="24">
        <f t="shared" si="72"/>
        <v>0.30998522873107798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-5.6843418860808015E-14</v>
      </c>
      <c r="FF125" s="18">
        <f>FE125*VLOOKUP('Données projet'!$B$16,Paramètres!$A$1:$I$89,3,0)*VLOOKUP('Données projet'!$B$16,Paramètres!$A$1:$I$89,5,0)</f>
        <v>-4.5224624045658861E-14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370.59298168107364</v>
      </c>
      <c r="FK125" s="62">
        <f t="shared" si="102"/>
        <v>404.61777090709171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4.2</v>
      </c>
      <c r="FZ125" s="13">
        <f>IF('Données projet'!$A$244&gt;35,FZ124+FY125-GH124,IF(A125&lt;'Données projet'!$A$244,$FW$205^A125,IF(A125='Données projet'!$A$244,'Données projet'!$B$244,FZ124+FY125-GH124)))</f>
        <v>360.39999999999986</v>
      </c>
      <c r="GA125" s="18">
        <f>FZ125*VLOOKUP('Données projet'!$B$17,Paramètres!$A$1:$I$89,3,0)*VLOOKUP('Données projet'!$B$17,Paramètres!$A$1:$I$89,5,0)</f>
        <v>348.57887999999991</v>
      </c>
      <c r="GB125" s="14">
        <f t="shared" si="103"/>
        <v>81.269818615882841</v>
      </c>
      <c r="GC125" s="22">
        <f t="shared" si="79"/>
        <v>748.65315008932919</v>
      </c>
      <c r="GD125" s="62">
        <f t="shared" si="80"/>
        <v>1041.9864834226626</v>
      </c>
      <c r="GE125" s="62">
        <f ca="1">AVERAGE(OFFSET($GD$3,0,0,'Données projet'!$E$17+1,1))-AVERAGE(OFFSET($H$3,0,0,'Données projet'!$E$17+1,1))</f>
        <v>562.69380557620775</v>
      </c>
      <c r="GF125" s="62">
        <f t="shared" si="104"/>
        <v>294.45557293177131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>
        <f>GU125*VLOOKUP('Données projet'!$B$18,Paramètres!$A$1:$I$89,3,0)*VLOOKUP('Données projet'!$B$18,Paramètres!$A$1:$I$89,5,0)</f>
        <v>0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363.53487081291541</v>
      </c>
      <c r="HA125" s="62">
        <f t="shared" si="106"/>
        <v>308.1559670593121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1002.7099823291264</v>
      </c>
      <c r="S126" s="62">
        <f ca="1">AVERAGE(OFFSET($R$3,0,0,'Données projet'!$E$9+1,1))-AVERAGE(OFFSET($H$3,0,0,'Données projet'!$E$9+1,1))</f>
        <v>529.25712986118265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364.59999999999985</v>
      </c>
      <c r="AJ126" s="14">
        <f>AI126*VLOOKUP('Données projet'!$B$10,Paramètres!$A$1:$I$89,3,0)*VLOOKUP('Données projet'!$B$10,Paramètres!$A$1:$I$89,5,0)</f>
        <v>307.13903999999991</v>
      </c>
      <c r="AK126" s="14">
        <f t="shared" si="89"/>
        <v>72.671025825860937</v>
      </c>
      <c r="AL126" s="22">
        <f t="shared" si="58"/>
        <v>661.50253131337433</v>
      </c>
      <c r="AM126" s="62">
        <f t="shared" si="59"/>
        <v>954.83586464670771</v>
      </c>
      <c r="AN126" s="62">
        <f ca="1">AVERAGE(OFFSET($AM$3,0,0,'Données projet'!$E$10+1,1))-AVERAGE(OFFSET($H$3,0,0,'Données projet'!$E$10+1,1))</f>
        <v>495.77338291316386</v>
      </c>
      <c r="AO126" s="62">
        <f t="shared" si="90"/>
        <v>261.95434270986397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1.1380052455933766E-13</v>
      </c>
      <c r="BF126" s="14">
        <f t="shared" si="91"/>
        <v>1.6840738663456724E-12</v>
      </c>
      <c r="BG126" s="22">
        <f t="shared" si="61"/>
        <v>3.1312978974928925E-12</v>
      </c>
      <c r="BH126" s="62">
        <f t="shared" si="62"/>
        <v>293.33333333333644</v>
      </c>
      <c r="BI126" s="62">
        <f ca="1">AVERAGE(OFFSET($BH$3,0,0,'Données projet'!$E$11+1,1))-AVERAGE(OFFSET($H$3,0,0,'Données projet'!$E$11+1,1))</f>
        <v>320.67081032419122</v>
      </c>
      <c r="BJ126" s="62">
        <f t="shared" si="92"/>
        <v>290.51177680335746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0.18289529526399834</v>
      </c>
      <c r="BR126" s="23">
        <f>EXP(-LN(2)/2)*BR125+(1-EXP(-LN(2)/2))/(LN(2)/2)*BL126*BO126*VLOOKUP('Données projet'!$B$11,Paramètres!$A$1:$I$89,3,0)*0.475*44/12</f>
        <v>1.082405294740296E-13</v>
      </c>
      <c r="BS126" s="24">
        <f t="shared" si="63"/>
        <v>0.18289529526410658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364.59999999999985</v>
      </c>
      <c r="BZ126" s="14">
        <f>BY126*VLOOKUP('Données projet'!$B$12,Paramètres!$A$1:$I$89,3,0)*VLOOKUP('Données projet'!$B$12,Paramètres!$A$1:$I$89,5,0)</f>
        <v>369.70439999999991</v>
      </c>
      <c r="CA126" s="14">
        <f t="shared" si="93"/>
        <v>85.606828219576869</v>
      </c>
      <c r="CB126" s="22">
        <f t="shared" si="64"/>
        <v>793.00038914909612</v>
      </c>
      <c r="CC126" s="62">
        <f t="shared" si="65"/>
        <v>1086.3337224824295</v>
      </c>
      <c r="CD126" s="62">
        <f ca="1">AVERAGE(OFFSET($CC$3,0,0,'Données projet'!$E$12+1,1))-AVERAGE(OFFSET($H$3,0,0,'Données projet'!$E$12+1,1))</f>
        <v>587.74247372331615</v>
      </c>
      <c r="CE126" s="62">
        <f t="shared" si="94"/>
        <v>306.61893266146666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5.4092197387944907E-14</v>
      </c>
      <c r="CV126" s="14">
        <f t="shared" si="95"/>
        <v>8.7287050538073676E-13</v>
      </c>
      <c r="CW126" s="22">
        <f t="shared" si="67"/>
        <v>1.6144600406554537E-12</v>
      </c>
      <c r="CX126" s="62">
        <f t="shared" si="68"/>
        <v>293.33333333333491</v>
      </c>
      <c r="CY126" s="62">
        <f ca="1">AVERAGE(OFFSET($CX$3,0,0,'Données projet'!$E$13+1,1))-AVERAGE(OFFSET($H$3,0,0,'Données projet'!$E$13+1,1))</f>
        <v>406.24139966722936</v>
      </c>
      <c r="CZ126" s="62">
        <f t="shared" si="96"/>
        <v>295.95724296920577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6.7984728957526396E-14</v>
      </c>
      <c r="DQ126" s="14">
        <f t="shared" si="97"/>
        <v>1.0682447123141398E-12</v>
      </c>
      <c r="DR126" s="22">
        <f t="shared" si="70"/>
        <v>1.978932943548152E-12</v>
      </c>
      <c r="DS126" s="62">
        <f t="shared" si="71"/>
        <v>293.3333333333353</v>
      </c>
      <c r="DT126" s="62">
        <f ca="1">AVERAGE(OFFSET($DS$3,0,0,'Données projet'!$E$14+1,1))-AVERAGE(OFFSET($H$3,0,0,'Données projet'!$E$14+1,1))</f>
        <v>356.42779334565381</v>
      </c>
      <c r="DU126" s="62">
        <f t="shared" si="98"/>
        <v>320.06572891923685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0.30150866634977724</v>
      </c>
      <c r="EC126" s="23">
        <f>EXP(-LN(2)/2)*EC125+(1-EXP(-LN(2)/2))/(LN(2)/2)*DW126*DZ126*VLOOKUP('Données projet'!$B$14,Paramètres!$A$1:$I$89,3,0)*0.475*44/12</f>
        <v>1.7063094588129589E-13</v>
      </c>
      <c r="ED126" s="24">
        <f t="shared" si="72"/>
        <v>0.30150866634994788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-5.6843418860808015E-14</v>
      </c>
      <c r="FF126" s="18">
        <f>FE126*VLOOKUP('Données projet'!$B$16,Paramètres!$A$1:$I$89,3,0)*VLOOKUP('Données projet'!$B$16,Paramètres!$A$1:$I$89,5,0)</f>
        <v>-4.5224624045658861E-14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370.59298168107364</v>
      </c>
      <c r="FK126" s="62">
        <f t="shared" si="102"/>
        <v>404.61777090709171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4.2</v>
      </c>
      <c r="FZ126" s="13">
        <f>IF('Données projet'!$A$244&gt;35,FZ125+FY126-GH125,IF(A126&lt;'Données projet'!$A$244,$FW$205^A126,IF(A126='Données projet'!$A$244,'Données projet'!$B$244,FZ125+FY126-GH125)))</f>
        <v>364.59999999999985</v>
      </c>
      <c r="GA126" s="18">
        <f>FZ126*VLOOKUP('Données projet'!$B$17,Paramètres!$A$1:$I$89,3,0)*VLOOKUP('Données projet'!$B$17,Paramètres!$A$1:$I$89,5,0)</f>
        <v>352.64111999999989</v>
      </c>
      <c r="GB126" s="14">
        <f t="shared" si="103"/>
        <v>82.10610710216001</v>
      </c>
      <c r="GC126" s="22">
        <f t="shared" si="79"/>
        <v>757.18475386959517</v>
      </c>
      <c r="GD126" s="62">
        <f t="shared" si="80"/>
        <v>1050.5180872029284</v>
      </c>
      <c r="GE126" s="62">
        <f ca="1">AVERAGE(OFFSET($GD$3,0,0,'Données projet'!$E$17+1,1))-AVERAGE(OFFSET($H$3,0,0,'Données projet'!$E$17+1,1))</f>
        <v>562.69380557620775</v>
      </c>
      <c r="GF126" s="62">
        <f t="shared" si="104"/>
        <v>294.45557293177131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>
        <f>GU126*VLOOKUP('Données projet'!$B$18,Paramètres!$A$1:$I$89,3,0)*VLOOKUP('Données projet'!$B$18,Paramètres!$A$1:$I$89,5,0)</f>
        <v>0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363.53487081291541</v>
      </c>
      <c r="HA126" s="62">
        <f t="shared" si="106"/>
        <v>308.1559670593121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1010.6999385836407</v>
      </c>
      <c r="S127" s="62">
        <f ca="1">AVERAGE(OFFSET($R$3,0,0,'Données projet'!$E$9+1,1))-AVERAGE(OFFSET($H$3,0,0,'Données projet'!$E$9+1,1))</f>
        <v>529.25712986118265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368.79999999999984</v>
      </c>
      <c r="AJ127" s="14">
        <f>AI127*VLOOKUP('Données projet'!$B$10,Paramètres!$A$1:$I$89,3,0)*VLOOKUP('Données projet'!$B$10,Paramètres!$A$1:$I$89,5,0)</f>
        <v>310.67711999999989</v>
      </c>
      <c r="AK127" s="14">
        <f t="shared" si="89"/>
        <v>73.410221815964775</v>
      </c>
      <c r="AL127" s="22">
        <f t="shared" si="58"/>
        <v>668.95212032947177</v>
      </c>
      <c r="AM127" s="62">
        <f t="shared" si="59"/>
        <v>962.28545366280514</v>
      </c>
      <c r="AN127" s="62">
        <f ca="1">AVERAGE(OFFSET($AM$3,0,0,'Données projet'!$E$10+1,1))-AVERAGE(OFFSET($H$3,0,0,'Données projet'!$E$10+1,1))</f>
        <v>495.77338291316386</v>
      </c>
      <c r="AO127" s="62">
        <f t="shared" si="90"/>
        <v>261.95434270986397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1.1380052455933766E-13</v>
      </c>
      <c r="BF127" s="14">
        <f t="shared" si="91"/>
        <v>1.6840738663456724E-12</v>
      </c>
      <c r="BG127" s="22">
        <f t="shared" si="61"/>
        <v>3.1312978974928925E-12</v>
      </c>
      <c r="BH127" s="62">
        <f t="shared" si="62"/>
        <v>293.33333333333644</v>
      </c>
      <c r="BI127" s="62">
        <f ca="1">AVERAGE(OFFSET($BH$3,0,0,'Données projet'!$E$11+1,1))-AVERAGE(OFFSET($H$3,0,0,'Données projet'!$E$11+1,1))</f>
        <v>320.67081032419122</v>
      </c>
      <c r="BJ127" s="62">
        <f t="shared" si="92"/>
        <v>290.51177680335746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0.17789401379695874</v>
      </c>
      <c r="BR127" s="23">
        <f>EXP(-LN(2)/2)*BR126+(1-EXP(-LN(2)/2))/(LN(2)/2)*BL127*BO127*VLOOKUP('Données projet'!$B$11,Paramètres!$A$1:$I$89,3,0)*0.475*44/12</f>
        <v>7.6537612390308694E-14</v>
      </c>
      <c r="BS127" s="24">
        <f t="shared" si="63"/>
        <v>0.17789401379703529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368.79999999999984</v>
      </c>
      <c r="BZ127" s="14">
        <f>BY127*VLOOKUP('Données projet'!$B$12,Paramètres!$A$1:$I$89,3,0)*VLOOKUP('Données projet'!$B$12,Paramètres!$A$1:$I$89,5,0)</f>
        <v>373.96319999999986</v>
      </c>
      <c r="CA127" s="14">
        <f t="shared" si="93"/>
        <v>86.477604755703695</v>
      </c>
      <c r="CB127" s="22">
        <f t="shared" si="64"/>
        <v>801.93440161618366</v>
      </c>
      <c r="CC127" s="62">
        <f t="shared" si="65"/>
        <v>1095.267734949517</v>
      </c>
      <c r="CD127" s="62">
        <f ca="1">AVERAGE(OFFSET($CC$3,0,0,'Données projet'!$E$12+1,1))-AVERAGE(OFFSET($H$3,0,0,'Données projet'!$E$12+1,1))</f>
        <v>587.74247372331615</v>
      </c>
      <c r="CE127" s="62">
        <f t="shared" si="94"/>
        <v>306.61893266146666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5.4092197387944907E-14</v>
      </c>
      <c r="CV127" s="14">
        <f t="shared" si="95"/>
        <v>8.7287050538073676E-13</v>
      </c>
      <c r="CW127" s="22">
        <f t="shared" si="67"/>
        <v>1.6144600406554537E-12</v>
      </c>
      <c r="CX127" s="62">
        <f t="shared" si="68"/>
        <v>293.33333333333491</v>
      </c>
      <c r="CY127" s="62">
        <f ca="1">AVERAGE(OFFSET($CX$3,0,0,'Données projet'!$E$13+1,1))-AVERAGE(OFFSET($H$3,0,0,'Données projet'!$E$13+1,1))</f>
        <v>406.24139966722936</v>
      </c>
      <c r="CZ127" s="62">
        <f t="shared" si="96"/>
        <v>295.95724296920577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6.7984728957526396E-14</v>
      </c>
      <c r="DQ127" s="14">
        <f t="shared" si="97"/>
        <v>1.0682447123141398E-12</v>
      </c>
      <c r="DR127" s="22">
        <f t="shared" si="70"/>
        <v>1.978932943548152E-12</v>
      </c>
      <c r="DS127" s="62">
        <f t="shared" si="71"/>
        <v>293.3333333333353</v>
      </c>
      <c r="DT127" s="62">
        <f ca="1">AVERAGE(OFFSET($DS$3,0,0,'Données projet'!$E$14+1,1))-AVERAGE(OFFSET($H$3,0,0,'Données projet'!$E$14+1,1))</f>
        <v>356.42779334565381</v>
      </c>
      <c r="DU127" s="62">
        <f t="shared" si="98"/>
        <v>320.06572891923685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0.2932638960127909</v>
      </c>
      <c r="EC127" s="23">
        <f>EXP(-LN(2)/2)*EC126+(1-EXP(-LN(2)/2))/(LN(2)/2)*DW127*DZ127*VLOOKUP('Données projet'!$B$14,Paramètres!$A$1:$I$89,3,0)*0.475*44/12</f>
        <v>1.2065429891293913E-13</v>
      </c>
      <c r="ED127" s="24">
        <f t="shared" si="72"/>
        <v>0.29326389601291158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-5.6843418860808015E-14</v>
      </c>
      <c r="FF127" s="18">
        <f>FE127*VLOOKUP('Données projet'!$B$16,Paramètres!$A$1:$I$89,3,0)*VLOOKUP('Données projet'!$B$16,Paramètres!$A$1:$I$89,5,0)</f>
        <v>-4.5224624045658861E-14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370.59298168107364</v>
      </c>
      <c r="FK127" s="62">
        <f t="shared" si="102"/>
        <v>404.61777090709171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4.2</v>
      </c>
      <c r="FZ127" s="13">
        <f>IF('Données projet'!$A$244&gt;35,FZ126+FY127-GH126,IF(A127&lt;'Données projet'!$A$244,$FW$205^A127,IF(A127='Données projet'!$A$244,'Données projet'!$B$244,FZ126+FY127-GH126)))</f>
        <v>368.79999999999984</v>
      </c>
      <c r="GA127" s="18">
        <f>FZ127*VLOOKUP('Données projet'!$B$17,Paramètres!$A$1:$I$89,3,0)*VLOOKUP('Données projet'!$B$17,Paramètres!$A$1:$I$89,5,0)</f>
        <v>356.70335999999986</v>
      </c>
      <c r="GB127" s="14">
        <f t="shared" si="103"/>
        <v>82.941274962297129</v>
      </c>
      <c r="GC127" s="22">
        <f t="shared" si="79"/>
        <v>765.71440589266729</v>
      </c>
      <c r="GD127" s="62">
        <f t="shared" si="80"/>
        <v>1059.0477392260007</v>
      </c>
      <c r="GE127" s="62">
        <f ca="1">AVERAGE(OFFSET($GD$3,0,0,'Données projet'!$E$17+1,1))-AVERAGE(OFFSET($H$3,0,0,'Données projet'!$E$17+1,1))</f>
        <v>562.69380557620775</v>
      </c>
      <c r="GF127" s="62">
        <f t="shared" si="104"/>
        <v>294.45557293177131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>
        <f>GU127*VLOOKUP('Données projet'!$B$18,Paramètres!$A$1:$I$89,3,0)*VLOOKUP('Données projet'!$B$18,Paramètres!$A$1:$I$89,5,0)</f>
        <v>0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363.53487081291541</v>
      </c>
      <c r="HA127" s="62">
        <f t="shared" si="106"/>
        <v>308.1559670593121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1018.6880781517777</v>
      </c>
      <c r="S128" s="62">
        <f ca="1">AVERAGE(OFFSET($R$3,0,0,'Données projet'!$E$9+1,1))-AVERAGE(OFFSET($H$3,0,0,'Données projet'!$E$9+1,1))</f>
        <v>529.25712986118265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372.99999999999983</v>
      </c>
      <c r="AJ128" s="14">
        <f>AI128*VLOOKUP('Données projet'!$B$10,Paramètres!$A$1:$I$89,3,0)*VLOOKUP('Données projet'!$B$10,Paramètres!$A$1:$I$89,5,0)</f>
        <v>314.21519999999992</v>
      </c>
      <c r="AK128" s="14">
        <f t="shared" si="89"/>
        <v>74.148438557218014</v>
      </c>
      <c r="AL128" s="22">
        <f t="shared" si="58"/>
        <v>676.40000382048788</v>
      </c>
      <c r="AM128" s="62">
        <f t="shared" si="59"/>
        <v>969.73333715382114</v>
      </c>
      <c r="AN128" s="62">
        <f ca="1">AVERAGE(OFFSET($AM$3,0,0,'Données projet'!$E$10+1,1))-AVERAGE(OFFSET($H$3,0,0,'Données projet'!$E$10+1,1))</f>
        <v>495.77338291316386</v>
      </c>
      <c r="AO128" s="62">
        <f t="shared" si="90"/>
        <v>261.95434270986397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1.1380052455933766E-13</v>
      </c>
      <c r="BF128" s="14">
        <f t="shared" si="91"/>
        <v>1.6840738663456724E-12</v>
      </c>
      <c r="BG128" s="22">
        <f t="shared" si="61"/>
        <v>3.1312978974928925E-12</v>
      </c>
      <c r="BH128" s="62">
        <f t="shared" si="62"/>
        <v>293.33333333333644</v>
      </c>
      <c r="BI128" s="62">
        <f ca="1">AVERAGE(OFFSET($BH$3,0,0,'Données projet'!$E$11+1,1))-AVERAGE(OFFSET($H$3,0,0,'Données projet'!$E$11+1,1))</f>
        <v>320.67081032419122</v>
      </c>
      <c r="BJ128" s="62">
        <f t="shared" si="92"/>
        <v>290.51177680335746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0.17302949263464129</v>
      </c>
      <c r="BR128" s="23">
        <f>EXP(-LN(2)/2)*BR127+(1-EXP(-LN(2)/2))/(LN(2)/2)*BL128*BO128*VLOOKUP('Données projet'!$B$11,Paramètres!$A$1:$I$89,3,0)*0.475*44/12</f>
        <v>5.4120264737014799E-14</v>
      </c>
      <c r="BS128" s="24">
        <f t="shared" si="63"/>
        <v>0.17302949263469541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372.99999999999983</v>
      </c>
      <c r="BZ128" s="14">
        <f>BY128*VLOOKUP('Données projet'!$B$12,Paramètres!$A$1:$I$89,3,0)*VLOOKUP('Données projet'!$B$12,Paramètres!$A$1:$I$89,5,0)</f>
        <v>378.22199999999987</v>
      </c>
      <c r="CA128" s="14">
        <f t="shared" si="93"/>
        <v>87.347227731836043</v>
      </c>
      <c r="CB128" s="22">
        <f t="shared" si="64"/>
        <v>810.86640496628081</v>
      </c>
      <c r="CC128" s="62">
        <f t="shared" si="65"/>
        <v>1104.1997382996142</v>
      </c>
      <c r="CD128" s="62">
        <f ca="1">AVERAGE(OFFSET($CC$3,0,0,'Données projet'!$E$12+1,1))-AVERAGE(OFFSET($H$3,0,0,'Données projet'!$E$12+1,1))</f>
        <v>587.74247372331615</v>
      </c>
      <c r="CE128" s="62">
        <f t="shared" si="94"/>
        <v>306.61893266146666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5.4092197387944907E-14</v>
      </c>
      <c r="CV128" s="14">
        <f t="shared" si="95"/>
        <v>8.7287050538073676E-13</v>
      </c>
      <c r="CW128" s="22">
        <f t="shared" si="67"/>
        <v>1.6144600406554537E-12</v>
      </c>
      <c r="CX128" s="62">
        <f t="shared" si="68"/>
        <v>293.33333333333491</v>
      </c>
      <c r="CY128" s="62">
        <f ca="1">AVERAGE(OFFSET($CX$3,0,0,'Données projet'!$E$13+1,1))-AVERAGE(OFFSET($H$3,0,0,'Données projet'!$E$13+1,1))</f>
        <v>406.24139966722936</v>
      </c>
      <c r="CZ128" s="62">
        <f t="shared" si="96"/>
        <v>295.95724296920577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6.7984728957526396E-14</v>
      </c>
      <c r="DQ128" s="14">
        <f t="shared" si="97"/>
        <v>1.0682447123141398E-12</v>
      </c>
      <c r="DR128" s="22">
        <f t="shared" si="70"/>
        <v>1.978932943548152E-12</v>
      </c>
      <c r="DS128" s="62">
        <f t="shared" si="71"/>
        <v>293.3333333333353</v>
      </c>
      <c r="DT128" s="62">
        <f ca="1">AVERAGE(OFFSET($DS$3,0,0,'Données projet'!$E$14+1,1))-AVERAGE(OFFSET($H$3,0,0,'Données projet'!$E$14+1,1))</f>
        <v>356.42779334565381</v>
      </c>
      <c r="DU128" s="62">
        <f t="shared" si="98"/>
        <v>320.06572891923685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0.28524457935424313</v>
      </c>
      <c r="EC128" s="23">
        <f>EXP(-LN(2)/2)*EC127+(1-EXP(-LN(2)/2))/(LN(2)/2)*DW128*DZ128*VLOOKUP('Données projet'!$B$14,Paramètres!$A$1:$I$89,3,0)*0.475*44/12</f>
        <v>8.5315472940647946E-14</v>
      </c>
      <c r="ED128" s="24">
        <f t="shared" si="72"/>
        <v>0.28524457935432845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-5.6843418860808015E-14</v>
      </c>
      <c r="FF128" s="18">
        <f>FE128*VLOOKUP('Données projet'!$B$16,Paramètres!$A$1:$I$89,3,0)*VLOOKUP('Données projet'!$B$16,Paramètres!$A$1:$I$89,5,0)</f>
        <v>-4.5224624045658861E-14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370.59298168107364</v>
      </c>
      <c r="FK128" s="62">
        <f t="shared" si="102"/>
        <v>404.61777090709171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4.2</v>
      </c>
      <c r="FZ128" s="13">
        <f>IF('Données projet'!$A$244&gt;35,FZ127+FY128-GH127,IF(A128&lt;'Données projet'!$A$244,$FW$205^A128,IF(A128='Données projet'!$A$244,'Données projet'!$B$244,FZ127+FY128-GH127)))</f>
        <v>372.99999999999983</v>
      </c>
      <c r="GA128" s="18">
        <f>FZ128*VLOOKUP('Données projet'!$B$17,Paramètres!$A$1:$I$89,3,0)*VLOOKUP('Données projet'!$B$17,Paramètres!$A$1:$I$89,5,0)</f>
        <v>360.76559999999989</v>
      </c>
      <c r="GB128" s="14">
        <f t="shared" si="103"/>
        <v>83.775336434983416</v>
      </c>
      <c r="GC128" s="22">
        <f t="shared" si="79"/>
        <v>774.24213095759603</v>
      </c>
      <c r="GD128" s="62">
        <f t="shared" si="80"/>
        <v>1067.5754642909294</v>
      </c>
      <c r="GE128" s="62">
        <f ca="1">AVERAGE(OFFSET($GD$3,0,0,'Données projet'!$E$17+1,1))-AVERAGE(OFFSET($H$3,0,0,'Données projet'!$E$17+1,1))</f>
        <v>562.69380557620775</v>
      </c>
      <c r="GF128" s="62">
        <f t="shared" si="104"/>
        <v>294.45557293177131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>
        <f>GU128*VLOOKUP('Données projet'!$B$18,Paramètres!$A$1:$I$89,3,0)*VLOOKUP('Données projet'!$B$18,Paramètres!$A$1:$I$89,5,0)</f>
        <v>0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363.53487081291541</v>
      </c>
      <c r="HA128" s="62">
        <f t="shared" si="106"/>
        <v>308.1559670593121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1026.6744238566105</v>
      </c>
      <c r="S129" s="62">
        <f ca="1">AVERAGE(OFFSET($R$3,0,0,'Données projet'!$E$9+1,1))-AVERAGE(OFFSET($H$3,0,0,'Données projet'!$E$9+1,1))</f>
        <v>529.25712986118265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377.19999999999982</v>
      </c>
      <c r="AJ129" s="14">
        <f>AI129*VLOOKUP('Données projet'!$B$10,Paramètres!$A$1:$I$89,3,0)*VLOOKUP('Données projet'!$B$10,Paramètres!$A$1:$I$89,5,0)</f>
        <v>317.75327999999985</v>
      </c>
      <c r="AK129" s="14">
        <f t="shared" si="89"/>
        <v>74.885688351946342</v>
      </c>
      <c r="AL129" s="22">
        <f t="shared" si="58"/>
        <v>683.84620321297291</v>
      </c>
      <c r="AM129" s="62">
        <f t="shared" si="59"/>
        <v>977.17953654630628</v>
      </c>
      <c r="AN129" s="62">
        <f ca="1">AVERAGE(OFFSET($AM$3,0,0,'Données projet'!$E$10+1,1))-AVERAGE(OFFSET($H$3,0,0,'Données projet'!$E$10+1,1))</f>
        <v>495.77338291316386</v>
      </c>
      <c r="AO129" s="62">
        <f t="shared" si="90"/>
        <v>261.95434270986397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1.1380052455933766E-13</v>
      </c>
      <c r="BF129" s="14">
        <f t="shared" si="91"/>
        <v>1.6840738663456724E-12</v>
      </c>
      <c r="BG129" s="22">
        <f t="shared" si="61"/>
        <v>3.1312978974928925E-12</v>
      </c>
      <c r="BH129" s="62">
        <f t="shared" si="62"/>
        <v>293.33333333333644</v>
      </c>
      <c r="BI129" s="62">
        <f ca="1">AVERAGE(OFFSET($BH$3,0,0,'Données projet'!$E$11+1,1))-AVERAGE(OFFSET($H$3,0,0,'Données projet'!$E$11+1,1))</f>
        <v>320.67081032419122</v>
      </c>
      <c r="BJ129" s="62">
        <f t="shared" si="92"/>
        <v>290.51177680335746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0.16829799205932147</v>
      </c>
      <c r="BR129" s="23">
        <f>EXP(-LN(2)/2)*BR128+(1-EXP(-LN(2)/2))/(LN(2)/2)*BL129*BO129*VLOOKUP('Données projet'!$B$11,Paramètres!$A$1:$I$89,3,0)*0.475*44/12</f>
        <v>3.8268806195154347E-14</v>
      </c>
      <c r="BS129" s="24">
        <f t="shared" si="63"/>
        <v>0.16829799205935975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4.2</v>
      </c>
      <c r="BY129" s="13">
        <f>IF('Données projet'!$A$114&gt;35,BY128+BX129-CG128,IF(A129&lt;'Données projet'!$A$114,$BV$205^A129,IF(A129='Données projet'!$A$114,'Données projet'!$B$114,BY128+BX129-CG128)))</f>
        <v>377.19999999999982</v>
      </c>
      <c r="BZ129" s="14">
        <f>BY129*VLOOKUP('Données projet'!$B$12,Paramètres!$A$1:$I$89,3,0)*VLOOKUP('Données projet'!$B$12,Paramètres!$A$1:$I$89,5,0)</f>
        <v>382.48079999999987</v>
      </c>
      <c r="CA129" s="14">
        <f t="shared" si="93"/>
        <v>88.215711640174817</v>
      </c>
      <c r="CB129" s="22">
        <f t="shared" si="64"/>
        <v>819.79642443997091</v>
      </c>
      <c r="CC129" s="62">
        <f t="shared" si="65"/>
        <v>1113.1297577733042</v>
      </c>
      <c r="CD129" s="62">
        <f ca="1">AVERAGE(OFFSET($CC$3,0,0,'Données projet'!$E$12+1,1))-AVERAGE(OFFSET($H$3,0,0,'Données projet'!$E$12+1,1))</f>
        <v>587.74247372331615</v>
      </c>
      <c r="CE129" s="62">
        <f t="shared" si="94"/>
        <v>306.61893266146666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5.4092197387944907E-14</v>
      </c>
      <c r="CV129" s="14">
        <f t="shared" si="95"/>
        <v>8.7287050538073676E-13</v>
      </c>
      <c r="CW129" s="22">
        <f t="shared" si="67"/>
        <v>1.6144600406554537E-12</v>
      </c>
      <c r="CX129" s="62">
        <f t="shared" si="68"/>
        <v>293.33333333333491</v>
      </c>
      <c r="CY129" s="62">
        <f ca="1">AVERAGE(OFFSET($CX$3,0,0,'Données projet'!$E$13+1,1))-AVERAGE(OFFSET($H$3,0,0,'Données projet'!$E$13+1,1))</f>
        <v>406.24139966722936</v>
      </c>
      <c r="CZ129" s="62">
        <f t="shared" si="96"/>
        <v>295.95724296920577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6.7984728957526396E-14</v>
      </c>
      <c r="DQ129" s="14">
        <f t="shared" si="97"/>
        <v>1.0682447123141398E-12</v>
      </c>
      <c r="DR129" s="22">
        <f t="shared" si="70"/>
        <v>1.978932943548152E-12</v>
      </c>
      <c r="DS129" s="62">
        <f t="shared" si="71"/>
        <v>293.3333333333353</v>
      </c>
      <c r="DT129" s="62">
        <f ca="1">AVERAGE(OFFSET($DS$3,0,0,'Données projet'!$E$14+1,1))-AVERAGE(OFFSET($H$3,0,0,'Données projet'!$E$14+1,1))</f>
        <v>356.42779334565381</v>
      </c>
      <c r="DU129" s="62">
        <f t="shared" si="98"/>
        <v>320.06572891923685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0.27744455133144086</v>
      </c>
      <c r="EC129" s="23">
        <f>EXP(-LN(2)/2)*EC128+(1-EXP(-LN(2)/2))/(LN(2)/2)*DW129*DZ129*VLOOKUP('Données projet'!$B$14,Paramètres!$A$1:$I$89,3,0)*0.475*44/12</f>
        <v>6.0327149456469563E-14</v>
      </c>
      <c r="ED129" s="24">
        <f t="shared" si="72"/>
        <v>0.2774445513315012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-5.6843418860808015E-14</v>
      </c>
      <c r="FF129" s="18">
        <f>FE129*VLOOKUP('Données projet'!$B$16,Paramètres!$A$1:$I$89,3,0)*VLOOKUP('Données projet'!$B$16,Paramètres!$A$1:$I$89,5,0)</f>
        <v>-4.5224624045658861E-14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370.59298168107364</v>
      </c>
      <c r="FK129" s="62">
        <f t="shared" si="102"/>
        <v>404.61777090709171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4.2</v>
      </c>
      <c r="FZ129" s="13">
        <f>IF('Données projet'!$A$244&gt;35,FZ128+FY129-GH128,IF(A129&lt;'Données projet'!$A$244,$FW$205^A129,IF(A129='Données projet'!$A$244,'Données projet'!$B$244,FZ128+FY129-GH128)))</f>
        <v>377.19999999999982</v>
      </c>
      <c r="GA129" s="18">
        <f>FZ129*VLOOKUP('Données projet'!$B$17,Paramètres!$A$1:$I$89,3,0)*VLOOKUP('Données projet'!$B$17,Paramètres!$A$1:$I$89,5,0)</f>
        <v>364.82783999999987</v>
      </c>
      <c r="GB129" s="14">
        <f t="shared" si="103"/>
        <v>84.608305419789914</v>
      </c>
      <c r="GC129" s="22">
        <f t="shared" si="79"/>
        <v>782.76795327280058</v>
      </c>
      <c r="GD129" s="62">
        <f t="shared" si="80"/>
        <v>1076.101286606134</v>
      </c>
      <c r="GE129" s="62">
        <f ca="1">AVERAGE(OFFSET($GD$3,0,0,'Données projet'!$E$17+1,1))-AVERAGE(OFFSET($H$3,0,0,'Données projet'!$E$17+1,1))</f>
        <v>562.69380557620775</v>
      </c>
      <c r="GF129" s="62">
        <f t="shared" si="104"/>
        <v>294.45557293177131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>
        <f>GU129*VLOOKUP('Données projet'!$B$18,Paramètres!$A$1:$I$89,3,0)*VLOOKUP('Données projet'!$B$18,Paramètres!$A$1:$I$89,5,0)</f>
        <v>0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363.53487081291541</v>
      </c>
      <c r="HA129" s="62">
        <f t="shared" si="106"/>
        <v>308.1559670593121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1034.6589979836924</v>
      </c>
      <c r="S130" s="62">
        <f ca="1">AVERAGE(OFFSET($R$3,0,0,'Données projet'!$E$9+1,1))-AVERAGE(OFFSET($H$3,0,0,'Données projet'!$E$9+1,1))</f>
        <v>529.25712986118265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381.39999999999981</v>
      </c>
      <c r="AJ130" s="14">
        <f>AI130*VLOOKUP('Données projet'!$B$10,Paramètres!$A$1:$I$89,3,0)*VLOOKUP('Données projet'!$B$10,Paramètres!$A$1:$I$89,5,0)</f>
        <v>321.29135999999988</v>
      </c>
      <c r="AK130" s="14">
        <f t="shared" si="89"/>
        <v>75.621983212736268</v>
      </c>
      <c r="AL130" s="22">
        <f t="shared" si="58"/>
        <v>691.29073942884872</v>
      </c>
      <c r="AM130" s="62">
        <f t="shared" si="59"/>
        <v>984.6240727621821</v>
      </c>
      <c r="AN130" s="62">
        <f ca="1">AVERAGE(OFFSET($AM$3,0,0,'Données projet'!$E$10+1,1))-AVERAGE(OFFSET($H$3,0,0,'Données projet'!$E$10+1,1))</f>
        <v>495.77338291316386</v>
      </c>
      <c r="AO130" s="62">
        <f t="shared" si="90"/>
        <v>261.95434270986397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1.1380052455933766E-13</v>
      </c>
      <c r="BF130" s="14">
        <f t="shared" si="91"/>
        <v>1.6840738663456724E-12</v>
      </c>
      <c r="BG130" s="22">
        <f t="shared" si="61"/>
        <v>3.1312978974928925E-12</v>
      </c>
      <c r="BH130" s="62">
        <f t="shared" si="62"/>
        <v>293.33333333333644</v>
      </c>
      <c r="BI130" s="62">
        <f ca="1">AVERAGE(OFFSET($BH$3,0,0,'Données projet'!$E$11+1,1))-AVERAGE(OFFSET($H$3,0,0,'Données projet'!$E$11+1,1))</f>
        <v>320.67081032419122</v>
      </c>
      <c r="BJ130" s="62">
        <f t="shared" si="92"/>
        <v>290.51177680335746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0.16369587461605256</v>
      </c>
      <c r="BR130" s="23">
        <f>EXP(-LN(2)/2)*BR129+(1-EXP(-LN(2)/2))/(LN(2)/2)*BL130*BO130*VLOOKUP('Données projet'!$B$11,Paramètres!$A$1:$I$89,3,0)*0.475*44/12</f>
        <v>2.70601323685074E-14</v>
      </c>
      <c r="BS130" s="24">
        <f t="shared" si="63"/>
        <v>0.16369587461607962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4.2</v>
      </c>
      <c r="BY130" s="13">
        <f>IF('Données projet'!$A$114&gt;35,BY129+BX130-CG129,IF(A130&lt;'Données projet'!$A$114,$BV$205^A130,IF(A130='Données projet'!$A$114,'Données projet'!$B$114,BY129+BX130-CG129)))</f>
        <v>381.39999999999981</v>
      </c>
      <c r="BZ130" s="14">
        <f>BY130*VLOOKUP('Données projet'!$B$12,Paramètres!$A$1:$I$89,3,0)*VLOOKUP('Données projet'!$B$12,Paramètres!$A$1:$I$89,5,0)</f>
        <v>386.73959999999983</v>
      </c>
      <c r="CA130" s="14">
        <f t="shared" si="93"/>
        <v>89.083070631606091</v>
      </c>
      <c r="CB130" s="22">
        <f t="shared" si="64"/>
        <v>828.72448468338018</v>
      </c>
      <c r="CC130" s="62">
        <f t="shared" si="65"/>
        <v>1122.0578180167136</v>
      </c>
      <c r="CD130" s="62">
        <f ca="1">AVERAGE(OFFSET($CC$3,0,0,'Données projet'!$E$12+1,1))-AVERAGE(OFFSET($H$3,0,0,'Données projet'!$E$12+1,1))</f>
        <v>587.74247372331615</v>
      </c>
      <c r="CE130" s="62">
        <f t="shared" si="94"/>
        <v>306.61893266146666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5.4092197387944907E-14</v>
      </c>
      <c r="CV130" s="14">
        <f t="shared" si="95"/>
        <v>8.7287050538073676E-13</v>
      </c>
      <c r="CW130" s="22">
        <f t="shared" si="67"/>
        <v>1.6144600406554537E-12</v>
      </c>
      <c r="CX130" s="62">
        <f t="shared" si="68"/>
        <v>293.33333333333491</v>
      </c>
      <c r="CY130" s="62">
        <f ca="1">AVERAGE(OFFSET($CX$3,0,0,'Données projet'!$E$13+1,1))-AVERAGE(OFFSET($H$3,0,0,'Données projet'!$E$13+1,1))</f>
        <v>406.24139966722936</v>
      </c>
      <c r="CZ130" s="62">
        <f t="shared" si="96"/>
        <v>295.95724296920577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6.7984728957526396E-14</v>
      </c>
      <c r="DQ130" s="14">
        <f t="shared" si="97"/>
        <v>1.0682447123141398E-12</v>
      </c>
      <c r="DR130" s="22">
        <f t="shared" si="70"/>
        <v>1.978932943548152E-12</v>
      </c>
      <c r="DS130" s="62">
        <f t="shared" si="71"/>
        <v>293.3333333333353</v>
      </c>
      <c r="DT130" s="62">
        <f ca="1">AVERAGE(OFFSET($DS$3,0,0,'Données projet'!$E$14+1,1))-AVERAGE(OFFSET($H$3,0,0,'Données projet'!$E$14+1,1))</f>
        <v>356.42779334565381</v>
      </c>
      <c r="DU130" s="62">
        <f t="shared" si="98"/>
        <v>320.06572891923685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0.26985781548510779</v>
      </c>
      <c r="EC130" s="23">
        <f>EXP(-LN(2)/2)*EC129+(1-EXP(-LN(2)/2))/(LN(2)/2)*DW130*DZ130*VLOOKUP('Données projet'!$B$14,Paramètres!$A$1:$I$89,3,0)*0.475*44/12</f>
        <v>4.2657736470323973E-14</v>
      </c>
      <c r="ED130" s="24">
        <f t="shared" si="72"/>
        <v>0.26985781548515042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-5.6843418860808015E-14</v>
      </c>
      <c r="FF130" s="18">
        <f>FE130*VLOOKUP('Données projet'!$B$16,Paramètres!$A$1:$I$89,3,0)*VLOOKUP('Données projet'!$B$16,Paramètres!$A$1:$I$89,5,0)</f>
        <v>-4.5224624045658861E-14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370.59298168107364</v>
      </c>
      <c r="FK130" s="62">
        <f t="shared" si="102"/>
        <v>404.61777090709171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4.2</v>
      </c>
      <c r="FZ130" s="13">
        <f>IF('Données projet'!$A$244&gt;35,FZ129+FY130-GH129,IF(A130&lt;'Données projet'!$A$244,$FW$205^A130,IF(A130='Données projet'!$A$244,'Données projet'!$B$244,FZ129+FY130-GH129)))</f>
        <v>381.39999999999981</v>
      </c>
      <c r="GA130" s="18">
        <f>FZ130*VLOOKUP('Données projet'!$B$17,Paramètres!$A$1:$I$89,3,0)*VLOOKUP('Données projet'!$B$17,Paramètres!$A$1:$I$89,5,0)</f>
        <v>368.89007999999984</v>
      </c>
      <c r="GB130" s="14">
        <f t="shared" si="103"/>
        <v>85.440195488930357</v>
      </c>
      <c r="GC130" s="22">
        <f t="shared" si="79"/>
        <v>791.29189647655346</v>
      </c>
      <c r="GD130" s="62">
        <f t="shared" si="80"/>
        <v>1084.6252298098868</v>
      </c>
      <c r="GE130" s="62">
        <f ca="1">AVERAGE(OFFSET($GD$3,0,0,'Données projet'!$E$17+1,1))-AVERAGE(OFFSET($H$3,0,0,'Données projet'!$E$17+1,1))</f>
        <v>562.69380557620775</v>
      </c>
      <c r="GF130" s="62">
        <f t="shared" si="104"/>
        <v>294.45557293177131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>
        <f>GU130*VLOOKUP('Données projet'!$B$18,Paramètres!$A$1:$I$89,3,0)*VLOOKUP('Données projet'!$B$18,Paramètres!$A$1:$I$89,5,0)</f>
        <v>0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363.53487081291541</v>
      </c>
      <c r="HA130" s="62">
        <f t="shared" si="106"/>
        <v>308.1559670593121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1042.6418222994914</v>
      </c>
      <c r="S131" s="62">
        <f ca="1">AVERAGE(OFFSET($R$3,0,0,'Données projet'!$E$9+1,1))-AVERAGE(OFFSET($H$3,0,0,'Données projet'!$E$9+1,1))</f>
        <v>529.25712986118265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385.5999999999998</v>
      </c>
      <c r="AJ131" s="14">
        <f>AI131*VLOOKUP('Données projet'!$B$10,Paramètres!$A$1:$I$89,3,0)*VLOOKUP('Données projet'!$B$10,Paramètres!$A$1:$I$89,5,0)</f>
        <v>324.82943999999986</v>
      </c>
      <c r="AK131" s="14">
        <f t="shared" si="89"/>
        <v>76.357334872371993</v>
      </c>
      <c r="AL131" s="22">
        <f t="shared" si="58"/>
        <v>698.73363290271425</v>
      </c>
      <c r="AM131" s="62">
        <f t="shared" si="59"/>
        <v>992.06696623604762</v>
      </c>
      <c r="AN131" s="62">
        <f ca="1">AVERAGE(OFFSET($AM$3,0,0,'Données projet'!$E$10+1,1))-AVERAGE(OFFSET($H$3,0,0,'Données projet'!$E$10+1,1))</f>
        <v>495.77338291316386</v>
      </c>
      <c r="AO131" s="62">
        <f t="shared" si="90"/>
        <v>261.95434270986397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1.1380052455933766E-13</v>
      </c>
      <c r="BF131" s="14">
        <f t="shared" si="91"/>
        <v>1.6840738663456724E-12</v>
      </c>
      <c r="BG131" s="22">
        <f t="shared" si="61"/>
        <v>3.1312978974928925E-12</v>
      </c>
      <c r="BH131" s="62">
        <f t="shared" si="62"/>
        <v>293.33333333333644</v>
      </c>
      <c r="BI131" s="62">
        <f ca="1">AVERAGE(OFFSET($BH$3,0,0,'Données projet'!$E$11+1,1))-AVERAGE(OFFSET($H$3,0,0,'Données projet'!$E$11+1,1))</f>
        <v>320.67081032419122</v>
      </c>
      <c r="BJ131" s="62">
        <f t="shared" si="92"/>
        <v>290.51177680335746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0.15921960231628468</v>
      </c>
      <c r="BR131" s="23">
        <f>EXP(-LN(2)/2)*BR130+(1-EXP(-LN(2)/2))/(LN(2)/2)*BL131*BO131*VLOOKUP('Données projet'!$B$11,Paramètres!$A$1:$I$89,3,0)*0.475*44/12</f>
        <v>1.9134403097577174E-14</v>
      </c>
      <c r="BS131" s="24">
        <f t="shared" si="63"/>
        <v>0.1592196023163038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</v>
      </c>
      <c r="BY131" s="13">
        <f>IF('Données projet'!$A$114&gt;35,BY130+BX131-CG130,IF(A131&lt;'Données projet'!$A$114,$BV$205^A131,IF(A131='Données projet'!$A$114,'Données projet'!$B$114,BY130+BX131-CG130)))</f>
        <v>385.5999999999998</v>
      </c>
      <c r="BZ131" s="14">
        <f>BY131*VLOOKUP('Données projet'!$B$12,Paramètres!$A$1:$I$89,3,0)*VLOOKUP('Données projet'!$B$12,Paramètres!$A$1:$I$89,5,0)</f>
        <v>390.99839999999983</v>
      </c>
      <c r="CA131" s="14">
        <f t="shared" si="93"/>
        <v>89.949318527408053</v>
      </c>
      <c r="CB131" s="22">
        <f t="shared" si="64"/>
        <v>837.65060976856876</v>
      </c>
      <c r="CC131" s="62">
        <f t="shared" si="65"/>
        <v>1130.983943101902</v>
      </c>
      <c r="CD131" s="62">
        <f ca="1">AVERAGE(OFFSET($CC$3,0,0,'Données projet'!$E$12+1,1))-AVERAGE(OFFSET($H$3,0,0,'Données projet'!$E$12+1,1))</f>
        <v>587.74247372331615</v>
      </c>
      <c r="CE131" s="62">
        <f t="shared" si="94"/>
        <v>306.61893266146666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5.4092197387944907E-14</v>
      </c>
      <c r="CV131" s="14">
        <f t="shared" si="95"/>
        <v>8.7287050538073676E-13</v>
      </c>
      <c r="CW131" s="22">
        <f t="shared" si="67"/>
        <v>1.6144600406554537E-12</v>
      </c>
      <c r="CX131" s="62">
        <f t="shared" si="68"/>
        <v>293.33333333333491</v>
      </c>
      <c r="CY131" s="62">
        <f ca="1">AVERAGE(OFFSET($CX$3,0,0,'Données projet'!$E$13+1,1))-AVERAGE(OFFSET($H$3,0,0,'Données projet'!$E$13+1,1))</f>
        <v>406.24139966722936</v>
      </c>
      <c r="CZ131" s="62">
        <f t="shared" si="96"/>
        <v>295.95724296920577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6.7984728957526396E-14</v>
      </c>
      <c r="DQ131" s="14">
        <f t="shared" si="97"/>
        <v>1.0682447123141398E-12</v>
      </c>
      <c r="DR131" s="22">
        <f t="shared" si="70"/>
        <v>1.978932943548152E-12</v>
      </c>
      <c r="DS131" s="62">
        <f t="shared" si="71"/>
        <v>293.3333333333353</v>
      </c>
      <c r="DT131" s="62">
        <f ca="1">AVERAGE(OFFSET($DS$3,0,0,'Données projet'!$E$14+1,1))-AVERAGE(OFFSET($H$3,0,0,'Données projet'!$E$14+1,1))</f>
        <v>356.42779334565381</v>
      </c>
      <c r="DU131" s="62">
        <f t="shared" si="98"/>
        <v>320.06572891923685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0.26247853932946175</v>
      </c>
      <c r="EC131" s="23">
        <f>EXP(-LN(2)/2)*EC130+(1-EXP(-LN(2)/2))/(LN(2)/2)*DW131*DZ131*VLOOKUP('Données projet'!$B$14,Paramètres!$A$1:$I$89,3,0)*0.475*44/12</f>
        <v>3.0163574728234781E-14</v>
      </c>
      <c r="ED131" s="24">
        <f t="shared" si="72"/>
        <v>0.26247853932949189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-5.6843418860808015E-14</v>
      </c>
      <c r="FF131" s="18">
        <f>FE131*VLOOKUP('Données projet'!$B$16,Paramètres!$A$1:$I$89,3,0)*VLOOKUP('Données projet'!$B$16,Paramètres!$A$1:$I$89,5,0)</f>
        <v>-4.5224624045658861E-14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370.59298168107364</v>
      </c>
      <c r="FK131" s="62">
        <f t="shared" si="102"/>
        <v>404.61777090709171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4.2</v>
      </c>
      <c r="FZ131" s="13">
        <f>IF('Données projet'!$A$244&gt;35,FZ130+FY131-GH130,IF(A131&lt;'Données projet'!$A$244,$FW$205^A131,IF(A131='Données projet'!$A$244,'Données projet'!$B$244,FZ130+FY131-GH130)))</f>
        <v>385.5999999999998</v>
      </c>
      <c r="GA131" s="18">
        <f>FZ131*VLOOKUP('Données projet'!$B$17,Paramètres!$A$1:$I$89,3,0)*VLOOKUP('Données projet'!$B$17,Paramètres!$A$1:$I$89,5,0)</f>
        <v>372.95231999999982</v>
      </c>
      <c r="GB131" s="14">
        <f t="shared" si="103"/>
        <v>86.271019898489143</v>
      </c>
      <c r="GC131" s="22">
        <f t="shared" si="79"/>
        <v>799.81398365653479</v>
      </c>
      <c r="GD131" s="62">
        <f t="shared" si="80"/>
        <v>1093.1473169898682</v>
      </c>
      <c r="GE131" s="62">
        <f ca="1">AVERAGE(OFFSET($GD$3,0,0,'Données projet'!$E$17+1,1))-AVERAGE(OFFSET($H$3,0,0,'Données projet'!$E$17+1,1))</f>
        <v>562.69380557620775</v>
      </c>
      <c r="GF131" s="62">
        <f t="shared" si="104"/>
        <v>294.45557293177131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>
        <f>GU131*VLOOKUP('Données projet'!$B$18,Paramètres!$A$1:$I$89,3,0)*VLOOKUP('Données projet'!$B$18,Paramètres!$A$1:$I$89,5,0)</f>
        <v>0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363.53487081291541</v>
      </c>
      <c r="HA131" s="62">
        <f t="shared" si="106"/>
        <v>308.1559670593121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1050.6229180690027</v>
      </c>
      <c r="S132" s="62">
        <f ca="1">AVERAGE(OFFSET($R$3,0,0,'Données projet'!$E$9+1,1))-AVERAGE(OFFSET($H$3,0,0,'Données projet'!$E$9+1,1))</f>
        <v>529.25712986118265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389.79999999999978</v>
      </c>
      <c r="AJ132" s="14">
        <f>AI132*VLOOKUP('Données projet'!$B$10,Paramètres!$A$1:$I$89,3,0)*VLOOKUP('Données projet'!$B$10,Paramètres!$A$1:$I$89,5,0)</f>
        <v>328.36751999999984</v>
      </c>
      <c r="AK132" s="14">
        <f t="shared" si="89"/>
        <v>77.091754793328491</v>
      </c>
      <c r="AL132" s="22">
        <f t="shared" ref="AL132:AL153" si="112">(AJ132+AK132)*0.475*44/12</f>
        <v>706.1749035983803</v>
      </c>
      <c r="AM132" s="62">
        <f t="shared" ref="AM132:AM195" si="113">AL132+(AD132+AE132)*44/12</f>
        <v>999.50823693171355</v>
      </c>
      <c r="AN132" s="62">
        <f ca="1">AVERAGE(OFFSET($AM$3,0,0,'Données projet'!$E$10+1,1))-AVERAGE(OFFSET($H$3,0,0,'Données projet'!$E$10+1,1))</f>
        <v>495.77338291316386</v>
      </c>
      <c r="AO132" s="62">
        <f t="shared" si="90"/>
        <v>261.95434270986397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1.1380052455933766E-13</v>
      </c>
      <c r="BF132" s="14">
        <f t="shared" si="91"/>
        <v>1.6840738663456724E-12</v>
      </c>
      <c r="BG132" s="22">
        <f t="shared" ref="BG132:BG153" si="115">(BE132+BF132)*0.475*44/12</f>
        <v>3.1312978974928925E-12</v>
      </c>
      <c r="BH132" s="62">
        <f t="shared" ref="BH132:BH195" si="116">BG132+(AY132+AZ132)*44/12</f>
        <v>293.33333333333644</v>
      </c>
      <c r="BI132" s="62">
        <f ca="1">AVERAGE(OFFSET($BH$3,0,0,'Données projet'!$E$11+1,1))-AVERAGE(OFFSET($H$3,0,0,'Données projet'!$E$11+1,1))</f>
        <v>320.67081032419122</v>
      </c>
      <c r="BJ132" s="62">
        <f t="shared" si="92"/>
        <v>290.51177680335746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0.15486573391795089</v>
      </c>
      <c r="BR132" s="23">
        <f>EXP(-LN(2)/2)*BR131+(1-EXP(-LN(2)/2))/(LN(2)/2)*BL132*BO132*VLOOKUP('Données projet'!$B$11,Paramètres!$A$1:$I$89,3,0)*0.475*44/12</f>
        <v>1.35300661842537E-14</v>
      </c>
      <c r="BS132" s="24">
        <f t="shared" ref="BS132:BS153" si="117">SUM(BP132:BR132)</f>
        <v>0.1548657339179644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</v>
      </c>
      <c r="BY132" s="13">
        <f>IF('Données projet'!$A$114&gt;35,BY131+BX132-CG131,IF(A132&lt;'Données projet'!$A$114,$BV$205^A132,IF(A132='Données projet'!$A$114,'Données projet'!$B$114,BY131+BX132-CG131)))</f>
        <v>389.79999999999978</v>
      </c>
      <c r="BZ132" s="14">
        <f>BY132*VLOOKUP('Données projet'!$B$12,Paramètres!$A$1:$I$89,3,0)*VLOOKUP('Données projet'!$B$12,Paramètres!$A$1:$I$89,5,0)</f>
        <v>395.25719999999978</v>
      </c>
      <c r="CA132" s="14">
        <f t="shared" si="93"/>
        <v>90.814468830432659</v>
      </c>
      <c r="CB132" s="22">
        <f t="shared" ref="CB132:CB153" si="118">(BZ132+CA132)*0.475*44/12</f>
        <v>846.57482321300313</v>
      </c>
      <c r="CC132" s="62">
        <f t="shared" ref="CC132:CC195" si="119">CB132+(BT132+BU132)*44/12</f>
        <v>1139.9081565463364</v>
      </c>
      <c r="CD132" s="62">
        <f ca="1">AVERAGE(OFFSET($CC$3,0,0,'Données projet'!$E$12+1,1))-AVERAGE(OFFSET($H$3,0,0,'Données projet'!$E$12+1,1))</f>
        <v>587.74247372331615</v>
      </c>
      <c r="CE132" s="62">
        <f t="shared" si="94"/>
        <v>306.61893266146666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5.4092197387944907E-14</v>
      </c>
      <c r="CV132" s="14">
        <f t="shared" si="95"/>
        <v>8.7287050538073676E-13</v>
      </c>
      <c r="CW132" s="22">
        <f t="shared" ref="CW132:CW153" si="121">(CU132+CV132)*0.475*44/12</f>
        <v>1.6144600406554537E-12</v>
      </c>
      <c r="CX132" s="62">
        <f t="shared" ref="CX132:CX195" si="122">CW132+(CO132+CP132)*44/12</f>
        <v>293.33333333333491</v>
      </c>
      <c r="CY132" s="62">
        <f ca="1">AVERAGE(OFFSET($CX$3,0,0,'Données projet'!$E$13+1,1))-AVERAGE(OFFSET($H$3,0,0,'Données projet'!$E$13+1,1))</f>
        <v>406.24139966722936</v>
      </c>
      <c r="CZ132" s="62">
        <f t="shared" si="96"/>
        <v>295.95724296920577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6.7984728957526396E-14</v>
      </c>
      <c r="DQ132" s="14">
        <f t="shared" si="97"/>
        <v>1.0682447123141398E-12</v>
      </c>
      <c r="DR132" s="22">
        <f t="shared" ref="DR132:DR153" si="124">(DP132+DQ132)*0.475*44/12</f>
        <v>1.978932943548152E-12</v>
      </c>
      <c r="DS132" s="62">
        <f t="shared" ref="DS132:DS195" si="125">DR132+(DJ132+DK132)*44/12</f>
        <v>293.3333333333353</v>
      </c>
      <c r="DT132" s="62">
        <f ca="1">AVERAGE(OFFSET($DS$3,0,0,'Données projet'!$E$14+1,1))-AVERAGE(OFFSET($H$3,0,0,'Données projet'!$E$14+1,1))</f>
        <v>356.42779334565381</v>
      </c>
      <c r="DU132" s="62">
        <f t="shared" si="98"/>
        <v>320.06572891923685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0.25530104986835112</v>
      </c>
      <c r="EC132" s="23">
        <f>EXP(-LN(2)/2)*EC131+(1-EXP(-LN(2)/2))/(LN(2)/2)*DW132*DZ132*VLOOKUP('Données projet'!$B$14,Paramètres!$A$1:$I$89,3,0)*0.475*44/12</f>
        <v>2.1328868235161986E-14</v>
      </c>
      <c r="ED132" s="24">
        <f t="shared" ref="ED132:ED153" si="126">SUM(EA132:EC132)</f>
        <v>0.25530104986837243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-5.6843418860808015E-14</v>
      </c>
      <c r="FF132" s="18">
        <f>FE132*VLOOKUP('Données projet'!$B$16,Paramètres!$A$1:$I$89,3,0)*VLOOKUP('Données projet'!$B$16,Paramètres!$A$1:$I$89,5,0)</f>
        <v>-4.5224624045658861E-14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370.59298168107364</v>
      </c>
      <c r="FK132" s="62">
        <f t="shared" si="102"/>
        <v>404.61777090709171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4.2</v>
      </c>
      <c r="FZ132" s="13">
        <f>IF('Données projet'!$A$244&gt;35,FZ131+FY132-GH131,IF(A132&lt;'Données projet'!$A$244,$FW$205^A132,IF(A132='Données projet'!$A$244,'Données projet'!$B$244,FZ131+FY132-GH131)))</f>
        <v>389.79999999999978</v>
      </c>
      <c r="GA132" s="18">
        <f>FZ132*VLOOKUP('Données projet'!$B$17,Paramètres!$A$1:$I$89,3,0)*VLOOKUP('Données projet'!$B$17,Paramètres!$A$1:$I$89,5,0)</f>
        <v>377.01455999999979</v>
      </c>
      <c r="GB132" s="14">
        <f t="shared" si="103"/>
        <v>87.100791599146149</v>
      </c>
      <c r="GC132" s="22">
        <f t="shared" ref="GC132:GC153" si="133">(GA132+GB132)*0.475*44/12</f>
        <v>808.33423736851239</v>
      </c>
      <c r="GD132" s="62">
        <f t="shared" ref="GD132:GD195" si="134">GC132+(FU132+FV132)*44/12</f>
        <v>1101.6675707018458</v>
      </c>
      <c r="GE132" s="62">
        <f ca="1">AVERAGE(OFFSET($GD$3,0,0,'Données projet'!$E$17+1,1))-AVERAGE(OFFSET($H$3,0,0,'Données projet'!$E$17+1,1))</f>
        <v>562.69380557620775</v>
      </c>
      <c r="GF132" s="62">
        <f t="shared" si="104"/>
        <v>294.45557293177131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>
        <f>GU132*VLOOKUP('Données projet'!$B$18,Paramètres!$A$1:$I$89,3,0)*VLOOKUP('Données projet'!$B$18,Paramètres!$A$1:$I$89,5,0)</f>
        <v>0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363.53487081291541</v>
      </c>
      <c r="HA132" s="62">
        <f t="shared" si="106"/>
        <v>308.1559670593121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1058.6023060725768</v>
      </c>
      <c r="S133" s="62">
        <f ca="1">AVERAGE(OFFSET($R$3,0,0,'Données projet'!$E$9+1,1))-AVERAGE(OFFSET($H$3,0,0,'Données projet'!$E$9+1,1))</f>
        <v>529.25712986118265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394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393.99999999999977</v>
      </c>
      <c r="AJ133" s="14">
        <f>AI133*VLOOKUP('Données projet'!$B$10,Paramètres!$A$1:$I$89,3,0)*VLOOKUP('Données projet'!$B$10,Paramètres!$A$1:$I$89,5,0)</f>
        <v>331.90559999999982</v>
      </c>
      <c r="AK133" s="14">
        <f t="shared" ref="AK133:AK153" si="143">EXP(-1.0587+0.8836*LN(AJ133)+0.284)</f>
        <v>77.825254176842535</v>
      </c>
      <c r="AL133" s="22">
        <f t="shared" si="112"/>
        <v>713.61457102466704</v>
      </c>
      <c r="AM133" s="62">
        <f t="shared" si="113"/>
        <v>1006.9479043580004</v>
      </c>
      <c r="AN133" s="62">
        <f ca="1">AVERAGE(OFFSET($AM$3,0,0,'Données projet'!$E$10+1,1))-AVERAGE(OFFSET($H$3,0,0,'Données projet'!$E$10+1,1))</f>
        <v>495.77338291316386</v>
      </c>
      <c r="AO133" s="62">
        <f t="shared" ref="AO133:AO196" si="144">$AO$3</f>
        <v>261.95434270986397</v>
      </c>
      <c r="AP133" s="16">
        <f>IF(ISNA(VLOOKUP(A133,'Données projet'!$A$61:$I$81,3,0)),0,VLOOKUP(A133,'Données projet'!$A$61:$I$81,3,0))</f>
        <v>9</v>
      </c>
      <c r="AQ133" s="16">
        <f>IF(ISNA(VLOOKUP(A133,'Données projet'!$A$61:$I$81,4,0)),0,VLOOKUP(A133,'Données projet'!$A$61:$I$81,4,0))</f>
        <v>91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1.1380052455933766E-13</v>
      </c>
      <c r="BF133" s="14">
        <f t="shared" ref="BF133:BF153" si="145">EXP(-1.0587+0.8836*LN(BE133)+0.284)</f>
        <v>1.6840738663456724E-12</v>
      </c>
      <c r="BG133" s="22">
        <f t="shared" si="115"/>
        <v>3.1312978974928925E-12</v>
      </c>
      <c r="BH133" s="62">
        <f t="shared" si="116"/>
        <v>293.33333333333644</v>
      </c>
      <c r="BI133" s="62">
        <f ca="1">AVERAGE(OFFSET($BH$3,0,0,'Données projet'!$E$11+1,1))-AVERAGE(OFFSET($H$3,0,0,'Données projet'!$E$11+1,1))</f>
        <v>320.67081032419122</v>
      </c>
      <c r="BJ133" s="62">
        <f t="shared" ref="BJ133:BJ196" si="146">$BJ$3</f>
        <v>290.51177680335746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0.15063092227992952</v>
      </c>
      <c r="BR133" s="23">
        <f>EXP(-LN(2)/2)*BR132+(1-EXP(-LN(2)/2))/(LN(2)/2)*BL133*BO133*VLOOKUP('Données projet'!$B$11,Paramètres!$A$1:$I$89,3,0)*0.475*44/12</f>
        <v>9.5672015487885868E-15</v>
      </c>
      <c r="BS133" s="24">
        <f t="shared" si="117"/>
        <v>0.1506309222799391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394</v>
      </c>
      <c r="BW133" s="13">
        <f>VLOOKUP(A133,'Données projet'!$A$113:$I$133,9,0)</f>
        <v>4.2</v>
      </c>
      <c r="BX133" s="13">
        <f t="array" ref="BX133">INDEX(BW:BW,MIN(IF(ISNUMBER(BW133:BW329),ROW(BW133:BW329),"")))</f>
        <v>4.2</v>
      </c>
      <c r="BY133" s="13">
        <f>IF('Données projet'!$A$114&gt;35,BY132+BX133-CG132,IF(A133&lt;'Données projet'!$A$114,$BV$205^A133,IF(A133='Données projet'!$A$114,'Données projet'!$B$114,BY132+BX133-CG132)))</f>
        <v>393.99999999999977</v>
      </c>
      <c r="BZ133" s="14">
        <f>BY133*VLOOKUP('Données projet'!$B$12,Paramètres!$A$1:$I$89,3,0)*VLOOKUP('Données projet'!$B$12,Paramètres!$A$1:$I$89,5,0)</f>
        <v>399.51599999999979</v>
      </c>
      <c r="CA133" s="14">
        <f t="shared" ref="CA133:CA153" si="147">EXP(-1.0587+0.8836*LN(BZ133)+0.284)</f>
        <v>91.678534735792596</v>
      </c>
      <c r="CB133" s="22">
        <f t="shared" si="118"/>
        <v>855.49714799817173</v>
      </c>
      <c r="CC133" s="62">
        <f t="shared" si="119"/>
        <v>1148.8304813315051</v>
      </c>
      <c r="CD133" s="62">
        <f ca="1">AVERAGE(OFFSET($CC$3,0,0,'Données projet'!$E$12+1,1))-AVERAGE(OFFSET($H$3,0,0,'Données projet'!$E$12+1,1))</f>
        <v>587.74247372331615</v>
      </c>
      <c r="CE133" s="62">
        <f t="shared" ref="CE133:CE196" si="148">$CE$3</f>
        <v>306.61893266146666</v>
      </c>
      <c r="CF133" s="16">
        <f>IF(ISNA(VLOOKUP(A133,'Données projet'!$A$113:$I$133,3,0)),0,VLOOKUP(A133,'Données projet'!$A$113:$I$133,3,0))</f>
        <v>9</v>
      </c>
      <c r="CG133" s="16">
        <f>IF(ISNA(VLOOKUP(A133,'Données projet'!$A$113:$I$133,4,0)),0,VLOOKUP(A133,'Données projet'!$A$113:$I$133,4,0))</f>
        <v>91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5.4092197387944907E-14</v>
      </c>
      <c r="CV133" s="14">
        <f t="shared" ref="CV133:CV153" si="149">EXP(-1.0587+0.8836*LN(CU133)+0.284)</f>
        <v>8.7287050538073676E-13</v>
      </c>
      <c r="CW133" s="22">
        <f t="shared" si="121"/>
        <v>1.6144600406554537E-12</v>
      </c>
      <c r="CX133" s="62">
        <f t="shared" si="122"/>
        <v>293.33333333333491</v>
      </c>
      <c r="CY133" s="62">
        <f ca="1">AVERAGE(OFFSET($CX$3,0,0,'Données projet'!$E$13+1,1))-AVERAGE(OFFSET($H$3,0,0,'Données projet'!$E$13+1,1))</f>
        <v>406.24139966722936</v>
      </c>
      <c r="CZ133" s="62">
        <f t="shared" ref="CZ133:CZ196" si="150">$CZ$3</f>
        <v>295.95724296920577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6.7984728957526396E-14</v>
      </c>
      <c r="DQ133" s="14">
        <f t="shared" ref="DQ133:DQ153" si="151">EXP(-1.0587+0.8836*LN(DP133)+0.284)</f>
        <v>1.0682447123141398E-12</v>
      </c>
      <c r="DR133" s="22">
        <f t="shared" si="124"/>
        <v>1.978932943548152E-12</v>
      </c>
      <c r="DS133" s="62">
        <f t="shared" si="125"/>
        <v>293.3333333333353</v>
      </c>
      <c r="DT133" s="62">
        <f ca="1">AVERAGE(OFFSET($DS$3,0,0,'Données projet'!$E$14+1,1))-AVERAGE(OFFSET($H$3,0,0,'Données projet'!$E$14+1,1))</f>
        <v>356.42779334565381</v>
      </c>
      <c r="DU133" s="62">
        <f t="shared" ref="DU133:DU196" si="152">$DU$3</f>
        <v>320.06572891923685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0.24831982923400234</v>
      </c>
      <c r="EC133" s="23">
        <f>EXP(-LN(2)/2)*EC132+(1-EXP(-LN(2)/2))/(LN(2)/2)*DW133*DZ133*VLOOKUP('Données projet'!$B$14,Paramètres!$A$1:$I$89,3,0)*0.475*44/12</f>
        <v>1.5081787364117391E-14</v>
      </c>
      <c r="ED133" s="24">
        <f t="shared" si="126"/>
        <v>0.24831982923401741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-5.6843418860808015E-14</v>
      </c>
      <c r="FF133" s="18">
        <f>FE133*VLOOKUP('Données projet'!$B$16,Paramètres!$A$1:$I$89,3,0)*VLOOKUP('Données projet'!$B$16,Paramètres!$A$1:$I$89,5,0)</f>
        <v>-4.5224624045658861E-14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370.59298168107364</v>
      </c>
      <c r="FK133" s="62">
        <f t="shared" ref="FK133:FK196" si="156">$FK$3</f>
        <v>404.61777090709171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394</v>
      </c>
      <c r="FX133" s="13">
        <f>VLOOKUP(A133,'Données projet'!$A$243:$I$263,9,0)</f>
        <v>4.2</v>
      </c>
      <c r="FY133" s="13">
        <f t="array" ref="FY133">INDEX(FX:FX,MIN(IF(ISNUMBER(FX133:FX329),ROW(FX133:FX329),"")))</f>
        <v>4.2</v>
      </c>
      <c r="FZ133" s="13">
        <f>IF('Données projet'!$A$244&gt;35,FZ132+FY133-GH132,IF(A133&lt;'Données projet'!$A$244,$FW$205^A133,IF(A133='Données projet'!$A$244,'Données projet'!$B$244,FZ132+FY133-GH132)))</f>
        <v>393.99999999999977</v>
      </c>
      <c r="GA133" s="18">
        <f>FZ133*VLOOKUP('Données projet'!$B$17,Paramètres!$A$1:$I$89,3,0)*VLOOKUP('Données projet'!$B$17,Paramètres!$A$1:$I$89,5,0)</f>
        <v>381.07679999999982</v>
      </c>
      <c r="GB133" s="14">
        <f t="shared" ref="GB133:GB153" si="157">EXP(-1.0587+0.8836*LN(GA133)+0.284)</f>
        <v>87.929523246425944</v>
      </c>
      <c r="GC133" s="22">
        <f t="shared" si="133"/>
        <v>816.85267965419155</v>
      </c>
      <c r="GD133" s="62">
        <f t="shared" si="134"/>
        <v>1110.1860129875249</v>
      </c>
      <c r="GE133" s="62">
        <f ca="1">AVERAGE(OFFSET($GD$3,0,0,'Données projet'!$E$17+1,1))-AVERAGE(OFFSET($H$3,0,0,'Données projet'!$E$17+1,1))</f>
        <v>562.69380557620775</v>
      </c>
      <c r="GF133" s="62">
        <f t="shared" ref="GF133:GF196" si="158">$GF$3</f>
        <v>294.45557293177131</v>
      </c>
      <c r="GG133" s="16">
        <f>IF(ISNA(VLOOKUP(A133,'Données projet'!$A$243:$I$263,3,0)),0,VLOOKUP(A133,'Données projet'!$A$243:$I$263,3,0))</f>
        <v>9</v>
      </c>
      <c r="GH133" s="16">
        <f>IF(ISNA(VLOOKUP(A133,'Données projet'!$A$243:$I$263,4,0)),0,VLOOKUP(A133,'Données projet'!$A$243:$I$263,4,0))</f>
        <v>91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>
        <f>GU133*VLOOKUP('Données projet'!$B$18,Paramètres!$A$1:$I$89,3,0)*VLOOKUP('Données projet'!$B$18,Paramètres!$A$1:$I$89,5,0)</f>
        <v>0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363.53487081291541</v>
      </c>
      <c r="HA133" s="62">
        <f t="shared" ref="HA133:HA196" si="160">$HA$3</f>
        <v>308.1559670593121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892.55488055489059</v>
      </c>
      <c r="S134" s="62">
        <f ca="1">AVERAGE(OFFSET($R$3,0,0,'Données projet'!$E$9+1,1))-AVERAGE(OFFSET($H$3,0,0,'Données projet'!$E$9+1,1))</f>
        <v>529.25712986118265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3.8</v>
      </c>
      <c r="AI134" s="14">
        <f>IF('Données projet'!$A$62&gt;35,AI133+AH134-AQ133,IF(A134&lt;'Données projet'!$A$62,$AF$205^A134,IF(A134='Données projet'!$A$62,'Données projet'!$B$62,AI133+AH134-AQ133)))</f>
        <v>306.79999999999978</v>
      </c>
      <c r="AJ134" s="14">
        <f>AI134*VLOOKUP('Données projet'!$B$10,Paramètres!$A$1:$I$89,3,0)*VLOOKUP('Données projet'!$B$10,Paramètres!$A$1:$I$89,5,0)</f>
        <v>258.44831999999985</v>
      </c>
      <c r="AK134" s="14">
        <f t="shared" si="143"/>
        <v>62.391507345206676</v>
      </c>
      <c r="AL134" s="22">
        <f t="shared" si="112"/>
        <v>558.79603262623471</v>
      </c>
      <c r="AM134" s="62">
        <f t="shared" si="113"/>
        <v>852.12936595956808</v>
      </c>
      <c r="AN134" s="62">
        <f ca="1">AVERAGE(OFFSET($AM$3,0,0,'Données projet'!$E$10+1,1))-AVERAGE(OFFSET($H$3,0,0,'Données projet'!$E$10+1,1))</f>
        <v>495.77338291316386</v>
      </c>
      <c r="AO134" s="62">
        <f t="shared" si="144"/>
        <v>261.95434270986397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1.1380052455933766E-13</v>
      </c>
      <c r="BF134" s="14">
        <f t="shared" si="145"/>
        <v>1.6840738663456724E-12</v>
      </c>
      <c r="BG134" s="22">
        <f t="shared" si="115"/>
        <v>3.1312978974928925E-12</v>
      </c>
      <c r="BH134" s="62">
        <f t="shared" si="116"/>
        <v>293.33333333333644</v>
      </c>
      <c r="BI134" s="62">
        <f ca="1">AVERAGE(OFFSET($BH$3,0,0,'Données projet'!$E$11+1,1))-AVERAGE(OFFSET($H$3,0,0,'Données projet'!$E$11+1,1))</f>
        <v>320.67081032419122</v>
      </c>
      <c r="BJ134" s="62">
        <f t="shared" si="146"/>
        <v>290.51177680335746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0.14651191178884893</v>
      </c>
      <c r="BR134" s="23">
        <f>EXP(-LN(2)/2)*BR133+(1-EXP(-LN(2)/2))/(LN(2)/2)*BL134*BO134*VLOOKUP('Données projet'!$B$11,Paramètres!$A$1:$I$89,3,0)*0.475*44/12</f>
        <v>6.7650330921268499E-15</v>
      </c>
      <c r="BS134" s="24">
        <f t="shared" si="117"/>
        <v>0.1465119117888557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3.8</v>
      </c>
      <c r="BY134" s="13">
        <f>IF('Données projet'!$A$114&gt;35,BY133+BX134-CG133,IF(A134&lt;'Données projet'!$A$114,$BV$205^A134,IF(A134='Données projet'!$A$114,'Données projet'!$B$114,BY133+BX134-CG133)))</f>
        <v>306.79999999999978</v>
      </c>
      <c r="BZ134" s="14">
        <f>BY134*VLOOKUP('Données projet'!$B$12,Paramètres!$A$1:$I$89,3,0)*VLOOKUP('Données projet'!$B$12,Paramètres!$A$1:$I$89,5,0)</f>
        <v>311.09519999999981</v>
      </c>
      <c r="CA134" s="14">
        <f t="shared" si="147"/>
        <v>73.497504555121779</v>
      </c>
      <c r="CB134" s="22">
        <f t="shared" si="118"/>
        <v>669.83229376683676</v>
      </c>
      <c r="CC134" s="62">
        <f t="shared" si="119"/>
        <v>963.16562710017001</v>
      </c>
      <c r="CD134" s="62">
        <f ca="1">AVERAGE(OFFSET($CC$3,0,0,'Données projet'!$E$12+1,1))-AVERAGE(OFFSET($H$3,0,0,'Données projet'!$E$12+1,1))</f>
        <v>587.74247372331615</v>
      </c>
      <c r="CE134" s="62">
        <f t="shared" si="148"/>
        <v>306.61893266146666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5.4092197387944907E-14</v>
      </c>
      <c r="CV134" s="14">
        <f t="shared" si="149"/>
        <v>8.7287050538073676E-13</v>
      </c>
      <c r="CW134" s="22">
        <f t="shared" si="121"/>
        <v>1.6144600406554537E-12</v>
      </c>
      <c r="CX134" s="62">
        <f t="shared" si="122"/>
        <v>293.33333333333491</v>
      </c>
      <c r="CY134" s="62">
        <f ca="1">AVERAGE(OFFSET($CX$3,0,0,'Données projet'!$E$13+1,1))-AVERAGE(OFFSET($H$3,0,0,'Données projet'!$E$13+1,1))</f>
        <v>406.24139966722936</v>
      </c>
      <c r="CZ134" s="62">
        <f t="shared" si="150"/>
        <v>295.95724296920577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6.7984728957526396E-14</v>
      </c>
      <c r="DQ134" s="14">
        <f t="shared" si="151"/>
        <v>1.0682447123141398E-12</v>
      </c>
      <c r="DR134" s="22">
        <f t="shared" si="124"/>
        <v>1.978932943548152E-12</v>
      </c>
      <c r="DS134" s="62">
        <f t="shared" si="125"/>
        <v>293.3333333333353</v>
      </c>
      <c r="DT134" s="62">
        <f ca="1">AVERAGE(OFFSET($DS$3,0,0,'Données projet'!$E$14+1,1))-AVERAGE(OFFSET($H$3,0,0,'Données projet'!$E$14+1,1))</f>
        <v>356.42779334565381</v>
      </c>
      <c r="DU134" s="62">
        <f t="shared" si="152"/>
        <v>320.06572891923685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0.24152951044502627</v>
      </c>
      <c r="EC134" s="23">
        <f>EXP(-LN(2)/2)*EC133+(1-EXP(-LN(2)/2))/(LN(2)/2)*DW134*DZ134*VLOOKUP('Données projet'!$B$14,Paramètres!$A$1:$I$89,3,0)*0.475*44/12</f>
        <v>1.0664434117580993E-14</v>
      </c>
      <c r="ED134" s="24">
        <f t="shared" si="126"/>
        <v>0.24152951044503693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-5.6843418860808015E-14</v>
      </c>
      <c r="FF134" s="18">
        <f>FE134*VLOOKUP('Données projet'!$B$16,Paramètres!$A$1:$I$89,3,0)*VLOOKUP('Données projet'!$B$16,Paramètres!$A$1:$I$89,5,0)</f>
        <v>-4.5224624045658861E-14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370.59298168107364</v>
      </c>
      <c r="FK134" s="62">
        <f t="shared" si="156"/>
        <v>404.61777090709171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3.8</v>
      </c>
      <c r="FZ134" s="13">
        <f>IF('Données projet'!$A$244&gt;35,FZ133+FY134-GH133,IF(A134&lt;'Données projet'!$A$244,$FW$205^A134,IF(A134='Données projet'!$A$244,'Données projet'!$B$244,FZ133+FY134-GH133)))</f>
        <v>306.79999999999978</v>
      </c>
      <c r="GA134" s="18">
        <f>FZ134*VLOOKUP('Données projet'!$B$17,Paramètres!$A$1:$I$89,3,0)*VLOOKUP('Données projet'!$B$17,Paramètres!$A$1:$I$89,5,0)</f>
        <v>296.73695999999978</v>
      </c>
      <c r="GB134" s="14">
        <f t="shared" si="157"/>
        <v>70.491970164645096</v>
      </c>
      <c r="GC134" s="22">
        <f t="shared" si="133"/>
        <v>639.59038670342318</v>
      </c>
      <c r="GD134" s="62">
        <f t="shared" si="134"/>
        <v>932.92372003675655</v>
      </c>
      <c r="GE134" s="62">
        <f ca="1">AVERAGE(OFFSET($GD$3,0,0,'Données projet'!$E$17+1,1))-AVERAGE(OFFSET($H$3,0,0,'Données projet'!$E$17+1,1))</f>
        <v>562.69380557620775</v>
      </c>
      <c r="GF134" s="62">
        <f t="shared" si="158"/>
        <v>294.45557293177131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>
        <f>GU134*VLOOKUP('Données projet'!$B$18,Paramètres!$A$1:$I$89,3,0)*VLOOKUP('Données projet'!$B$18,Paramètres!$A$1:$I$89,5,0)</f>
        <v>0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363.53487081291541</v>
      </c>
      <c r="HA134" s="62">
        <f t="shared" si="160"/>
        <v>308.1559670593121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899.80900533362933</v>
      </c>
      <c r="S135" s="62">
        <f ca="1">AVERAGE(OFFSET($R$3,0,0,'Données projet'!$E$9+1,1))-AVERAGE(OFFSET($H$3,0,0,'Données projet'!$E$9+1,1))</f>
        <v>529.25712986118265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3.8</v>
      </c>
      <c r="AI135" s="14">
        <f>IF('Données projet'!$A$62&gt;35,AI134+AH135-AQ134,IF(A135&lt;'Données projet'!$A$62,$AF$205^A135,IF(A135='Données projet'!$A$62,'Données projet'!$B$62,AI134+AH135-AQ134)))</f>
        <v>310.5999999999998</v>
      </c>
      <c r="AJ135" s="14">
        <f>AI135*VLOOKUP('Données projet'!$B$10,Paramètres!$A$1:$I$89,3,0)*VLOOKUP('Données projet'!$B$10,Paramètres!$A$1:$I$89,5,0)</f>
        <v>261.64943999999986</v>
      </c>
      <c r="AK135" s="14">
        <f t="shared" si="143"/>
        <v>63.073842398428624</v>
      </c>
      <c r="AL135" s="22">
        <f t="shared" si="112"/>
        <v>565.55971684392955</v>
      </c>
      <c r="AM135" s="62">
        <f t="shared" si="113"/>
        <v>858.89305017726292</v>
      </c>
      <c r="AN135" s="62">
        <f ca="1">AVERAGE(OFFSET($AM$3,0,0,'Données projet'!$E$10+1,1))-AVERAGE(OFFSET($H$3,0,0,'Données projet'!$E$10+1,1))</f>
        <v>495.77338291316386</v>
      </c>
      <c r="AO135" s="62">
        <f t="shared" si="144"/>
        <v>261.95434270986397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1.1380052455933766E-13</v>
      </c>
      <c r="BF135" s="14">
        <f t="shared" si="145"/>
        <v>1.6840738663456724E-12</v>
      </c>
      <c r="BG135" s="22">
        <f t="shared" si="115"/>
        <v>3.1312978974928925E-12</v>
      </c>
      <c r="BH135" s="62">
        <f t="shared" si="116"/>
        <v>293.33333333333644</v>
      </c>
      <c r="BI135" s="62">
        <f ca="1">AVERAGE(OFFSET($BH$3,0,0,'Données projet'!$E$11+1,1))-AVERAGE(OFFSET($H$3,0,0,'Données projet'!$E$11+1,1))</f>
        <v>320.67081032419122</v>
      </c>
      <c r="BJ135" s="62">
        <f t="shared" si="146"/>
        <v>290.51177680335746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0.14250553585625628</v>
      </c>
      <c r="BR135" s="23">
        <f>EXP(-LN(2)/2)*BR134+(1-EXP(-LN(2)/2))/(LN(2)/2)*BL135*BO135*VLOOKUP('Données projet'!$B$11,Paramètres!$A$1:$I$89,3,0)*0.475*44/12</f>
        <v>4.7836007743942934E-15</v>
      </c>
      <c r="BS135" s="24">
        <f t="shared" si="117"/>
        <v>0.14250553585626105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3.8</v>
      </c>
      <c r="BY135" s="13">
        <f>IF('Données projet'!$A$114&gt;35,BY134+BX135-CG134,IF(A135&lt;'Données projet'!$A$114,$BV$205^A135,IF(A135='Données projet'!$A$114,'Données projet'!$B$114,BY134+BX135-CG134)))</f>
        <v>310.5999999999998</v>
      </c>
      <c r="BZ135" s="14">
        <f>BY135*VLOOKUP('Données projet'!$B$12,Paramètres!$A$1:$I$89,3,0)*VLOOKUP('Données projet'!$B$12,Paramètres!$A$1:$I$89,5,0)</f>
        <v>314.94839999999982</v>
      </c>
      <c r="CA135" s="14">
        <f t="shared" si="147"/>
        <v>74.301298626081149</v>
      </c>
      <c r="CB135" s="22">
        <f t="shared" si="118"/>
        <v>677.94322510709105</v>
      </c>
      <c r="CC135" s="62">
        <f t="shared" si="119"/>
        <v>971.27655844042442</v>
      </c>
      <c r="CD135" s="62">
        <f ca="1">AVERAGE(OFFSET($CC$3,0,0,'Données projet'!$E$12+1,1))-AVERAGE(OFFSET($H$3,0,0,'Données projet'!$E$12+1,1))</f>
        <v>587.74247372331615</v>
      </c>
      <c r="CE135" s="62">
        <f t="shared" si="148"/>
        <v>306.61893266146666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5.4092197387944907E-14</v>
      </c>
      <c r="CV135" s="14">
        <f t="shared" si="149"/>
        <v>8.7287050538073676E-13</v>
      </c>
      <c r="CW135" s="22">
        <f t="shared" si="121"/>
        <v>1.6144600406554537E-12</v>
      </c>
      <c r="CX135" s="62">
        <f t="shared" si="122"/>
        <v>293.33333333333491</v>
      </c>
      <c r="CY135" s="62">
        <f ca="1">AVERAGE(OFFSET($CX$3,0,0,'Données projet'!$E$13+1,1))-AVERAGE(OFFSET($H$3,0,0,'Données projet'!$E$13+1,1))</f>
        <v>406.24139966722936</v>
      </c>
      <c r="CZ135" s="62">
        <f t="shared" si="150"/>
        <v>295.95724296920577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6.7984728957526396E-14</v>
      </c>
      <c r="DQ135" s="14">
        <f t="shared" si="151"/>
        <v>1.0682447123141398E-12</v>
      </c>
      <c r="DR135" s="22">
        <f t="shared" si="124"/>
        <v>1.978932943548152E-12</v>
      </c>
      <c r="DS135" s="62">
        <f t="shared" si="125"/>
        <v>293.3333333333353</v>
      </c>
      <c r="DT135" s="62">
        <f ca="1">AVERAGE(OFFSET($DS$3,0,0,'Données projet'!$E$14+1,1))-AVERAGE(OFFSET($H$3,0,0,'Données projet'!$E$14+1,1))</f>
        <v>356.42779334565381</v>
      </c>
      <c r="DU135" s="62">
        <f t="shared" si="152"/>
        <v>320.06572891923685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0.23492487328042208</v>
      </c>
      <c r="EC135" s="23">
        <f>EXP(-LN(2)/2)*EC134+(1-EXP(-LN(2)/2))/(LN(2)/2)*DW135*DZ135*VLOOKUP('Données projet'!$B$14,Paramètres!$A$1:$I$89,3,0)*0.475*44/12</f>
        <v>7.5408936820586953E-15</v>
      </c>
      <c r="ED135" s="24">
        <f t="shared" si="126"/>
        <v>0.23492487328042963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-5.6843418860808015E-14</v>
      </c>
      <c r="FF135" s="18">
        <f>FE135*VLOOKUP('Données projet'!$B$16,Paramètres!$A$1:$I$89,3,0)*VLOOKUP('Données projet'!$B$16,Paramètres!$A$1:$I$89,5,0)</f>
        <v>-4.5224624045658861E-14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370.59298168107364</v>
      </c>
      <c r="FK135" s="62">
        <f t="shared" si="156"/>
        <v>404.61777090709171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3.8</v>
      </c>
      <c r="FZ135" s="13">
        <f>IF('Données projet'!$A$244&gt;35,FZ134+FY135-GH134,IF(A135&lt;'Données projet'!$A$244,$FW$205^A135,IF(A135='Données projet'!$A$244,'Données projet'!$B$244,FZ134+FY135-GH134)))</f>
        <v>310.5999999999998</v>
      </c>
      <c r="GA135" s="18">
        <f>FZ135*VLOOKUP('Données projet'!$B$17,Paramètres!$A$1:$I$89,3,0)*VLOOKUP('Données projet'!$B$17,Paramètres!$A$1:$I$89,5,0)</f>
        <v>300.4123199999998</v>
      </c>
      <c r="GB135" s="14">
        <f t="shared" si="157"/>
        <v>71.262894674416614</v>
      </c>
      <c r="GC135" s="22">
        <f t="shared" si="133"/>
        <v>647.33433222460849</v>
      </c>
      <c r="GD135" s="62">
        <f t="shared" si="134"/>
        <v>940.66766555794175</v>
      </c>
      <c r="GE135" s="62">
        <f ca="1">AVERAGE(OFFSET($GD$3,0,0,'Données projet'!$E$17+1,1))-AVERAGE(OFFSET($H$3,0,0,'Données projet'!$E$17+1,1))</f>
        <v>562.69380557620775</v>
      </c>
      <c r="GF135" s="62">
        <f t="shared" si="158"/>
        <v>294.45557293177131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>
        <f>GU135*VLOOKUP('Données projet'!$B$18,Paramètres!$A$1:$I$89,3,0)*VLOOKUP('Données projet'!$B$18,Paramètres!$A$1:$I$89,5,0)</f>
        <v>0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363.53487081291541</v>
      </c>
      <c r="HA135" s="62">
        <f t="shared" si="160"/>
        <v>308.1559670593121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907.06132866343455</v>
      </c>
      <c r="S136" s="62">
        <f ca="1">AVERAGE(OFFSET($R$3,0,0,'Données projet'!$E$9+1,1))-AVERAGE(OFFSET($H$3,0,0,'Données projet'!$E$9+1,1))</f>
        <v>529.25712986118265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3.8</v>
      </c>
      <c r="AI136" s="14">
        <f>IF('Données projet'!$A$62&gt;35,AI135+AH136-AQ135,IF(A136&lt;'Données projet'!$A$62,$AF$205^A136,IF(A136='Données projet'!$A$62,'Données projet'!$B$62,AI135+AH136-AQ135)))</f>
        <v>314.39999999999981</v>
      </c>
      <c r="AJ136" s="14">
        <f>AI136*VLOOKUP('Données projet'!$B$10,Paramètres!$A$1:$I$89,3,0)*VLOOKUP('Données projet'!$B$10,Paramètres!$A$1:$I$89,5,0)</f>
        <v>264.85055999999986</v>
      </c>
      <c r="AK136" s="14">
        <f t="shared" si="143"/>
        <v>63.755206416242338</v>
      </c>
      <c r="AL136" s="22">
        <f t="shared" si="112"/>
        <v>572.32170984162178</v>
      </c>
      <c r="AM136" s="62">
        <f t="shared" si="113"/>
        <v>865.65504317495515</v>
      </c>
      <c r="AN136" s="62">
        <f ca="1">AVERAGE(OFFSET($AM$3,0,0,'Données projet'!$E$10+1,1))-AVERAGE(OFFSET($H$3,0,0,'Données projet'!$E$10+1,1))</f>
        <v>495.77338291316386</v>
      </c>
      <c r="AO136" s="62">
        <f t="shared" si="144"/>
        <v>261.95434270986397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1.1380052455933766E-13</v>
      </c>
      <c r="BF136" s="14">
        <f t="shared" si="145"/>
        <v>1.6840738663456724E-12</v>
      </c>
      <c r="BG136" s="22">
        <f t="shared" si="115"/>
        <v>3.1312978974928925E-12</v>
      </c>
      <c r="BH136" s="62">
        <f t="shared" si="116"/>
        <v>293.33333333333644</v>
      </c>
      <c r="BI136" s="62">
        <f ca="1">AVERAGE(OFFSET($BH$3,0,0,'Données projet'!$E$11+1,1))-AVERAGE(OFFSET($H$3,0,0,'Données projet'!$E$11+1,1))</f>
        <v>320.67081032419122</v>
      </c>
      <c r="BJ136" s="62">
        <f t="shared" si="146"/>
        <v>290.51177680335746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0.13860871448422651</v>
      </c>
      <c r="BR136" s="23">
        <f>EXP(-LN(2)/2)*BR135+(1-EXP(-LN(2)/2))/(LN(2)/2)*BL136*BO136*VLOOKUP('Données projet'!$B$11,Paramètres!$A$1:$I$89,3,0)*0.475*44/12</f>
        <v>3.3825165460634249E-15</v>
      </c>
      <c r="BS136" s="24">
        <f t="shared" si="117"/>
        <v>0.1386087144842299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3.8</v>
      </c>
      <c r="BY136" s="13">
        <f>IF('Données projet'!$A$114&gt;35,BY135+BX136-CG135,IF(A136&lt;'Données projet'!$A$114,$BV$205^A136,IF(A136='Données projet'!$A$114,'Données projet'!$B$114,BY135+BX136-CG135)))</f>
        <v>314.39999999999981</v>
      </c>
      <c r="BZ136" s="14">
        <f>BY136*VLOOKUP('Données projet'!$B$12,Paramètres!$A$1:$I$89,3,0)*VLOOKUP('Données projet'!$B$12,Paramètres!$A$1:$I$89,5,0)</f>
        <v>318.80159999999984</v>
      </c>
      <c r="CA136" s="14">
        <f t="shared" si="147"/>
        <v>75.103948812522063</v>
      </c>
      <c r="CB136" s="22">
        <f t="shared" si="118"/>
        <v>686.05216418180896</v>
      </c>
      <c r="CC136" s="62">
        <f t="shared" si="119"/>
        <v>979.38549751514233</v>
      </c>
      <c r="CD136" s="62">
        <f ca="1">AVERAGE(OFFSET($CC$3,0,0,'Données projet'!$E$12+1,1))-AVERAGE(OFFSET($H$3,0,0,'Données projet'!$E$12+1,1))</f>
        <v>587.74247372331615</v>
      </c>
      <c r="CE136" s="62">
        <f t="shared" si="148"/>
        <v>306.61893266146666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5.4092197387944907E-14</v>
      </c>
      <c r="CV136" s="14">
        <f t="shared" si="149"/>
        <v>8.7287050538073676E-13</v>
      </c>
      <c r="CW136" s="22">
        <f t="shared" si="121"/>
        <v>1.6144600406554537E-12</v>
      </c>
      <c r="CX136" s="62">
        <f t="shared" si="122"/>
        <v>293.33333333333491</v>
      </c>
      <c r="CY136" s="62">
        <f ca="1">AVERAGE(OFFSET($CX$3,0,0,'Données projet'!$E$13+1,1))-AVERAGE(OFFSET($H$3,0,0,'Données projet'!$E$13+1,1))</f>
        <v>406.24139966722936</v>
      </c>
      <c r="CZ136" s="62">
        <f t="shared" si="150"/>
        <v>295.95724296920577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6.7984728957526396E-14</v>
      </c>
      <c r="DQ136" s="14">
        <f t="shared" si="151"/>
        <v>1.0682447123141398E-12</v>
      </c>
      <c r="DR136" s="22">
        <f t="shared" si="124"/>
        <v>1.978932943548152E-12</v>
      </c>
      <c r="DS136" s="62">
        <f t="shared" si="125"/>
        <v>293.3333333333353</v>
      </c>
      <c r="DT136" s="62">
        <f ca="1">AVERAGE(OFFSET($DS$3,0,0,'Données projet'!$E$14+1,1))-AVERAGE(OFFSET($H$3,0,0,'Données projet'!$E$14+1,1))</f>
        <v>356.42779334565381</v>
      </c>
      <c r="DU136" s="62">
        <f t="shared" si="152"/>
        <v>320.06572891923685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0.22850084026640677</v>
      </c>
      <c r="EC136" s="23">
        <f>EXP(-LN(2)/2)*EC135+(1-EXP(-LN(2)/2))/(LN(2)/2)*DW136*DZ136*VLOOKUP('Données projet'!$B$14,Paramètres!$A$1:$I$89,3,0)*0.475*44/12</f>
        <v>5.3322170587904966E-15</v>
      </c>
      <c r="ED136" s="24">
        <f t="shared" si="126"/>
        <v>0.2285008402664121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-5.6843418860808015E-14</v>
      </c>
      <c r="FF136" s="18">
        <f>FE136*VLOOKUP('Données projet'!$B$16,Paramètres!$A$1:$I$89,3,0)*VLOOKUP('Données projet'!$B$16,Paramètres!$A$1:$I$89,5,0)</f>
        <v>-4.5224624045658861E-14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370.59298168107364</v>
      </c>
      <c r="FK136" s="62">
        <f t="shared" si="156"/>
        <v>404.61777090709171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3.8</v>
      </c>
      <c r="FZ136" s="13">
        <f>IF('Données projet'!$A$244&gt;35,FZ135+FY136-GH135,IF(A136&lt;'Données projet'!$A$244,$FW$205^A136,IF(A136='Données projet'!$A$244,'Données projet'!$B$244,FZ135+FY136-GH135)))</f>
        <v>314.39999999999981</v>
      </c>
      <c r="GA136" s="18">
        <f>FZ136*VLOOKUP('Données projet'!$B$17,Paramètres!$A$1:$I$89,3,0)*VLOOKUP('Données projet'!$B$17,Paramètres!$A$1:$I$89,5,0)</f>
        <v>304.08767999999981</v>
      </c>
      <c r="GB136" s="14">
        <f t="shared" si="157"/>
        <v>72.032722076553924</v>
      </c>
      <c r="GC136" s="22">
        <f t="shared" si="133"/>
        <v>655.07636694999781</v>
      </c>
      <c r="GD136" s="62">
        <f t="shared" si="134"/>
        <v>948.40970028333118</v>
      </c>
      <c r="GE136" s="62">
        <f ca="1">AVERAGE(OFFSET($GD$3,0,0,'Données projet'!$E$17+1,1))-AVERAGE(OFFSET($H$3,0,0,'Données projet'!$E$17+1,1))</f>
        <v>562.69380557620775</v>
      </c>
      <c r="GF136" s="62">
        <f t="shared" si="158"/>
        <v>294.45557293177131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>
        <f>GU136*VLOOKUP('Données projet'!$B$18,Paramètres!$A$1:$I$89,3,0)*VLOOKUP('Données projet'!$B$18,Paramètres!$A$1:$I$89,5,0)</f>
        <v>0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363.53487081291541</v>
      </c>
      <c r="HA136" s="62">
        <f t="shared" si="160"/>
        <v>308.1559670593121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914.31187483604776</v>
      </c>
      <c r="S137" s="62">
        <f ca="1">AVERAGE(OFFSET($R$3,0,0,'Données projet'!$E$9+1,1))-AVERAGE(OFFSET($H$3,0,0,'Données projet'!$E$9+1,1))</f>
        <v>529.25712986118265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3.8</v>
      </c>
      <c r="AI137" s="14">
        <f>IF('Données projet'!$A$62&gt;35,AI136+AH137-AQ136,IF(A137&lt;'Données projet'!$A$62,$AF$205^A137,IF(A137='Données projet'!$A$62,'Données projet'!$B$62,AI136+AH137-AQ136)))</f>
        <v>318.19999999999982</v>
      </c>
      <c r="AJ137" s="14">
        <f>AI137*VLOOKUP('Données projet'!$B$10,Paramètres!$A$1:$I$89,3,0)*VLOOKUP('Données projet'!$B$10,Paramètres!$A$1:$I$89,5,0)</f>
        <v>268.05167999999986</v>
      </c>
      <c r="AK137" s="14">
        <f t="shared" si="143"/>
        <v>64.435612492630369</v>
      </c>
      <c r="AL137" s="22">
        <f t="shared" si="112"/>
        <v>579.08203442466424</v>
      </c>
      <c r="AM137" s="62">
        <f t="shared" si="113"/>
        <v>872.4153677579975</v>
      </c>
      <c r="AN137" s="62">
        <f ca="1">AVERAGE(OFFSET($AM$3,0,0,'Données projet'!$E$10+1,1))-AVERAGE(OFFSET($H$3,0,0,'Données projet'!$E$10+1,1))</f>
        <v>495.77338291316386</v>
      </c>
      <c r="AO137" s="62">
        <f t="shared" si="144"/>
        <v>261.95434270986397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1.1380052455933766E-13</v>
      </c>
      <c r="BF137" s="14">
        <f t="shared" si="145"/>
        <v>1.6840738663456724E-12</v>
      </c>
      <c r="BG137" s="22">
        <f t="shared" si="115"/>
        <v>3.1312978974928925E-12</v>
      </c>
      <c r="BH137" s="62">
        <f t="shared" si="116"/>
        <v>293.33333333333644</v>
      </c>
      <c r="BI137" s="62">
        <f ca="1">AVERAGE(OFFSET($BH$3,0,0,'Données projet'!$E$11+1,1))-AVERAGE(OFFSET($H$3,0,0,'Données projet'!$E$11+1,1))</f>
        <v>320.67081032419122</v>
      </c>
      <c r="BJ137" s="62">
        <f t="shared" si="146"/>
        <v>290.51177680335746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0.13481845189753983</v>
      </c>
      <c r="BR137" s="23">
        <f>EXP(-LN(2)/2)*BR136+(1-EXP(-LN(2)/2))/(LN(2)/2)*BL137*BO137*VLOOKUP('Données projet'!$B$11,Paramètres!$A$1:$I$89,3,0)*0.475*44/12</f>
        <v>2.3918003871971467E-15</v>
      </c>
      <c r="BS137" s="24">
        <f t="shared" si="117"/>
        <v>0.13481845189754221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3.8</v>
      </c>
      <c r="BY137" s="13">
        <f>IF('Données projet'!$A$114&gt;35,BY136+BX137-CG136,IF(A137&lt;'Données projet'!$A$114,$BV$205^A137,IF(A137='Données projet'!$A$114,'Données projet'!$B$114,BY136+BX137-CG136)))</f>
        <v>318.19999999999982</v>
      </c>
      <c r="BZ137" s="14">
        <f>BY137*VLOOKUP('Données projet'!$B$12,Paramètres!$A$1:$I$89,3,0)*VLOOKUP('Données projet'!$B$12,Paramètres!$A$1:$I$89,5,0)</f>
        <v>322.65479999999985</v>
      </c>
      <c r="CA137" s="14">
        <f t="shared" si="147"/>
        <v>75.905470539220715</v>
      </c>
      <c r="CB137" s="22">
        <f t="shared" si="118"/>
        <v>694.15913785580915</v>
      </c>
      <c r="CC137" s="62">
        <f t="shared" si="119"/>
        <v>987.49247118914241</v>
      </c>
      <c r="CD137" s="62">
        <f ca="1">AVERAGE(OFFSET($CC$3,0,0,'Données projet'!$E$12+1,1))-AVERAGE(OFFSET($H$3,0,0,'Données projet'!$E$12+1,1))</f>
        <v>587.74247372331615</v>
      </c>
      <c r="CE137" s="62">
        <f t="shared" si="148"/>
        <v>306.61893266146666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5.4092197387944907E-14</v>
      </c>
      <c r="CV137" s="14">
        <f t="shared" si="149"/>
        <v>8.7287050538073676E-13</v>
      </c>
      <c r="CW137" s="22">
        <f t="shared" si="121"/>
        <v>1.6144600406554537E-12</v>
      </c>
      <c r="CX137" s="62">
        <f t="shared" si="122"/>
        <v>293.33333333333491</v>
      </c>
      <c r="CY137" s="62">
        <f ca="1">AVERAGE(OFFSET($CX$3,0,0,'Données projet'!$E$13+1,1))-AVERAGE(OFFSET($H$3,0,0,'Données projet'!$E$13+1,1))</f>
        <v>406.24139966722936</v>
      </c>
      <c r="CZ137" s="62">
        <f t="shared" si="150"/>
        <v>295.95724296920577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6.7984728957526396E-14</v>
      </c>
      <c r="DQ137" s="14">
        <f t="shared" si="151"/>
        <v>1.0682447123141398E-12</v>
      </c>
      <c r="DR137" s="22">
        <f t="shared" si="124"/>
        <v>1.978932943548152E-12</v>
      </c>
      <c r="DS137" s="62">
        <f t="shared" si="125"/>
        <v>293.3333333333353</v>
      </c>
      <c r="DT137" s="62">
        <f ca="1">AVERAGE(OFFSET($DS$3,0,0,'Données projet'!$E$14+1,1))-AVERAGE(OFFSET($H$3,0,0,'Données projet'!$E$14+1,1))</f>
        <v>356.42779334565381</v>
      </c>
      <c r="DU137" s="62">
        <f t="shared" si="152"/>
        <v>320.06572891923685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0.22225247277298493</v>
      </c>
      <c r="EC137" s="23">
        <f>EXP(-LN(2)/2)*EC136+(1-EXP(-LN(2)/2))/(LN(2)/2)*DW137*DZ137*VLOOKUP('Données projet'!$B$14,Paramètres!$A$1:$I$89,3,0)*0.475*44/12</f>
        <v>3.7704468410293477E-15</v>
      </c>
      <c r="ED137" s="24">
        <f t="shared" si="126"/>
        <v>0.22225247277298871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-5.6843418860808015E-14</v>
      </c>
      <c r="FF137" s="18">
        <f>FE137*VLOOKUP('Données projet'!$B$16,Paramètres!$A$1:$I$89,3,0)*VLOOKUP('Données projet'!$B$16,Paramètres!$A$1:$I$89,5,0)</f>
        <v>-4.5224624045658861E-14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370.59298168107364</v>
      </c>
      <c r="FK137" s="62">
        <f t="shared" si="156"/>
        <v>404.61777090709171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3.8</v>
      </c>
      <c r="FZ137" s="13">
        <f>IF('Données projet'!$A$244&gt;35,FZ136+FY137-GH136,IF(A137&lt;'Données projet'!$A$244,$FW$205^A137,IF(A137='Données projet'!$A$244,'Données projet'!$B$244,FZ136+FY137-GH136)))</f>
        <v>318.19999999999982</v>
      </c>
      <c r="GA137" s="18">
        <f>FZ137*VLOOKUP('Données projet'!$B$17,Paramètres!$A$1:$I$89,3,0)*VLOOKUP('Données projet'!$B$17,Paramètres!$A$1:$I$89,5,0)</f>
        <v>307.76303999999982</v>
      </c>
      <c r="GB137" s="14">
        <f t="shared" si="157"/>
        <v>72.801467165067464</v>
      </c>
      <c r="GC137" s="22">
        <f t="shared" si="133"/>
        <v>662.81651664582557</v>
      </c>
      <c r="GD137" s="62">
        <f t="shared" si="134"/>
        <v>956.14984997915894</v>
      </c>
      <c r="GE137" s="62">
        <f ca="1">AVERAGE(OFFSET($GD$3,0,0,'Données projet'!$E$17+1,1))-AVERAGE(OFFSET($H$3,0,0,'Données projet'!$E$17+1,1))</f>
        <v>562.69380557620775</v>
      </c>
      <c r="GF137" s="62">
        <f t="shared" si="158"/>
        <v>294.45557293177131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>
        <f>GU137*VLOOKUP('Données projet'!$B$18,Paramètres!$A$1:$I$89,3,0)*VLOOKUP('Données projet'!$B$18,Paramètres!$A$1:$I$89,5,0)</f>
        <v>0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363.53487081291541</v>
      </c>
      <c r="HA137" s="62">
        <f t="shared" si="160"/>
        <v>308.1559670593121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921.56066752963306</v>
      </c>
      <c r="S138" s="62">
        <f ca="1">AVERAGE(OFFSET($R$3,0,0,'Données projet'!$E$9+1,1))-AVERAGE(OFFSET($H$3,0,0,'Données projet'!$E$9+1,1))</f>
        <v>529.25712986118265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3.8</v>
      </c>
      <c r="AI138" s="14">
        <f>IF('Données projet'!$A$62&gt;35,AI137+AH138-AQ137,IF(A138&lt;'Données projet'!$A$62,$AF$205^A138,IF(A138='Données projet'!$A$62,'Données projet'!$B$62,AI137+AH138-AQ137)))</f>
        <v>321.99999999999983</v>
      </c>
      <c r="AJ138" s="14">
        <f>AI138*VLOOKUP('Données projet'!$B$10,Paramètres!$A$1:$I$89,3,0)*VLOOKUP('Données projet'!$B$10,Paramètres!$A$1:$I$89,5,0)</f>
        <v>271.25279999999987</v>
      </c>
      <c r="AK138" s="14">
        <f t="shared" si="143"/>
        <v>65.115073390838859</v>
      </c>
      <c r="AL138" s="22">
        <f t="shared" si="112"/>
        <v>585.84071282237744</v>
      </c>
      <c r="AM138" s="62">
        <f t="shared" si="113"/>
        <v>879.17404615571081</v>
      </c>
      <c r="AN138" s="62">
        <f ca="1">AVERAGE(OFFSET($AM$3,0,0,'Données projet'!$E$10+1,1))-AVERAGE(OFFSET($H$3,0,0,'Données projet'!$E$10+1,1))</f>
        <v>495.77338291316386</v>
      </c>
      <c r="AO138" s="62">
        <f t="shared" si="144"/>
        <v>261.95434270986397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1.1380052455933766E-13</v>
      </c>
      <c r="BF138" s="14">
        <f t="shared" si="145"/>
        <v>1.6840738663456724E-12</v>
      </c>
      <c r="BG138" s="22">
        <f t="shared" si="115"/>
        <v>3.1312978974928925E-12</v>
      </c>
      <c r="BH138" s="62">
        <f t="shared" si="116"/>
        <v>293.33333333333644</v>
      </c>
      <c r="BI138" s="62">
        <f ca="1">AVERAGE(OFFSET($BH$3,0,0,'Données projet'!$E$11+1,1))-AVERAGE(OFFSET($H$3,0,0,'Données projet'!$E$11+1,1))</f>
        <v>320.67081032419122</v>
      </c>
      <c r="BJ138" s="62">
        <f t="shared" si="146"/>
        <v>290.51177680335746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0.13113183424060734</v>
      </c>
      <c r="BR138" s="23">
        <f>EXP(-LN(2)/2)*BR137+(1-EXP(-LN(2)/2))/(LN(2)/2)*BL138*BO138*VLOOKUP('Données projet'!$B$11,Paramètres!$A$1:$I$89,3,0)*0.475*44/12</f>
        <v>1.6912582730317125E-15</v>
      </c>
      <c r="BS138" s="24">
        <f t="shared" si="117"/>
        <v>0.13113183424060904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3.8</v>
      </c>
      <c r="BY138" s="13">
        <f>IF('Données projet'!$A$114&gt;35,BY137+BX138-CG137,IF(A138&lt;'Données projet'!$A$114,$BV$205^A138,IF(A138='Données projet'!$A$114,'Données projet'!$B$114,BY137+BX138-CG137)))</f>
        <v>321.99999999999983</v>
      </c>
      <c r="BZ138" s="14">
        <f>BY138*VLOOKUP('Données projet'!$B$12,Paramètres!$A$1:$I$89,3,0)*VLOOKUP('Données projet'!$B$12,Paramètres!$A$1:$I$89,5,0)</f>
        <v>326.50799999999987</v>
      </c>
      <c r="CA138" s="14">
        <f t="shared" si="147"/>
        <v>76.705878841344258</v>
      </c>
      <c r="CB138" s="22">
        <f t="shared" si="118"/>
        <v>702.26417231534106</v>
      </c>
      <c r="CC138" s="62">
        <f t="shared" si="119"/>
        <v>995.59750564867431</v>
      </c>
      <c r="CD138" s="62">
        <f ca="1">AVERAGE(OFFSET($CC$3,0,0,'Données projet'!$E$12+1,1))-AVERAGE(OFFSET($H$3,0,0,'Données projet'!$E$12+1,1))</f>
        <v>587.74247372331615</v>
      </c>
      <c r="CE138" s="62">
        <f t="shared" si="148"/>
        <v>306.61893266146666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5.4092197387944907E-14</v>
      </c>
      <c r="CV138" s="14">
        <f t="shared" si="149"/>
        <v>8.7287050538073676E-13</v>
      </c>
      <c r="CW138" s="22">
        <f t="shared" si="121"/>
        <v>1.6144600406554537E-12</v>
      </c>
      <c r="CX138" s="62">
        <f t="shared" si="122"/>
        <v>293.33333333333491</v>
      </c>
      <c r="CY138" s="62">
        <f ca="1">AVERAGE(OFFSET($CX$3,0,0,'Données projet'!$E$13+1,1))-AVERAGE(OFFSET($H$3,0,0,'Données projet'!$E$13+1,1))</f>
        <v>406.24139966722936</v>
      </c>
      <c r="CZ138" s="62">
        <f t="shared" si="150"/>
        <v>295.95724296920577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6.7984728957526396E-14</v>
      </c>
      <c r="DQ138" s="14">
        <f t="shared" si="151"/>
        <v>1.0682447123141398E-12</v>
      </c>
      <c r="DR138" s="22">
        <f t="shared" si="124"/>
        <v>1.978932943548152E-12</v>
      </c>
      <c r="DS138" s="62">
        <f t="shared" si="125"/>
        <v>293.3333333333353</v>
      </c>
      <c r="DT138" s="62">
        <f ca="1">AVERAGE(OFFSET($DS$3,0,0,'Données projet'!$E$14+1,1))-AVERAGE(OFFSET($H$3,0,0,'Données projet'!$E$14+1,1))</f>
        <v>356.42779334565381</v>
      </c>
      <c r="DU138" s="62">
        <f t="shared" si="152"/>
        <v>320.06572891923685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0.21617496721725807</v>
      </c>
      <c r="EC138" s="23">
        <f>EXP(-LN(2)/2)*EC137+(1-EXP(-LN(2)/2))/(LN(2)/2)*DW138*DZ138*VLOOKUP('Données projet'!$B$14,Paramètres!$A$1:$I$89,3,0)*0.475*44/12</f>
        <v>2.6661085293952483E-15</v>
      </c>
      <c r="ED138" s="24">
        <f t="shared" si="126"/>
        <v>0.21617496721726073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-5.6843418860808015E-14</v>
      </c>
      <c r="FF138" s="18">
        <f>FE138*VLOOKUP('Données projet'!$B$16,Paramètres!$A$1:$I$89,3,0)*VLOOKUP('Données projet'!$B$16,Paramètres!$A$1:$I$89,5,0)</f>
        <v>-4.5224624045658861E-14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370.59298168107364</v>
      </c>
      <c r="FK138" s="62">
        <f t="shared" si="156"/>
        <v>404.61777090709171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3.8</v>
      </c>
      <c r="FZ138" s="13">
        <f>IF('Données projet'!$A$244&gt;35,FZ137+FY138-GH137,IF(A138&lt;'Données projet'!$A$244,$FW$205^A138,IF(A138='Données projet'!$A$244,'Données projet'!$B$244,FZ137+FY138-GH137)))</f>
        <v>321.99999999999983</v>
      </c>
      <c r="GA138" s="18">
        <f>FZ138*VLOOKUP('Données projet'!$B$17,Paramètres!$A$1:$I$89,3,0)*VLOOKUP('Données projet'!$B$17,Paramètres!$A$1:$I$89,5,0)</f>
        <v>311.43839999999983</v>
      </c>
      <c r="GB138" s="14">
        <f t="shared" si="157"/>
        <v>73.569144360291361</v>
      </c>
      <c r="GC138" s="22">
        <f t="shared" si="133"/>
        <v>670.55480642750706</v>
      </c>
      <c r="GD138" s="62">
        <f t="shared" si="134"/>
        <v>963.88813976084043</v>
      </c>
      <c r="GE138" s="62">
        <f ca="1">AVERAGE(OFFSET($GD$3,0,0,'Données projet'!$E$17+1,1))-AVERAGE(OFFSET($H$3,0,0,'Données projet'!$E$17+1,1))</f>
        <v>562.69380557620775</v>
      </c>
      <c r="GF138" s="62">
        <f t="shared" si="158"/>
        <v>294.45557293177131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>
        <f>GU138*VLOOKUP('Données projet'!$B$18,Paramètres!$A$1:$I$89,3,0)*VLOOKUP('Données projet'!$B$18,Paramètres!$A$1:$I$89,5,0)</f>
        <v>0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363.53487081291541</v>
      </c>
      <c r="HA138" s="62">
        <f t="shared" si="160"/>
        <v>308.1559670593121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928.80772983133124</v>
      </c>
      <c r="S139" s="62">
        <f ca="1">AVERAGE(OFFSET($R$3,0,0,'Données projet'!$E$9+1,1))-AVERAGE(OFFSET($H$3,0,0,'Données projet'!$E$9+1,1))</f>
        <v>529.25712986118265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3.8</v>
      </c>
      <c r="AI139" s="14">
        <f>IF('Données projet'!$A$62&gt;35,AI138+AH139-AQ138,IF(A139&lt;'Données projet'!$A$62,$AF$205^A139,IF(A139='Données projet'!$A$62,'Données projet'!$B$62,AI138+AH139-AQ138)))</f>
        <v>325.79999999999984</v>
      </c>
      <c r="AJ139" s="14">
        <f>AI139*VLOOKUP('Données projet'!$B$10,Paramètres!$A$1:$I$89,3,0)*VLOOKUP('Données projet'!$B$10,Paramètres!$A$1:$I$89,5,0)</f>
        <v>274.45391999999993</v>
      </c>
      <c r="AK139" s="14">
        <f t="shared" si="143"/>
        <v>65.793601555534096</v>
      </c>
      <c r="AL139" s="22">
        <f t="shared" si="112"/>
        <v>592.59776670922179</v>
      </c>
      <c r="AM139" s="62">
        <f t="shared" si="113"/>
        <v>885.93110004255504</v>
      </c>
      <c r="AN139" s="62">
        <f ca="1">AVERAGE(OFFSET($AM$3,0,0,'Données projet'!$E$10+1,1))-AVERAGE(OFFSET($H$3,0,0,'Données projet'!$E$10+1,1))</f>
        <v>495.77338291316386</v>
      </c>
      <c r="AO139" s="62">
        <f t="shared" si="144"/>
        <v>261.95434270986397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1.1380052455933766E-13</v>
      </c>
      <c r="BF139" s="14">
        <f t="shared" si="145"/>
        <v>1.6840738663456724E-12</v>
      </c>
      <c r="BG139" s="22">
        <f t="shared" si="115"/>
        <v>3.1312978974928925E-12</v>
      </c>
      <c r="BH139" s="62">
        <f t="shared" si="116"/>
        <v>293.33333333333644</v>
      </c>
      <c r="BI139" s="62">
        <f ca="1">AVERAGE(OFFSET($BH$3,0,0,'Données projet'!$E$11+1,1))-AVERAGE(OFFSET($H$3,0,0,'Données projet'!$E$11+1,1))</f>
        <v>320.67081032419122</v>
      </c>
      <c r="BJ139" s="62">
        <f t="shared" si="146"/>
        <v>290.51177680335746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0.12754602733737447</v>
      </c>
      <c r="BR139" s="23">
        <f>EXP(-LN(2)/2)*BR138+(1-EXP(-LN(2)/2))/(LN(2)/2)*BL139*BO139*VLOOKUP('Données projet'!$B$11,Paramètres!$A$1:$I$89,3,0)*0.475*44/12</f>
        <v>1.1959001935985733E-15</v>
      </c>
      <c r="BS139" s="24">
        <f t="shared" si="117"/>
        <v>0.12754602733737566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3.8</v>
      </c>
      <c r="BY139" s="13">
        <f>IF('Données projet'!$A$114&gt;35,BY138+BX139-CG138,IF(A139&lt;'Données projet'!$A$114,$BV$205^A139,IF(A139='Données projet'!$A$114,'Données projet'!$B$114,BY138+BX139-CG138)))</f>
        <v>325.79999999999984</v>
      </c>
      <c r="BZ139" s="14">
        <f>BY139*VLOOKUP('Données projet'!$B$12,Paramètres!$A$1:$I$89,3,0)*VLOOKUP('Données projet'!$B$12,Paramètres!$A$1:$I$89,5,0)</f>
        <v>330.36119999999983</v>
      </c>
      <c r="CA139" s="14">
        <f t="shared" si="147"/>
        <v>77.505188378771209</v>
      </c>
      <c r="CB139" s="22">
        <f t="shared" si="118"/>
        <v>710.36729309302621</v>
      </c>
      <c r="CC139" s="62">
        <f t="shared" si="119"/>
        <v>1003.7006264263596</v>
      </c>
      <c r="CD139" s="62">
        <f ca="1">AVERAGE(OFFSET($CC$3,0,0,'Données projet'!$E$12+1,1))-AVERAGE(OFFSET($H$3,0,0,'Données projet'!$E$12+1,1))</f>
        <v>587.74247372331615</v>
      </c>
      <c r="CE139" s="62">
        <f t="shared" si="148"/>
        <v>306.61893266146666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5.4092197387944907E-14</v>
      </c>
      <c r="CV139" s="14">
        <f t="shared" si="149"/>
        <v>8.7287050538073676E-13</v>
      </c>
      <c r="CW139" s="22">
        <f t="shared" si="121"/>
        <v>1.6144600406554537E-12</v>
      </c>
      <c r="CX139" s="62">
        <f t="shared" si="122"/>
        <v>293.33333333333491</v>
      </c>
      <c r="CY139" s="62">
        <f ca="1">AVERAGE(OFFSET($CX$3,0,0,'Données projet'!$E$13+1,1))-AVERAGE(OFFSET($H$3,0,0,'Données projet'!$E$13+1,1))</f>
        <v>406.24139966722936</v>
      </c>
      <c r="CZ139" s="62">
        <f t="shared" si="150"/>
        <v>295.95724296920577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6.7984728957526396E-14</v>
      </c>
      <c r="DQ139" s="14">
        <f t="shared" si="151"/>
        <v>1.0682447123141398E-12</v>
      </c>
      <c r="DR139" s="22">
        <f t="shared" si="124"/>
        <v>1.978932943548152E-12</v>
      </c>
      <c r="DS139" s="62">
        <f t="shared" si="125"/>
        <v>293.3333333333353</v>
      </c>
      <c r="DT139" s="62">
        <f ca="1">AVERAGE(OFFSET($DS$3,0,0,'Données projet'!$E$14+1,1))-AVERAGE(OFFSET($H$3,0,0,'Données projet'!$E$14+1,1))</f>
        <v>356.42779334565381</v>
      </c>
      <c r="DU139" s="62">
        <f t="shared" si="152"/>
        <v>320.06572891923685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0.21026365137055469</v>
      </c>
      <c r="EC139" s="23">
        <f>EXP(-LN(2)/2)*EC138+(1-EXP(-LN(2)/2))/(LN(2)/2)*DW139*DZ139*VLOOKUP('Données projet'!$B$14,Paramètres!$A$1:$I$89,3,0)*0.475*44/12</f>
        <v>1.8852234205146738E-15</v>
      </c>
      <c r="ED139" s="24">
        <f t="shared" si="126"/>
        <v>0.21026365137055658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-5.6843418860808015E-14</v>
      </c>
      <c r="FF139" s="18">
        <f>FE139*VLOOKUP('Données projet'!$B$16,Paramètres!$A$1:$I$89,3,0)*VLOOKUP('Données projet'!$B$16,Paramètres!$A$1:$I$89,5,0)</f>
        <v>-4.5224624045658861E-14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370.59298168107364</v>
      </c>
      <c r="FK139" s="62">
        <f t="shared" si="156"/>
        <v>404.61777090709171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3.8</v>
      </c>
      <c r="FZ139" s="13">
        <f>IF('Données projet'!$A$244&gt;35,FZ138+FY139-GH138,IF(A139&lt;'Données projet'!$A$244,$FW$205^A139,IF(A139='Données projet'!$A$244,'Données projet'!$B$244,FZ138+FY139-GH138)))</f>
        <v>325.79999999999984</v>
      </c>
      <c r="GA139" s="18">
        <f>FZ139*VLOOKUP('Données projet'!$B$17,Paramètres!$A$1:$I$89,3,0)*VLOOKUP('Données projet'!$B$17,Paramètres!$A$1:$I$89,5,0)</f>
        <v>315.11375999999984</v>
      </c>
      <c r="GB139" s="14">
        <f t="shared" si="157"/>
        <v>74.335767722617277</v>
      </c>
      <c r="GC139" s="22">
        <f t="shared" si="133"/>
        <v>678.29126078355807</v>
      </c>
      <c r="GD139" s="62">
        <f t="shared" si="134"/>
        <v>971.62459411689133</v>
      </c>
      <c r="GE139" s="62">
        <f ca="1">AVERAGE(OFFSET($GD$3,0,0,'Données projet'!$E$17+1,1))-AVERAGE(OFFSET($H$3,0,0,'Données projet'!$E$17+1,1))</f>
        <v>562.69380557620775</v>
      </c>
      <c r="GF139" s="62">
        <f t="shared" si="158"/>
        <v>294.45557293177131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>
        <f>GU139*VLOOKUP('Données projet'!$B$18,Paramètres!$A$1:$I$89,3,0)*VLOOKUP('Données projet'!$B$18,Paramètres!$A$1:$I$89,5,0)</f>
        <v>0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363.53487081291541</v>
      </c>
      <c r="HA139" s="62">
        <f t="shared" si="160"/>
        <v>308.1559670593121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936.0530842587284</v>
      </c>
      <c r="S140" s="62">
        <f ca="1">AVERAGE(OFFSET($R$3,0,0,'Données projet'!$E$9+1,1))-AVERAGE(OFFSET($H$3,0,0,'Données projet'!$E$9+1,1))</f>
        <v>529.25712986118265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3.8</v>
      </c>
      <c r="AI140" s="14">
        <f>IF('Données projet'!$A$62&gt;35,AI139+AH140-AQ139,IF(A140&lt;'Données projet'!$A$62,$AF$205^A140,IF(A140='Données projet'!$A$62,'Données projet'!$B$62,AI139+AH140-AQ139)))</f>
        <v>329.59999999999985</v>
      </c>
      <c r="AJ140" s="14">
        <f>AI140*VLOOKUP('Données projet'!$B$10,Paramètres!$A$1:$I$89,3,0)*VLOOKUP('Données projet'!$B$10,Paramètres!$A$1:$I$89,5,0)</f>
        <v>277.65503999999987</v>
      </c>
      <c r="AK140" s="14">
        <f t="shared" si="143"/>
        <v>66.47120912437552</v>
      </c>
      <c r="AL140" s="22">
        <f t="shared" si="112"/>
        <v>599.35321722495371</v>
      </c>
      <c r="AM140" s="62">
        <f t="shared" si="113"/>
        <v>892.68655055828708</v>
      </c>
      <c r="AN140" s="62">
        <f ca="1">AVERAGE(OFFSET($AM$3,0,0,'Données projet'!$E$10+1,1))-AVERAGE(OFFSET($H$3,0,0,'Données projet'!$E$10+1,1))</f>
        <v>495.77338291316386</v>
      </c>
      <c r="AO140" s="62">
        <f t="shared" si="144"/>
        <v>261.95434270986397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1.1380052455933766E-13</v>
      </c>
      <c r="BF140" s="14">
        <f t="shared" si="145"/>
        <v>1.6840738663456724E-12</v>
      </c>
      <c r="BG140" s="22">
        <f t="shared" si="115"/>
        <v>3.1312978974928925E-12</v>
      </c>
      <c r="BH140" s="62">
        <f t="shared" si="116"/>
        <v>293.33333333333644</v>
      </c>
      <c r="BI140" s="62">
        <f ca="1">AVERAGE(OFFSET($BH$3,0,0,'Données projet'!$E$11+1,1))-AVERAGE(OFFSET($H$3,0,0,'Données projet'!$E$11+1,1))</f>
        <v>320.67081032419122</v>
      </c>
      <c r="BJ140" s="62">
        <f t="shared" si="146"/>
        <v>290.51177680335746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0.1240582745124799</v>
      </c>
      <c r="BR140" s="23">
        <f>EXP(-LN(2)/2)*BR139+(1-EXP(-LN(2)/2))/(LN(2)/2)*BL140*BO140*VLOOKUP('Données projet'!$B$11,Paramètres!$A$1:$I$89,3,0)*0.475*44/12</f>
        <v>8.4562913651585624E-16</v>
      </c>
      <c r="BS140" s="24">
        <f t="shared" si="117"/>
        <v>0.12405827451248075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3.8</v>
      </c>
      <c r="BY140" s="13">
        <f>IF('Données projet'!$A$114&gt;35,BY139+BX140-CG139,IF(A140&lt;'Données projet'!$A$114,$BV$205^A140,IF(A140='Données projet'!$A$114,'Données projet'!$B$114,BY139+BX140-CG139)))</f>
        <v>329.59999999999985</v>
      </c>
      <c r="BZ140" s="14">
        <f>BY140*VLOOKUP('Données projet'!$B$12,Paramètres!$A$1:$I$89,3,0)*VLOOKUP('Données projet'!$B$12,Paramètres!$A$1:$I$89,5,0)</f>
        <v>334.2143999999999</v>
      </c>
      <c r="CA140" s="14">
        <f t="shared" si="147"/>
        <v>78.303413449724431</v>
      </c>
      <c r="CB140" s="22">
        <f t="shared" si="118"/>
        <v>718.46852509160317</v>
      </c>
      <c r="CC140" s="62">
        <f t="shared" si="119"/>
        <v>1011.8018584249364</v>
      </c>
      <c r="CD140" s="62">
        <f ca="1">AVERAGE(OFFSET($CC$3,0,0,'Données projet'!$E$12+1,1))-AVERAGE(OFFSET($H$3,0,0,'Données projet'!$E$12+1,1))</f>
        <v>587.74247372331615</v>
      </c>
      <c r="CE140" s="62">
        <f t="shared" si="148"/>
        <v>306.61893266146666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5.4092197387944907E-14</v>
      </c>
      <c r="CV140" s="14">
        <f t="shared" si="149"/>
        <v>8.7287050538073676E-13</v>
      </c>
      <c r="CW140" s="22">
        <f t="shared" si="121"/>
        <v>1.6144600406554537E-12</v>
      </c>
      <c r="CX140" s="62">
        <f t="shared" si="122"/>
        <v>293.33333333333491</v>
      </c>
      <c r="CY140" s="62">
        <f ca="1">AVERAGE(OFFSET($CX$3,0,0,'Données projet'!$E$13+1,1))-AVERAGE(OFFSET($H$3,0,0,'Données projet'!$E$13+1,1))</f>
        <v>406.24139966722936</v>
      </c>
      <c r="CZ140" s="62">
        <f t="shared" si="150"/>
        <v>295.95724296920577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6.7984728957526396E-14</v>
      </c>
      <c r="DQ140" s="14">
        <f t="shared" si="151"/>
        <v>1.0682447123141398E-12</v>
      </c>
      <c r="DR140" s="22">
        <f t="shared" si="124"/>
        <v>1.978932943548152E-12</v>
      </c>
      <c r="DS140" s="62">
        <f t="shared" si="125"/>
        <v>293.3333333333353</v>
      </c>
      <c r="DT140" s="62">
        <f ca="1">AVERAGE(OFFSET($DS$3,0,0,'Données projet'!$E$14+1,1))-AVERAGE(OFFSET($H$3,0,0,'Données projet'!$E$14+1,1))</f>
        <v>356.42779334565381</v>
      </c>
      <c r="DU140" s="62">
        <f t="shared" si="152"/>
        <v>320.06572891923685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0.20451398076654201</v>
      </c>
      <c r="EC140" s="23">
        <f>EXP(-LN(2)/2)*EC139+(1-EXP(-LN(2)/2))/(LN(2)/2)*DW140*DZ140*VLOOKUP('Données projet'!$B$14,Paramètres!$A$1:$I$89,3,0)*0.475*44/12</f>
        <v>1.3330542646976242E-15</v>
      </c>
      <c r="ED140" s="24">
        <f t="shared" si="126"/>
        <v>0.20451398076654334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-5.6843418860808015E-14</v>
      </c>
      <c r="FF140" s="18">
        <f>FE140*VLOOKUP('Données projet'!$B$16,Paramètres!$A$1:$I$89,3,0)*VLOOKUP('Données projet'!$B$16,Paramètres!$A$1:$I$89,5,0)</f>
        <v>-4.5224624045658861E-14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370.59298168107364</v>
      </c>
      <c r="FK140" s="62">
        <f t="shared" si="156"/>
        <v>404.61777090709171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3.8</v>
      </c>
      <c r="FZ140" s="13">
        <f>IF('Données projet'!$A$244&gt;35,FZ139+FY140-GH139,IF(A140&lt;'Données projet'!$A$244,$FW$205^A140,IF(A140='Données projet'!$A$244,'Données projet'!$B$244,FZ139+FY140-GH139)))</f>
        <v>329.59999999999985</v>
      </c>
      <c r="GA140" s="18">
        <f>FZ140*VLOOKUP('Données projet'!$B$17,Paramètres!$A$1:$I$89,3,0)*VLOOKUP('Données projet'!$B$17,Paramètres!$A$1:$I$89,5,0)</f>
        <v>318.78911999999991</v>
      </c>
      <c r="GB140" s="14">
        <f t="shared" si="157"/>
        <v>75.101350965570944</v>
      </c>
      <c r="GC140" s="22">
        <f t="shared" si="133"/>
        <v>686.02590359836915</v>
      </c>
      <c r="GD140" s="62">
        <f t="shared" si="134"/>
        <v>979.35923693170253</v>
      </c>
      <c r="GE140" s="62">
        <f ca="1">AVERAGE(OFFSET($GD$3,0,0,'Données projet'!$E$17+1,1))-AVERAGE(OFFSET($H$3,0,0,'Données projet'!$E$17+1,1))</f>
        <v>562.69380557620775</v>
      </c>
      <c r="GF140" s="62">
        <f t="shared" si="158"/>
        <v>294.45557293177131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>
        <f>GU140*VLOOKUP('Données projet'!$B$18,Paramètres!$A$1:$I$89,3,0)*VLOOKUP('Données projet'!$B$18,Paramètres!$A$1:$I$89,5,0)</f>
        <v>0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363.53487081291541</v>
      </c>
      <c r="HA140" s="62">
        <f t="shared" si="160"/>
        <v>308.1559670593121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943.29675278030891</v>
      </c>
      <c r="S141" s="62">
        <f ca="1">AVERAGE(OFFSET($R$3,0,0,'Données projet'!$E$9+1,1))-AVERAGE(OFFSET($H$3,0,0,'Données projet'!$E$9+1,1))</f>
        <v>529.25712986118265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3.8</v>
      </c>
      <c r="AI141" s="14">
        <f>IF('Données projet'!$A$62&gt;35,AI140+AH141-AQ140,IF(A141&lt;'Données projet'!$A$62,$AF$205^A141,IF(A141='Données projet'!$A$62,'Données projet'!$B$62,AI140+AH141-AQ140)))</f>
        <v>333.39999999999986</v>
      </c>
      <c r="AJ141" s="14">
        <f>AI141*VLOOKUP('Données projet'!$B$10,Paramètres!$A$1:$I$89,3,0)*VLOOKUP('Données projet'!$B$10,Paramètres!$A$1:$I$89,5,0)</f>
        <v>280.85615999999993</v>
      </c>
      <c r="AK141" s="14">
        <f t="shared" si="143"/>
        <v>67.147907939039882</v>
      </c>
      <c r="AL141" s="22">
        <f t="shared" si="112"/>
        <v>606.1070849938277</v>
      </c>
      <c r="AM141" s="62">
        <f t="shared" si="113"/>
        <v>899.44041832716107</v>
      </c>
      <c r="AN141" s="62">
        <f ca="1">AVERAGE(OFFSET($AM$3,0,0,'Données projet'!$E$10+1,1))-AVERAGE(OFFSET($H$3,0,0,'Données projet'!$E$10+1,1))</f>
        <v>495.77338291316386</v>
      </c>
      <c r="AO141" s="62">
        <f t="shared" si="144"/>
        <v>261.95434270986397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1.1380052455933766E-13</v>
      </c>
      <c r="BF141" s="14">
        <f t="shared" si="145"/>
        <v>1.6840738663456724E-12</v>
      </c>
      <c r="BG141" s="22">
        <f t="shared" si="115"/>
        <v>3.1312978974928925E-12</v>
      </c>
      <c r="BH141" s="62">
        <f t="shared" si="116"/>
        <v>293.33333333333644</v>
      </c>
      <c r="BI141" s="62">
        <f ca="1">AVERAGE(OFFSET($BH$3,0,0,'Données projet'!$E$11+1,1))-AVERAGE(OFFSET($H$3,0,0,'Données projet'!$E$11+1,1))</f>
        <v>320.67081032419122</v>
      </c>
      <c r="BJ141" s="62">
        <f t="shared" si="146"/>
        <v>290.51177680335746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0.12066589447199502</v>
      </c>
      <c r="BR141" s="23">
        <f>EXP(-LN(2)/2)*BR140+(1-EXP(-LN(2)/2))/(LN(2)/2)*BL141*BO141*VLOOKUP('Données projet'!$B$11,Paramètres!$A$1:$I$89,3,0)*0.475*44/12</f>
        <v>5.9795009679928667E-16</v>
      </c>
      <c r="BS141" s="24">
        <f t="shared" si="117"/>
        <v>0.12066589447199562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3.8</v>
      </c>
      <c r="BY141" s="13">
        <f>IF('Données projet'!$A$114&gt;35,BY140+BX141-CG140,IF(A141&lt;'Données projet'!$A$114,$BV$205^A141,IF(A141='Données projet'!$A$114,'Données projet'!$B$114,BY140+BX141-CG140)))</f>
        <v>333.39999999999986</v>
      </c>
      <c r="BZ141" s="14">
        <f>BY141*VLOOKUP('Données projet'!$B$12,Paramètres!$A$1:$I$89,3,0)*VLOOKUP('Données projet'!$B$12,Paramètres!$A$1:$I$89,5,0)</f>
        <v>338.06759999999991</v>
      </c>
      <c r="CA141" s="14">
        <f t="shared" si="147"/>
        <v>79.100568003757829</v>
      </c>
      <c r="CB141" s="22">
        <f t="shared" si="118"/>
        <v>726.56789260654466</v>
      </c>
      <c r="CC141" s="62">
        <f t="shared" si="119"/>
        <v>1019.901225939878</v>
      </c>
      <c r="CD141" s="62">
        <f ca="1">AVERAGE(OFFSET($CC$3,0,0,'Données projet'!$E$12+1,1))-AVERAGE(OFFSET($H$3,0,0,'Données projet'!$E$12+1,1))</f>
        <v>587.74247372331615</v>
      </c>
      <c r="CE141" s="62">
        <f t="shared" si="148"/>
        <v>306.61893266146666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5.4092197387944907E-14</v>
      </c>
      <c r="CV141" s="14">
        <f t="shared" si="149"/>
        <v>8.7287050538073676E-13</v>
      </c>
      <c r="CW141" s="22">
        <f t="shared" si="121"/>
        <v>1.6144600406554537E-12</v>
      </c>
      <c r="CX141" s="62">
        <f t="shared" si="122"/>
        <v>293.33333333333491</v>
      </c>
      <c r="CY141" s="62">
        <f ca="1">AVERAGE(OFFSET($CX$3,0,0,'Données projet'!$E$13+1,1))-AVERAGE(OFFSET($H$3,0,0,'Données projet'!$E$13+1,1))</f>
        <v>406.24139966722936</v>
      </c>
      <c r="CZ141" s="62">
        <f t="shared" si="150"/>
        <v>295.95724296920577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6.7984728957526396E-14</v>
      </c>
      <c r="DQ141" s="14">
        <f t="shared" si="151"/>
        <v>1.0682447123141398E-12</v>
      </c>
      <c r="DR141" s="22">
        <f t="shared" si="124"/>
        <v>1.978932943548152E-12</v>
      </c>
      <c r="DS141" s="62">
        <f t="shared" si="125"/>
        <v>293.3333333333353</v>
      </c>
      <c r="DT141" s="62">
        <f ca="1">AVERAGE(OFFSET($DS$3,0,0,'Données projet'!$E$14+1,1))-AVERAGE(OFFSET($H$3,0,0,'Données projet'!$E$14+1,1))</f>
        <v>356.42779334565381</v>
      </c>
      <c r="DU141" s="62">
        <f t="shared" si="152"/>
        <v>320.06572891923685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0.19892153520755809</v>
      </c>
      <c r="EC141" s="23">
        <f>EXP(-LN(2)/2)*EC140+(1-EXP(-LN(2)/2))/(LN(2)/2)*DW141*DZ141*VLOOKUP('Données projet'!$B$14,Paramètres!$A$1:$I$89,3,0)*0.475*44/12</f>
        <v>9.4261171025733691E-16</v>
      </c>
      <c r="ED141" s="24">
        <f t="shared" si="126"/>
        <v>0.19892153520755904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-5.6843418860808015E-14</v>
      </c>
      <c r="FF141" s="18">
        <f>FE141*VLOOKUP('Données projet'!$B$16,Paramètres!$A$1:$I$89,3,0)*VLOOKUP('Données projet'!$B$16,Paramètres!$A$1:$I$89,5,0)</f>
        <v>-4.5224624045658861E-14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370.59298168107364</v>
      </c>
      <c r="FK141" s="62">
        <f t="shared" si="156"/>
        <v>404.61777090709171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3.8</v>
      </c>
      <c r="FZ141" s="13">
        <f>IF('Données projet'!$A$244&gt;35,FZ140+FY141-GH140,IF(A141&lt;'Données projet'!$A$244,$FW$205^A141,IF(A141='Données projet'!$A$244,'Données projet'!$B$244,FZ140+FY141-GH140)))</f>
        <v>333.39999999999986</v>
      </c>
      <c r="GA141" s="18">
        <f>FZ141*VLOOKUP('Données projet'!$B$17,Paramètres!$A$1:$I$89,3,0)*VLOOKUP('Données projet'!$B$17,Paramètres!$A$1:$I$89,5,0)</f>
        <v>322.46447999999987</v>
      </c>
      <c r="GB141" s="14">
        <f t="shared" si="157"/>
        <v>75.865907468266684</v>
      </c>
      <c r="GC141" s="22">
        <f t="shared" si="133"/>
        <v>693.7587581738976</v>
      </c>
      <c r="GD141" s="62">
        <f t="shared" si="134"/>
        <v>987.09209150723086</v>
      </c>
      <c r="GE141" s="62">
        <f ca="1">AVERAGE(OFFSET($GD$3,0,0,'Données projet'!$E$17+1,1))-AVERAGE(OFFSET($H$3,0,0,'Données projet'!$E$17+1,1))</f>
        <v>562.69380557620775</v>
      </c>
      <c r="GF141" s="62">
        <f t="shared" si="158"/>
        <v>294.45557293177131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>
        <f>GU141*VLOOKUP('Données projet'!$B$18,Paramètres!$A$1:$I$89,3,0)*VLOOKUP('Données projet'!$B$18,Paramètres!$A$1:$I$89,5,0)</f>
        <v>0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363.53487081291541</v>
      </c>
      <c r="HA141" s="62">
        <f t="shared" si="160"/>
        <v>308.1559670593121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950.53875683494698</v>
      </c>
      <c r="S142" s="62">
        <f ca="1">AVERAGE(OFFSET($R$3,0,0,'Données projet'!$E$9+1,1))-AVERAGE(OFFSET($H$3,0,0,'Données projet'!$E$9+1,1))</f>
        <v>529.25712986118265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3.8</v>
      </c>
      <c r="AI142" s="14">
        <f>IF('Données projet'!$A$62&gt;35,AI141+AH142-AQ141,IF(A142&lt;'Données projet'!$A$62,$AF$205^A142,IF(A142='Données projet'!$A$62,'Données projet'!$B$62,AI141+AH142-AQ141)))</f>
        <v>337.19999999999987</v>
      </c>
      <c r="AJ142" s="14">
        <f>AI142*VLOOKUP('Données projet'!$B$10,Paramètres!$A$1:$I$89,3,0)*VLOOKUP('Données projet'!$B$10,Paramètres!$A$1:$I$89,5,0)</f>
        <v>284.05727999999993</v>
      </c>
      <c r="AK142" s="14">
        <f t="shared" si="143"/>
        <v>67.823709555728442</v>
      </c>
      <c r="AL142" s="22">
        <f t="shared" si="112"/>
        <v>612.85939014289363</v>
      </c>
      <c r="AM142" s="62">
        <f t="shared" si="113"/>
        <v>906.192723476227</v>
      </c>
      <c r="AN142" s="62">
        <f ca="1">AVERAGE(OFFSET($AM$3,0,0,'Données projet'!$E$10+1,1))-AVERAGE(OFFSET($H$3,0,0,'Données projet'!$E$10+1,1))</f>
        <v>495.77338291316386</v>
      </c>
      <c r="AO142" s="62">
        <f t="shared" si="144"/>
        <v>261.95434270986397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1.1380052455933766E-13</v>
      </c>
      <c r="BF142" s="14">
        <f t="shared" si="145"/>
        <v>1.6840738663456724E-12</v>
      </c>
      <c r="BG142" s="22">
        <f t="shared" si="115"/>
        <v>3.1312978974928925E-12</v>
      </c>
      <c r="BH142" s="62">
        <f t="shared" si="116"/>
        <v>293.33333333333644</v>
      </c>
      <c r="BI142" s="62">
        <f ca="1">AVERAGE(OFFSET($BH$3,0,0,'Données projet'!$E$11+1,1))-AVERAGE(OFFSET($H$3,0,0,'Données projet'!$E$11+1,1))</f>
        <v>320.67081032419122</v>
      </c>
      <c r="BJ142" s="62">
        <f t="shared" si="146"/>
        <v>290.51177680335746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0.11736627924211471</v>
      </c>
      <c r="BR142" s="23">
        <f>EXP(-LN(2)/2)*BR141+(1-EXP(-LN(2)/2))/(LN(2)/2)*BL142*BO142*VLOOKUP('Données projet'!$B$11,Paramètres!$A$1:$I$89,3,0)*0.475*44/12</f>
        <v>4.2281456825792812E-16</v>
      </c>
      <c r="BS142" s="24">
        <f t="shared" si="117"/>
        <v>0.11736627924211512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3.8</v>
      </c>
      <c r="BY142" s="13">
        <f>IF('Données projet'!$A$114&gt;35,BY141+BX142-CG141,IF(A142&lt;'Données projet'!$A$114,$BV$205^A142,IF(A142='Données projet'!$A$114,'Données projet'!$B$114,BY141+BX142-CG141)))</f>
        <v>337.19999999999987</v>
      </c>
      <c r="BZ142" s="14">
        <f>BY142*VLOOKUP('Données projet'!$B$12,Paramètres!$A$1:$I$89,3,0)*VLOOKUP('Données projet'!$B$12,Paramètres!$A$1:$I$89,5,0)</f>
        <v>341.92079999999987</v>
      </c>
      <c r="CA142" s="14">
        <f t="shared" si="147"/>
        <v>79.896665654133599</v>
      </c>
      <c r="CB142" s="22">
        <f t="shared" si="118"/>
        <v>734.66541934761574</v>
      </c>
      <c r="CC142" s="62">
        <f t="shared" si="119"/>
        <v>1027.9987526809491</v>
      </c>
      <c r="CD142" s="62">
        <f ca="1">AVERAGE(OFFSET($CC$3,0,0,'Données projet'!$E$12+1,1))-AVERAGE(OFFSET($H$3,0,0,'Données projet'!$E$12+1,1))</f>
        <v>587.74247372331615</v>
      </c>
      <c r="CE142" s="62">
        <f t="shared" si="148"/>
        <v>306.61893266146666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5.4092197387944907E-14</v>
      </c>
      <c r="CV142" s="14">
        <f t="shared" si="149"/>
        <v>8.7287050538073676E-13</v>
      </c>
      <c r="CW142" s="22">
        <f t="shared" si="121"/>
        <v>1.6144600406554537E-12</v>
      </c>
      <c r="CX142" s="62">
        <f t="shared" si="122"/>
        <v>293.33333333333491</v>
      </c>
      <c r="CY142" s="62">
        <f ca="1">AVERAGE(OFFSET($CX$3,0,0,'Données projet'!$E$13+1,1))-AVERAGE(OFFSET($H$3,0,0,'Données projet'!$E$13+1,1))</f>
        <v>406.24139966722936</v>
      </c>
      <c r="CZ142" s="62">
        <f t="shared" si="150"/>
        <v>295.95724296920577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6.7984728957526396E-14</v>
      </c>
      <c r="DQ142" s="14">
        <f t="shared" si="151"/>
        <v>1.0682447123141398E-12</v>
      </c>
      <c r="DR142" s="22">
        <f t="shared" si="124"/>
        <v>1.978932943548152E-12</v>
      </c>
      <c r="DS142" s="62">
        <f t="shared" si="125"/>
        <v>293.3333333333353</v>
      </c>
      <c r="DT142" s="62">
        <f ca="1">AVERAGE(OFFSET($DS$3,0,0,'Données projet'!$E$14+1,1))-AVERAGE(OFFSET($H$3,0,0,'Données projet'!$E$14+1,1))</f>
        <v>356.42779334565381</v>
      </c>
      <c r="DU142" s="62">
        <f t="shared" si="152"/>
        <v>320.06572891923685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0.19348201536647852</v>
      </c>
      <c r="EC142" s="23">
        <f>EXP(-LN(2)/2)*EC141+(1-EXP(-LN(2)/2))/(LN(2)/2)*DW142*DZ142*VLOOKUP('Données projet'!$B$14,Paramètres!$A$1:$I$89,3,0)*0.475*44/12</f>
        <v>6.6652713234881208E-16</v>
      </c>
      <c r="ED142" s="24">
        <f t="shared" si="126"/>
        <v>0.19348201536647919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-5.6843418860808015E-14</v>
      </c>
      <c r="FF142" s="18">
        <f>FE142*VLOOKUP('Données projet'!$B$16,Paramètres!$A$1:$I$89,3,0)*VLOOKUP('Données projet'!$B$16,Paramètres!$A$1:$I$89,5,0)</f>
        <v>-4.5224624045658861E-14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370.59298168107364</v>
      </c>
      <c r="FK142" s="62">
        <f t="shared" si="156"/>
        <v>404.61777090709171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3.8</v>
      </c>
      <c r="FZ142" s="13">
        <f>IF('Données projet'!$A$244&gt;35,FZ141+FY142-GH141,IF(A142&lt;'Données projet'!$A$244,$FW$205^A142,IF(A142='Données projet'!$A$244,'Données projet'!$B$244,FZ141+FY142-GH141)))</f>
        <v>337.19999999999987</v>
      </c>
      <c r="GA142" s="18">
        <f>FZ142*VLOOKUP('Données projet'!$B$17,Paramètres!$A$1:$I$89,3,0)*VLOOKUP('Données projet'!$B$17,Paramètres!$A$1:$I$89,5,0)</f>
        <v>326.13983999999988</v>
      </c>
      <c r="GB142" s="14">
        <f t="shared" si="157"/>
        <v>76.62945028727961</v>
      </c>
      <c r="GC142" s="22">
        <f t="shared" si="133"/>
        <v>701.48984725034506</v>
      </c>
      <c r="GD142" s="62">
        <f t="shared" si="134"/>
        <v>994.82318058367832</v>
      </c>
      <c r="GE142" s="62">
        <f ca="1">AVERAGE(OFFSET($GD$3,0,0,'Données projet'!$E$17+1,1))-AVERAGE(OFFSET($H$3,0,0,'Données projet'!$E$17+1,1))</f>
        <v>562.69380557620775</v>
      </c>
      <c r="GF142" s="62">
        <f t="shared" si="158"/>
        <v>294.45557293177131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>
        <f>GU142*VLOOKUP('Données projet'!$B$18,Paramètres!$A$1:$I$89,3,0)*VLOOKUP('Données projet'!$B$18,Paramètres!$A$1:$I$89,5,0)</f>
        <v>0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363.53487081291541</v>
      </c>
      <c r="HA142" s="62">
        <f t="shared" si="160"/>
        <v>308.1559670593121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957.77911735049702</v>
      </c>
      <c r="S143" s="62">
        <f ca="1">AVERAGE(OFFSET($R$3,0,0,'Données projet'!$E$9+1,1))-AVERAGE(OFFSET($H$3,0,0,'Données projet'!$E$9+1,1))</f>
        <v>529.25712986118265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341</v>
      </c>
      <c r="AG143" s="13">
        <f>VLOOKUP(A143,'Données projet'!$A$61:$I$81,9,0)</f>
        <v>3.8</v>
      </c>
      <c r="AH143" s="13">
        <f t="array" ref="AH143">INDEX(AG:AG,MIN(IF(ISNUMBER(AG143:AG339),ROW(AG143:AG339),"")))</f>
        <v>3.8</v>
      </c>
      <c r="AI143" s="14">
        <f>IF('Données projet'!$A$62&gt;35,AI142+AH143-AQ142,IF(A143&lt;'Données projet'!$A$62,$AF$205^A143,IF(A143='Données projet'!$A$62,'Données projet'!$B$62,AI142+AH143-AQ142)))</f>
        <v>340.99999999999989</v>
      </c>
      <c r="AJ143" s="14">
        <f>AI143*VLOOKUP('Données projet'!$B$10,Paramètres!$A$1:$I$89,3,0)*VLOOKUP('Données projet'!$B$10,Paramètres!$A$1:$I$89,5,0)</f>
        <v>287.25839999999994</v>
      </c>
      <c r="AK143" s="14">
        <f t="shared" si="143"/>
        <v>68.498625255186852</v>
      </c>
      <c r="AL143" s="22">
        <f t="shared" si="112"/>
        <v>619.61015231945032</v>
      </c>
      <c r="AM143" s="62">
        <f t="shared" si="113"/>
        <v>912.94348565278369</v>
      </c>
      <c r="AN143" s="62">
        <f ca="1">AVERAGE(OFFSET($AM$3,0,0,'Données projet'!$E$10+1,1))-AVERAGE(OFFSET($H$3,0,0,'Données projet'!$E$10+1,1))</f>
        <v>495.77338291316386</v>
      </c>
      <c r="AO143" s="62">
        <f t="shared" si="144"/>
        <v>261.95434270986397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1.1380052455933766E-13</v>
      </c>
      <c r="BF143" s="14">
        <f t="shared" si="145"/>
        <v>1.6840738663456724E-12</v>
      </c>
      <c r="BG143" s="22">
        <f t="shared" si="115"/>
        <v>3.1312978974928925E-12</v>
      </c>
      <c r="BH143" s="62">
        <f t="shared" si="116"/>
        <v>293.33333333333644</v>
      </c>
      <c r="BI143" s="62">
        <f ca="1">AVERAGE(OFFSET($BH$3,0,0,'Données projet'!$E$11+1,1))-AVERAGE(OFFSET($H$3,0,0,'Données projet'!$E$11+1,1))</f>
        <v>320.67081032419122</v>
      </c>
      <c r="BJ143" s="62">
        <f t="shared" si="146"/>
        <v>290.51177680335746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0.11415689216421469</v>
      </c>
      <c r="BR143" s="23">
        <f>EXP(-LN(2)/2)*BR142+(1-EXP(-LN(2)/2))/(LN(2)/2)*BL143*BO143*VLOOKUP('Données projet'!$B$11,Paramètres!$A$1:$I$89,3,0)*0.475*44/12</f>
        <v>2.9897504839964334E-16</v>
      </c>
      <c r="BS143" s="24">
        <f t="shared" si="117"/>
        <v>0.114156892164215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341</v>
      </c>
      <c r="BW143" s="13">
        <f>VLOOKUP(A143,'Données projet'!$A$113:$I$133,9,0)</f>
        <v>3.8</v>
      </c>
      <c r="BX143" s="13">
        <f t="array" ref="BX143">INDEX(BW:BW,MIN(IF(ISNUMBER(BW143:BW339),ROW(BW143:BW339),"")))</f>
        <v>3.8</v>
      </c>
      <c r="BY143" s="13">
        <f>IF('Données projet'!$A$114&gt;35,BY142+BX143-CG142,IF(A143&lt;'Données projet'!$A$114,$BV$205^A143,IF(A143='Données projet'!$A$114,'Données projet'!$B$114,BY142+BX143-CG142)))</f>
        <v>340.99999999999989</v>
      </c>
      <c r="BZ143" s="14">
        <f>BY143*VLOOKUP('Données projet'!$B$12,Paramètres!$A$1:$I$89,3,0)*VLOOKUP('Données projet'!$B$12,Paramètres!$A$1:$I$89,5,0)</f>
        <v>345.77399999999989</v>
      </c>
      <c r="CA143" s="14">
        <f t="shared" si="147"/>
        <v>80.691719689626183</v>
      </c>
      <c r="CB143" s="22">
        <f t="shared" si="118"/>
        <v>742.76112845943214</v>
      </c>
      <c r="CC143" s="62">
        <f t="shared" si="119"/>
        <v>1036.0944617927655</v>
      </c>
      <c r="CD143" s="62">
        <f ca="1">AVERAGE(OFFSET($CC$3,0,0,'Données projet'!$E$12+1,1))-AVERAGE(OFFSET($H$3,0,0,'Données projet'!$E$12+1,1))</f>
        <v>587.74247372331615</v>
      </c>
      <c r="CE143" s="62">
        <f t="shared" si="148"/>
        <v>306.61893266146666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5.4092197387944907E-14</v>
      </c>
      <c r="CV143" s="14">
        <f t="shared" si="149"/>
        <v>8.7287050538073676E-13</v>
      </c>
      <c r="CW143" s="22">
        <f t="shared" si="121"/>
        <v>1.6144600406554537E-12</v>
      </c>
      <c r="CX143" s="62">
        <f t="shared" si="122"/>
        <v>293.33333333333491</v>
      </c>
      <c r="CY143" s="62">
        <f ca="1">AVERAGE(OFFSET($CX$3,0,0,'Données projet'!$E$13+1,1))-AVERAGE(OFFSET($H$3,0,0,'Données projet'!$E$13+1,1))</f>
        <v>406.24139966722936</v>
      </c>
      <c r="CZ143" s="62">
        <f t="shared" si="150"/>
        <v>295.95724296920577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6.7984728957526396E-14</v>
      </c>
      <c r="DQ143" s="14">
        <f t="shared" si="151"/>
        <v>1.0682447123141398E-12</v>
      </c>
      <c r="DR143" s="22">
        <f t="shared" si="124"/>
        <v>1.978932943548152E-12</v>
      </c>
      <c r="DS143" s="62">
        <f t="shared" si="125"/>
        <v>293.3333333333353</v>
      </c>
      <c r="DT143" s="62">
        <f ca="1">AVERAGE(OFFSET($DS$3,0,0,'Données projet'!$E$14+1,1))-AVERAGE(OFFSET($H$3,0,0,'Données projet'!$E$14+1,1))</f>
        <v>356.42779334565381</v>
      </c>
      <c r="DU143" s="62">
        <f t="shared" si="152"/>
        <v>320.06572891923685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0.18819123948150518</v>
      </c>
      <c r="EC143" s="23">
        <f>EXP(-LN(2)/2)*EC142+(1-EXP(-LN(2)/2))/(LN(2)/2)*DW143*DZ143*VLOOKUP('Données projet'!$B$14,Paramètres!$A$1:$I$89,3,0)*0.475*44/12</f>
        <v>4.7130585512866846E-16</v>
      </c>
      <c r="ED143" s="24">
        <f t="shared" si="126"/>
        <v>0.18819123948150565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-5.6843418860808015E-14</v>
      </c>
      <c r="FF143" s="18">
        <f>FE143*VLOOKUP('Données projet'!$B$16,Paramètres!$A$1:$I$89,3,0)*VLOOKUP('Données projet'!$B$16,Paramètres!$A$1:$I$89,5,0)</f>
        <v>-4.5224624045658861E-14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370.59298168107364</v>
      </c>
      <c r="FK143" s="62">
        <f t="shared" si="156"/>
        <v>404.61777090709171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341</v>
      </c>
      <c r="FX143" s="13">
        <f>VLOOKUP(A143,'Données projet'!$A$243:$I$263,9,0)</f>
        <v>3.8</v>
      </c>
      <c r="FY143" s="13">
        <f t="array" ref="FY143">INDEX(FX:FX,MIN(IF(ISNUMBER(FX143:FX339),ROW(FX143:FX339),"")))</f>
        <v>3.8</v>
      </c>
      <c r="FZ143" s="13">
        <f>IF('Données projet'!$A$244&gt;35,FZ142+FY143-GH142,IF(A143&lt;'Données projet'!$A$244,$FW$205^A143,IF(A143='Données projet'!$A$244,'Données projet'!$B$244,FZ142+FY143-GH142)))</f>
        <v>340.99999999999989</v>
      </c>
      <c r="GA143" s="18">
        <f>FZ143*VLOOKUP('Données projet'!$B$17,Paramètres!$A$1:$I$89,3,0)*VLOOKUP('Données projet'!$B$17,Paramètres!$A$1:$I$89,5,0)</f>
        <v>329.81519999999989</v>
      </c>
      <c r="GB143" s="14">
        <f t="shared" si="157"/>
        <v>77.391992167966066</v>
      </c>
      <c r="GC143" s="22">
        <f t="shared" si="133"/>
        <v>709.21919302587401</v>
      </c>
      <c r="GD143" s="62">
        <f t="shared" si="134"/>
        <v>1002.5525263592074</v>
      </c>
      <c r="GE143" s="62">
        <f ca="1">AVERAGE(OFFSET($GD$3,0,0,'Données projet'!$E$17+1,1))-AVERAGE(OFFSET($H$3,0,0,'Données projet'!$E$17+1,1))</f>
        <v>562.69380557620775</v>
      </c>
      <c r="GF143" s="62">
        <f t="shared" si="158"/>
        <v>294.45557293177131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>
        <f>GU143*VLOOKUP('Données projet'!$B$18,Paramètres!$A$1:$I$89,3,0)*VLOOKUP('Données projet'!$B$18,Paramètres!$A$1:$I$89,5,0)</f>
        <v>0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363.53487081291541</v>
      </c>
      <c r="HA143" s="62">
        <f t="shared" si="160"/>
        <v>308.1559670593121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964.44643403641408</v>
      </c>
      <c r="S144" s="62">
        <f ca="1">AVERAGE(OFFSET($R$3,0,0,'Données projet'!$E$9+1,1))-AVERAGE(OFFSET($H$3,0,0,'Données projet'!$E$9+1,1))</f>
        <v>529.25712986118265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344.49999999999989</v>
      </c>
      <c r="AJ144" s="14">
        <f>AI144*VLOOKUP('Données projet'!$B$10,Paramètres!$A$1:$I$89,3,0)*VLOOKUP('Données projet'!$B$10,Paramètres!$A$1:$I$89,5,0)</f>
        <v>290.20679999999993</v>
      </c>
      <c r="AK144" s="14">
        <f t="shared" si="143"/>
        <v>69.119483862208398</v>
      </c>
      <c r="AL144" s="22">
        <f t="shared" si="112"/>
        <v>625.82661106001285</v>
      </c>
      <c r="AM144" s="62">
        <f t="shared" si="113"/>
        <v>919.15994439334622</v>
      </c>
      <c r="AN144" s="62">
        <f ca="1">AVERAGE(OFFSET($AM$3,0,0,'Données projet'!$E$10+1,1))-AVERAGE(OFFSET($H$3,0,0,'Données projet'!$E$10+1,1))</f>
        <v>495.77338291316386</v>
      </c>
      <c r="AO144" s="62">
        <f t="shared" si="144"/>
        <v>261.95434270986397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1.1380052455933766E-13</v>
      </c>
      <c r="BF144" s="14">
        <f t="shared" si="145"/>
        <v>1.6840738663456724E-12</v>
      </c>
      <c r="BG144" s="22">
        <f t="shared" si="115"/>
        <v>3.1312978974928925E-12</v>
      </c>
      <c r="BH144" s="62">
        <f t="shared" si="116"/>
        <v>293.33333333333644</v>
      </c>
      <c r="BI144" s="62">
        <f ca="1">AVERAGE(OFFSET($BH$3,0,0,'Données projet'!$E$11+1,1))-AVERAGE(OFFSET($H$3,0,0,'Données projet'!$E$11+1,1))</f>
        <v>320.67081032419122</v>
      </c>
      <c r="BJ144" s="62">
        <f t="shared" si="146"/>
        <v>290.51177680335746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0.11103526594473419</v>
      </c>
      <c r="BR144" s="23">
        <f>EXP(-LN(2)/2)*BR143+(1-EXP(-LN(2)/2))/(LN(2)/2)*BL144*BO144*VLOOKUP('Données projet'!$B$11,Paramètres!$A$1:$I$89,3,0)*0.475*44/12</f>
        <v>2.1140728412896406E-16</v>
      </c>
      <c r="BS144" s="24">
        <f t="shared" si="117"/>
        <v>0.1110352659447344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</v>
      </c>
      <c r="BY144" s="13">
        <f>IF('Données projet'!$A$114&gt;35,BY143+BX144-CG143,IF(A144&lt;'Données projet'!$A$114,$BV$205^A144,IF(A144='Données projet'!$A$114,'Données projet'!$B$114,BY143+BX144-CG143)))</f>
        <v>344.49999999999989</v>
      </c>
      <c r="BZ144" s="14">
        <f>BY144*VLOOKUP('Données projet'!$B$12,Paramètres!$A$1:$I$89,3,0)*VLOOKUP('Données projet'!$B$12,Paramètres!$A$1:$I$89,5,0)</f>
        <v>349.32299999999992</v>
      </c>
      <c r="CA144" s="14">
        <f t="shared" si="147"/>
        <v>81.423094202589596</v>
      </c>
      <c r="CB144" s="22">
        <f t="shared" si="118"/>
        <v>750.21611406951013</v>
      </c>
      <c r="CC144" s="62">
        <f t="shared" si="119"/>
        <v>1043.5494474028435</v>
      </c>
      <c r="CD144" s="62">
        <f ca="1">AVERAGE(OFFSET($CC$3,0,0,'Données projet'!$E$12+1,1))-AVERAGE(OFFSET($H$3,0,0,'Données projet'!$E$12+1,1))</f>
        <v>587.74247372331615</v>
      </c>
      <c r="CE144" s="62">
        <f t="shared" si="148"/>
        <v>306.61893266146666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5.4092197387944907E-14</v>
      </c>
      <c r="CV144" s="14">
        <f t="shared" si="149"/>
        <v>8.7287050538073676E-13</v>
      </c>
      <c r="CW144" s="22">
        <f t="shared" si="121"/>
        <v>1.6144600406554537E-12</v>
      </c>
      <c r="CX144" s="62">
        <f t="shared" si="122"/>
        <v>293.33333333333491</v>
      </c>
      <c r="CY144" s="62">
        <f ca="1">AVERAGE(OFFSET($CX$3,0,0,'Données projet'!$E$13+1,1))-AVERAGE(OFFSET($H$3,0,0,'Données projet'!$E$13+1,1))</f>
        <v>406.24139966722936</v>
      </c>
      <c r="CZ144" s="62">
        <f t="shared" si="150"/>
        <v>295.95724296920577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6.7984728957526396E-14</v>
      </c>
      <c r="DQ144" s="14">
        <f t="shared" si="151"/>
        <v>1.0682447123141398E-12</v>
      </c>
      <c r="DR144" s="22">
        <f t="shared" si="124"/>
        <v>1.978932943548152E-12</v>
      </c>
      <c r="DS144" s="62">
        <f t="shared" si="125"/>
        <v>293.3333333333353</v>
      </c>
      <c r="DT144" s="62">
        <f ca="1">AVERAGE(OFFSET($DS$3,0,0,'Données projet'!$E$14+1,1))-AVERAGE(OFFSET($H$3,0,0,'Données projet'!$E$14+1,1))</f>
        <v>356.42779334565381</v>
      </c>
      <c r="DU144" s="62">
        <f t="shared" si="152"/>
        <v>320.06572891923685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0.18304514014133624</v>
      </c>
      <c r="EC144" s="23">
        <f>EXP(-LN(2)/2)*EC143+(1-EXP(-LN(2)/2))/(LN(2)/2)*DW144*DZ144*VLOOKUP('Données projet'!$B$14,Paramètres!$A$1:$I$89,3,0)*0.475*44/12</f>
        <v>3.3326356617440604E-16</v>
      </c>
      <c r="ED144" s="24">
        <f t="shared" si="126"/>
        <v>0.18304514014133658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-5.6843418860808015E-14</v>
      </c>
      <c r="FF144" s="18">
        <f>FE144*VLOOKUP('Données projet'!$B$16,Paramètres!$A$1:$I$89,3,0)*VLOOKUP('Données projet'!$B$16,Paramètres!$A$1:$I$89,5,0)</f>
        <v>-4.5224624045658861E-14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370.59298168107364</v>
      </c>
      <c r="FK144" s="62">
        <f t="shared" si="156"/>
        <v>404.61777090709171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3.5</v>
      </c>
      <c r="FZ144" s="13">
        <f>IF('Données projet'!$A$244&gt;35,FZ143+FY144-GH143,IF(A144&lt;'Données projet'!$A$244,$FW$205^A144,IF(A144='Données projet'!$A$244,'Données projet'!$B$244,FZ143+FY144-GH143)))</f>
        <v>344.49999999999989</v>
      </c>
      <c r="GA144" s="18">
        <f>FZ144*VLOOKUP('Données projet'!$B$17,Paramètres!$A$1:$I$89,3,0)*VLOOKUP('Données projet'!$B$17,Paramètres!$A$1:$I$89,5,0)</f>
        <v>333.20039999999989</v>
      </c>
      <c r="GB144" s="14">
        <f t="shared" si="157"/>
        <v>78.093458573649713</v>
      </c>
      <c r="GC144" s="22">
        <f t="shared" si="133"/>
        <v>716.33680368243961</v>
      </c>
      <c r="GD144" s="62">
        <f t="shared" si="134"/>
        <v>1009.670137015773</v>
      </c>
      <c r="GE144" s="62">
        <f ca="1">AVERAGE(OFFSET($GD$3,0,0,'Données projet'!$E$17+1,1))-AVERAGE(OFFSET($H$3,0,0,'Données projet'!$E$17+1,1))</f>
        <v>562.69380557620775</v>
      </c>
      <c r="GF144" s="62">
        <f t="shared" si="158"/>
        <v>294.45557293177131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>
        <f>GU144*VLOOKUP('Données projet'!$B$18,Paramètres!$A$1:$I$89,3,0)*VLOOKUP('Données projet'!$B$18,Paramètres!$A$1:$I$89,5,0)</f>
        <v>0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363.53487081291541</v>
      </c>
      <c r="HA144" s="62">
        <f t="shared" si="160"/>
        <v>308.1559670593121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971.11238939511941</v>
      </c>
      <c r="S145" s="62">
        <f ca="1">AVERAGE(OFFSET($R$3,0,0,'Données projet'!$E$9+1,1))-AVERAGE(OFFSET($H$3,0,0,'Données projet'!$E$9+1,1))</f>
        <v>529.25712986118265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347.99999999999989</v>
      </c>
      <c r="AJ145" s="14">
        <f>AI145*VLOOKUP('Données projet'!$B$10,Paramètres!$A$1:$I$89,3,0)*VLOOKUP('Données projet'!$B$10,Paramètres!$A$1:$I$89,5,0)</f>
        <v>293.15519999999992</v>
      </c>
      <c r="AK145" s="14">
        <f t="shared" si="143"/>
        <v>69.739608672728551</v>
      </c>
      <c r="AL145" s="22">
        <f t="shared" si="112"/>
        <v>632.04179177166873</v>
      </c>
      <c r="AM145" s="62">
        <f t="shared" si="113"/>
        <v>925.3751251050021</v>
      </c>
      <c r="AN145" s="62">
        <f ca="1">AVERAGE(OFFSET($AM$3,0,0,'Données projet'!$E$10+1,1))-AVERAGE(OFFSET($H$3,0,0,'Données projet'!$E$10+1,1))</f>
        <v>495.77338291316386</v>
      </c>
      <c r="AO145" s="62">
        <f t="shared" si="144"/>
        <v>261.95434270986397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1.1380052455933766E-13</v>
      </c>
      <c r="BF145" s="14">
        <f t="shared" si="145"/>
        <v>1.6840738663456724E-12</v>
      </c>
      <c r="BG145" s="22">
        <f t="shared" si="115"/>
        <v>3.1312978974928925E-12</v>
      </c>
      <c r="BH145" s="62">
        <f t="shared" si="116"/>
        <v>293.33333333333644</v>
      </c>
      <c r="BI145" s="62">
        <f ca="1">AVERAGE(OFFSET($BH$3,0,0,'Données projet'!$E$11+1,1))-AVERAGE(OFFSET($H$3,0,0,'Données projet'!$E$11+1,1))</f>
        <v>320.67081032419122</v>
      </c>
      <c r="BJ145" s="62">
        <f t="shared" si="146"/>
        <v>290.51177680335746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0.10799900075838458</v>
      </c>
      <c r="BR145" s="23">
        <f>EXP(-LN(2)/2)*BR144+(1-EXP(-LN(2)/2))/(LN(2)/2)*BL145*BO145*VLOOKUP('Données projet'!$B$11,Paramètres!$A$1:$I$89,3,0)*0.475*44/12</f>
        <v>1.4948752419982167E-16</v>
      </c>
      <c r="BS145" s="24">
        <f t="shared" si="117"/>
        <v>0.10799900075838473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</v>
      </c>
      <c r="BY145" s="13">
        <f>IF('Données projet'!$A$114&gt;35,BY144+BX145-CG144,IF(A145&lt;'Données projet'!$A$114,$BV$205^A145,IF(A145='Données projet'!$A$114,'Données projet'!$B$114,BY144+BX145-CG144)))</f>
        <v>347.99999999999989</v>
      </c>
      <c r="BZ145" s="14">
        <f>BY145*VLOOKUP('Données projet'!$B$12,Paramètres!$A$1:$I$89,3,0)*VLOOKUP('Données projet'!$B$12,Paramètres!$A$1:$I$89,5,0)</f>
        <v>352.8719999999999</v>
      </c>
      <c r="CA145" s="14">
        <f t="shared" si="147"/>
        <v>82.153604299641287</v>
      </c>
      <c r="CB145" s="22">
        <f t="shared" si="118"/>
        <v>757.66959415520842</v>
      </c>
      <c r="CC145" s="62">
        <f t="shared" si="119"/>
        <v>1051.0029274885417</v>
      </c>
      <c r="CD145" s="62">
        <f ca="1">AVERAGE(OFFSET($CC$3,0,0,'Données projet'!$E$12+1,1))-AVERAGE(OFFSET($H$3,0,0,'Données projet'!$E$12+1,1))</f>
        <v>587.74247372331615</v>
      </c>
      <c r="CE145" s="62">
        <f t="shared" si="148"/>
        <v>306.61893266146666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5.4092197387944907E-14</v>
      </c>
      <c r="CV145" s="14">
        <f t="shared" si="149"/>
        <v>8.7287050538073676E-13</v>
      </c>
      <c r="CW145" s="22">
        <f t="shared" si="121"/>
        <v>1.6144600406554537E-12</v>
      </c>
      <c r="CX145" s="62">
        <f t="shared" si="122"/>
        <v>293.33333333333491</v>
      </c>
      <c r="CY145" s="62">
        <f ca="1">AVERAGE(OFFSET($CX$3,0,0,'Données projet'!$E$13+1,1))-AVERAGE(OFFSET($H$3,0,0,'Données projet'!$E$13+1,1))</f>
        <v>406.24139966722936</v>
      </c>
      <c r="CZ145" s="62">
        <f t="shared" si="150"/>
        <v>295.95724296920577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6.7984728957526396E-14</v>
      </c>
      <c r="DQ145" s="14">
        <f t="shared" si="151"/>
        <v>1.0682447123141398E-12</v>
      </c>
      <c r="DR145" s="22">
        <f t="shared" si="124"/>
        <v>1.978932943548152E-12</v>
      </c>
      <c r="DS145" s="62">
        <f t="shared" si="125"/>
        <v>293.3333333333353</v>
      </c>
      <c r="DT145" s="62">
        <f ca="1">AVERAGE(OFFSET($DS$3,0,0,'Données projet'!$E$14+1,1))-AVERAGE(OFFSET($H$3,0,0,'Données projet'!$E$14+1,1))</f>
        <v>356.42779334565381</v>
      </c>
      <c r="DU145" s="62">
        <f t="shared" si="152"/>
        <v>320.06572891923685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0.17803976115824585</v>
      </c>
      <c r="EC145" s="23">
        <f>EXP(-LN(2)/2)*EC144+(1-EXP(-LN(2)/2))/(LN(2)/2)*DW145*DZ145*VLOOKUP('Données projet'!$B$14,Paramètres!$A$1:$I$89,3,0)*0.475*44/12</f>
        <v>2.3565292756433423E-16</v>
      </c>
      <c r="ED145" s="24">
        <f t="shared" si="126"/>
        <v>0.17803976115824607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-5.6843418860808015E-14</v>
      </c>
      <c r="FF145" s="18">
        <f>FE145*VLOOKUP('Données projet'!$B$16,Paramètres!$A$1:$I$89,3,0)*VLOOKUP('Données projet'!$B$16,Paramètres!$A$1:$I$89,5,0)</f>
        <v>-4.5224624045658861E-14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370.59298168107364</v>
      </c>
      <c r="FK145" s="62">
        <f t="shared" si="156"/>
        <v>404.61777090709171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3.5</v>
      </c>
      <c r="FZ145" s="13">
        <f>IF('Données projet'!$A$244&gt;35,FZ144+FY145-GH144,IF(A145&lt;'Données projet'!$A$244,$FW$205^A145,IF(A145='Données projet'!$A$244,'Données projet'!$B$244,FZ144+FY145-GH144)))</f>
        <v>347.99999999999989</v>
      </c>
      <c r="GA145" s="18">
        <f>FZ145*VLOOKUP('Données projet'!$B$17,Paramètres!$A$1:$I$89,3,0)*VLOOKUP('Données projet'!$B$17,Paramètres!$A$1:$I$89,5,0)</f>
        <v>336.58559999999989</v>
      </c>
      <c r="GB145" s="14">
        <f t="shared" si="157"/>
        <v>78.794095911992599</v>
      </c>
      <c r="GC145" s="22">
        <f t="shared" si="133"/>
        <v>723.45297038005356</v>
      </c>
      <c r="GD145" s="62">
        <f t="shared" si="134"/>
        <v>1016.7863037133868</v>
      </c>
      <c r="GE145" s="62">
        <f ca="1">AVERAGE(OFFSET($GD$3,0,0,'Données projet'!$E$17+1,1))-AVERAGE(OFFSET($H$3,0,0,'Données projet'!$E$17+1,1))</f>
        <v>562.69380557620775</v>
      </c>
      <c r="GF145" s="62">
        <f t="shared" si="158"/>
        <v>294.45557293177131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>
        <f>GU145*VLOOKUP('Données projet'!$B$18,Paramètres!$A$1:$I$89,3,0)*VLOOKUP('Données projet'!$B$18,Paramètres!$A$1:$I$89,5,0)</f>
        <v>0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363.53487081291541</v>
      </c>
      <c r="HA145" s="62">
        <f t="shared" si="160"/>
        <v>308.1559670593121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977.77699870338733</v>
      </c>
      <c r="S146" s="62">
        <f ca="1">AVERAGE(OFFSET($R$3,0,0,'Données projet'!$E$9+1,1))-AVERAGE(OFFSET($H$3,0,0,'Données projet'!$E$9+1,1))</f>
        <v>529.25712986118265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351.49999999999989</v>
      </c>
      <c r="AJ146" s="14">
        <f>AI146*VLOOKUP('Données projet'!$B$10,Paramètres!$A$1:$I$89,3,0)*VLOOKUP('Données projet'!$B$10,Paramètres!$A$1:$I$89,5,0)</f>
        <v>296.10359999999991</v>
      </c>
      <c r="AK146" s="14">
        <f t="shared" si="143"/>
        <v>70.359007921390557</v>
      </c>
      <c r="AL146" s="22">
        <f t="shared" si="112"/>
        <v>638.2557087964218</v>
      </c>
      <c r="AM146" s="62">
        <f t="shared" si="113"/>
        <v>931.58904212975517</v>
      </c>
      <c r="AN146" s="62">
        <f ca="1">AVERAGE(OFFSET($AM$3,0,0,'Données projet'!$E$10+1,1))-AVERAGE(OFFSET($H$3,0,0,'Données projet'!$E$10+1,1))</f>
        <v>495.77338291316386</v>
      </c>
      <c r="AO146" s="62">
        <f t="shared" si="144"/>
        <v>261.95434270986397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1.1380052455933766E-13</v>
      </c>
      <c r="BF146" s="14">
        <f t="shared" si="145"/>
        <v>1.6840738663456724E-12</v>
      </c>
      <c r="BG146" s="22">
        <f t="shared" si="115"/>
        <v>3.1312978974928925E-12</v>
      </c>
      <c r="BH146" s="62">
        <f t="shared" si="116"/>
        <v>293.33333333333644</v>
      </c>
      <c r="BI146" s="62">
        <f ca="1">AVERAGE(OFFSET($BH$3,0,0,'Données projet'!$E$11+1,1))-AVERAGE(OFFSET($H$3,0,0,'Données projet'!$E$11+1,1))</f>
        <v>320.67081032419122</v>
      </c>
      <c r="BJ146" s="62">
        <f t="shared" si="146"/>
        <v>290.51177680335746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0.10504576240322594</v>
      </c>
      <c r="BR146" s="23">
        <f>EXP(-LN(2)/2)*BR145+(1-EXP(-LN(2)/2))/(LN(2)/2)*BL146*BO146*VLOOKUP('Données projet'!$B$11,Paramètres!$A$1:$I$89,3,0)*0.475*44/12</f>
        <v>1.0570364206448203E-16</v>
      </c>
      <c r="BS146" s="24">
        <f t="shared" si="117"/>
        <v>0.10504576240322605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</v>
      </c>
      <c r="BY146" s="13">
        <f>IF('Données projet'!$A$114&gt;35,BY145+BX146-CG145,IF(A146&lt;'Données projet'!$A$114,$BV$205^A146,IF(A146='Données projet'!$A$114,'Données projet'!$B$114,BY145+BX146-CG145)))</f>
        <v>351.49999999999989</v>
      </c>
      <c r="BZ146" s="14">
        <f>BY146*VLOOKUP('Données projet'!$B$12,Paramètres!$A$1:$I$89,3,0)*VLOOKUP('Données projet'!$B$12,Paramètres!$A$1:$I$89,5,0)</f>
        <v>356.42099999999994</v>
      </c>
      <c r="CA146" s="14">
        <f t="shared" si="147"/>
        <v>82.883259681231806</v>
      </c>
      <c r="CB146" s="22">
        <f t="shared" si="118"/>
        <v>765.12158561147862</v>
      </c>
      <c r="CC146" s="62">
        <f t="shared" si="119"/>
        <v>1058.4549189448119</v>
      </c>
      <c r="CD146" s="62">
        <f ca="1">AVERAGE(OFFSET($CC$3,0,0,'Données projet'!$E$12+1,1))-AVERAGE(OFFSET($H$3,0,0,'Données projet'!$E$12+1,1))</f>
        <v>587.74247372331615</v>
      </c>
      <c r="CE146" s="62">
        <f t="shared" si="148"/>
        <v>306.61893266146666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5.4092197387944907E-14</v>
      </c>
      <c r="CV146" s="14">
        <f t="shared" si="149"/>
        <v>8.7287050538073676E-13</v>
      </c>
      <c r="CW146" s="22">
        <f t="shared" si="121"/>
        <v>1.6144600406554537E-12</v>
      </c>
      <c r="CX146" s="62">
        <f t="shared" si="122"/>
        <v>293.33333333333491</v>
      </c>
      <c r="CY146" s="62">
        <f ca="1">AVERAGE(OFFSET($CX$3,0,0,'Données projet'!$E$13+1,1))-AVERAGE(OFFSET($H$3,0,0,'Données projet'!$E$13+1,1))</f>
        <v>406.24139966722936</v>
      </c>
      <c r="CZ146" s="62">
        <f t="shared" si="150"/>
        <v>295.95724296920577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6.7984728957526396E-14</v>
      </c>
      <c r="DQ146" s="14">
        <f t="shared" si="151"/>
        <v>1.0682447123141398E-12</v>
      </c>
      <c r="DR146" s="22">
        <f t="shared" si="124"/>
        <v>1.978932943548152E-12</v>
      </c>
      <c r="DS146" s="62">
        <f t="shared" si="125"/>
        <v>293.3333333333353</v>
      </c>
      <c r="DT146" s="62">
        <f ca="1">AVERAGE(OFFSET($DS$3,0,0,'Données projet'!$E$14+1,1))-AVERAGE(OFFSET($H$3,0,0,'Données projet'!$E$14+1,1))</f>
        <v>356.42779334565381</v>
      </c>
      <c r="DU146" s="62">
        <f t="shared" si="152"/>
        <v>320.06572891923685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0.17317125452666948</v>
      </c>
      <c r="EC146" s="23">
        <f>EXP(-LN(2)/2)*EC145+(1-EXP(-LN(2)/2))/(LN(2)/2)*DW146*DZ146*VLOOKUP('Données projet'!$B$14,Paramètres!$A$1:$I$89,3,0)*0.475*44/12</f>
        <v>1.6663178308720302E-16</v>
      </c>
      <c r="ED146" s="24">
        <f t="shared" si="126"/>
        <v>0.17317125452666965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-5.6843418860808015E-14</v>
      </c>
      <c r="FF146" s="18">
        <f>FE146*VLOOKUP('Données projet'!$B$16,Paramètres!$A$1:$I$89,3,0)*VLOOKUP('Données projet'!$B$16,Paramètres!$A$1:$I$89,5,0)</f>
        <v>-4.5224624045658861E-14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370.59298168107364</v>
      </c>
      <c r="FK146" s="62">
        <f t="shared" si="156"/>
        <v>404.61777090709171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3.5</v>
      </c>
      <c r="FZ146" s="13">
        <f>IF('Données projet'!$A$244&gt;35,FZ145+FY146-GH145,IF(A146&lt;'Données projet'!$A$244,$FW$205^A146,IF(A146='Données projet'!$A$244,'Données projet'!$B$244,FZ145+FY146-GH145)))</f>
        <v>351.49999999999989</v>
      </c>
      <c r="GA146" s="18">
        <f>FZ146*VLOOKUP('Données projet'!$B$17,Paramètres!$A$1:$I$89,3,0)*VLOOKUP('Données projet'!$B$17,Paramètres!$A$1:$I$89,5,0)</f>
        <v>339.97079999999988</v>
      </c>
      <c r="GB146" s="14">
        <f t="shared" si="157"/>
        <v>79.493913486764498</v>
      </c>
      <c r="GC146" s="22">
        <f t="shared" si="133"/>
        <v>730.5677093227813</v>
      </c>
      <c r="GD146" s="62">
        <f t="shared" si="134"/>
        <v>1023.9010426561147</v>
      </c>
      <c r="GE146" s="62">
        <f ca="1">AVERAGE(OFFSET($GD$3,0,0,'Données projet'!$E$17+1,1))-AVERAGE(OFFSET($H$3,0,0,'Données projet'!$E$17+1,1))</f>
        <v>562.69380557620775</v>
      </c>
      <c r="GF146" s="62">
        <f t="shared" si="158"/>
        <v>294.45557293177131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>
        <f>GU146*VLOOKUP('Données projet'!$B$18,Paramètres!$A$1:$I$89,3,0)*VLOOKUP('Données projet'!$B$18,Paramètres!$A$1:$I$89,5,0)</f>
        <v>0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363.53487081291541</v>
      </c>
      <c r="HA146" s="62">
        <f t="shared" si="160"/>
        <v>308.1559670593121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984.44027691622637</v>
      </c>
      <c r="S147" s="62">
        <f ca="1">AVERAGE(OFFSET($R$3,0,0,'Données projet'!$E$9+1,1))-AVERAGE(OFFSET($H$3,0,0,'Données projet'!$E$9+1,1))</f>
        <v>529.25712986118265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354.99999999999989</v>
      </c>
      <c r="AJ147" s="14">
        <f>AI147*VLOOKUP('Données projet'!$B$10,Paramètres!$A$1:$I$89,3,0)*VLOOKUP('Données projet'!$B$10,Paramètres!$A$1:$I$89,5,0)</f>
        <v>299.05199999999996</v>
      </c>
      <c r="AK147" s="14">
        <f t="shared" si="143"/>
        <v>70.977689669395403</v>
      </c>
      <c r="AL147" s="22">
        <f t="shared" si="112"/>
        <v>644.46837617419681</v>
      </c>
      <c r="AM147" s="62">
        <f t="shared" si="113"/>
        <v>937.80170950753018</v>
      </c>
      <c r="AN147" s="62">
        <f ca="1">AVERAGE(OFFSET($AM$3,0,0,'Données projet'!$E$10+1,1))-AVERAGE(OFFSET($H$3,0,0,'Données projet'!$E$10+1,1))</f>
        <v>495.77338291316386</v>
      </c>
      <c r="AO147" s="62">
        <f t="shared" si="144"/>
        <v>261.95434270986397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1.1380052455933766E-13</v>
      </c>
      <c r="BF147" s="14">
        <f t="shared" si="145"/>
        <v>1.6840738663456724E-12</v>
      </c>
      <c r="BG147" s="22">
        <f t="shared" si="115"/>
        <v>3.1312978974928925E-12</v>
      </c>
      <c r="BH147" s="62">
        <f t="shared" si="116"/>
        <v>293.33333333333644</v>
      </c>
      <c r="BI147" s="62">
        <f ca="1">AVERAGE(OFFSET($BH$3,0,0,'Données projet'!$E$11+1,1))-AVERAGE(OFFSET($H$3,0,0,'Données projet'!$E$11+1,1))</f>
        <v>320.67081032419122</v>
      </c>
      <c r="BJ147" s="62">
        <f t="shared" si="146"/>
        <v>290.51177680335746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0.10217328050619316</v>
      </c>
      <c r="BR147" s="23">
        <f>EXP(-LN(2)/2)*BR146+(1-EXP(-LN(2)/2))/(LN(2)/2)*BL147*BO147*VLOOKUP('Données projet'!$B$11,Paramètres!$A$1:$I$89,3,0)*0.475*44/12</f>
        <v>7.4743762099910834E-17</v>
      </c>
      <c r="BS147" s="24">
        <f t="shared" si="117"/>
        <v>0.10217328050619323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</v>
      </c>
      <c r="BY147" s="13">
        <f>IF('Données projet'!$A$114&gt;35,BY146+BX147-CG146,IF(A147&lt;'Données projet'!$A$114,$BV$205^A147,IF(A147='Données projet'!$A$114,'Données projet'!$B$114,BY146+BX147-CG146)))</f>
        <v>354.99999999999989</v>
      </c>
      <c r="BZ147" s="14">
        <f>BY147*VLOOKUP('Données projet'!$B$12,Paramètres!$A$1:$I$89,3,0)*VLOOKUP('Données projet'!$B$12,Paramètres!$A$1:$I$89,5,0)</f>
        <v>359.96999999999991</v>
      </c>
      <c r="CA147" s="14">
        <f t="shared" si="147"/>
        <v>83.612069843495831</v>
      </c>
      <c r="CB147" s="22">
        <f t="shared" si="118"/>
        <v>772.57210497742165</v>
      </c>
      <c r="CC147" s="62">
        <f t="shared" si="119"/>
        <v>1065.905438310755</v>
      </c>
      <c r="CD147" s="62">
        <f ca="1">AVERAGE(OFFSET($CC$3,0,0,'Données projet'!$E$12+1,1))-AVERAGE(OFFSET($H$3,0,0,'Données projet'!$E$12+1,1))</f>
        <v>587.74247372331615</v>
      </c>
      <c r="CE147" s="62">
        <f t="shared" si="148"/>
        <v>306.61893266146666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5.4092197387944907E-14</v>
      </c>
      <c r="CV147" s="14">
        <f t="shared" si="149"/>
        <v>8.7287050538073676E-13</v>
      </c>
      <c r="CW147" s="22">
        <f t="shared" si="121"/>
        <v>1.6144600406554537E-12</v>
      </c>
      <c r="CX147" s="62">
        <f t="shared" si="122"/>
        <v>293.33333333333491</v>
      </c>
      <c r="CY147" s="62">
        <f ca="1">AVERAGE(OFFSET($CX$3,0,0,'Données projet'!$E$13+1,1))-AVERAGE(OFFSET($H$3,0,0,'Données projet'!$E$13+1,1))</f>
        <v>406.24139966722936</v>
      </c>
      <c r="CZ147" s="62">
        <f t="shared" si="150"/>
        <v>295.95724296920577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6.7984728957526396E-14</v>
      </c>
      <c r="DQ147" s="14">
        <f t="shared" si="151"/>
        <v>1.0682447123141398E-12</v>
      </c>
      <c r="DR147" s="22">
        <f t="shared" si="124"/>
        <v>1.978932943548152E-12</v>
      </c>
      <c r="DS147" s="62">
        <f t="shared" si="125"/>
        <v>293.3333333333353</v>
      </c>
      <c r="DT147" s="62">
        <f ca="1">AVERAGE(OFFSET($DS$3,0,0,'Données projet'!$E$14+1,1))-AVERAGE(OFFSET($H$3,0,0,'Données projet'!$E$14+1,1))</f>
        <v>356.42779334565381</v>
      </c>
      <c r="DU147" s="62">
        <f t="shared" si="152"/>
        <v>320.06572891923685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0.16843587746495722</v>
      </c>
      <c r="EC147" s="23">
        <f>EXP(-LN(2)/2)*EC146+(1-EXP(-LN(2)/2))/(LN(2)/2)*DW147*DZ147*VLOOKUP('Données projet'!$B$14,Paramètres!$A$1:$I$89,3,0)*0.475*44/12</f>
        <v>1.1782646378216711E-16</v>
      </c>
      <c r="ED147" s="24">
        <f t="shared" si="126"/>
        <v>0.16843587746495733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-5.6843418860808015E-14</v>
      </c>
      <c r="FF147" s="18">
        <f>FE147*VLOOKUP('Données projet'!$B$16,Paramètres!$A$1:$I$89,3,0)*VLOOKUP('Données projet'!$B$16,Paramètres!$A$1:$I$89,5,0)</f>
        <v>-4.5224624045658861E-14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370.59298168107364</v>
      </c>
      <c r="FK147" s="62">
        <f t="shared" si="156"/>
        <v>404.61777090709171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3.5</v>
      </c>
      <c r="FZ147" s="13">
        <f>IF('Données projet'!$A$244&gt;35,FZ146+FY147-GH146,IF(A147&lt;'Données projet'!$A$244,$FW$205^A147,IF(A147='Données projet'!$A$244,'Données projet'!$B$244,FZ146+FY147-GH146)))</f>
        <v>354.99999999999989</v>
      </c>
      <c r="GA147" s="18">
        <f>FZ147*VLOOKUP('Données projet'!$B$17,Paramètres!$A$1:$I$89,3,0)*VLOOKUP('Données projet'!$B$17,Paramètres!$A$1:$I$89,5,0)</f>
        <v>343.35599999999994</v>
      </c>
      <c r="GB147" s="14">
        <f t="shared" si="157"/>
        <v>80.192920405774515</v>
      </c>
      <c r="GC147" s="22">
        <f t="shared" si="133"/>
        <v>737.68103637339038</v>
      </c>
      <c r="GD147" s="62">
        <f t="shared" si="134"/>
        <v>1031.0143697067238</v>
      </c>
      <c r="GE147" s="62">
        <f ca="1">AVERAGE(OFFSET($GD$3,0,0,'Données projet'!$E$17+1,1))-AVERAGE(OFFSET($H$3,0,0,'Données projet'!$E$17+1,1))</f>
        <v>562.69380557620775</v>
      </c>
      <c r="GF147" s="62">
        <f t="shared" si="158"/>
        <v>294.45557293177131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>
        <f>GU147*VLOOKUP('Données projet'!$B$18,Paramètres!$A$1:$I$89,3,0)*VLOOKUP('Données projet'!$B$18,Paramètres!$A$1:$I$89,5,0)</f>
        <v>0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363.53487081291541</v>
      </c>
      <c r="HA147" s="62">
        <f t="shared" si="160"/>
        <v>308.1559670593121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991.10223867675745</v>
      </c>
      <c r="S148" s="62">
        <f ca="1">AVERAGE(OFFSET($R$3,0,0,'Données projet'!$E$9+1,1))-AVERAGE(OFFSET($H$3,0,0,'Données projet'!$E$9+1,1))</f>
        <v>529.25712986118265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358.49999999999989</v>
      </c>
      <c r="AJ148" s="14">
        <f>AI148*VLOOKUP('Données projet'!$B$10,Paramètres!$A$1:$I$89,3,0)*VLOOKUP('Données projet'!$B$10,Paramètres!$A$1:$I$89,5,0)</f>
        <v>302.0003999999999</v>
      </c>
      <c r="AK148" s="14">
        <f t="shared" si="143"/>
        <v>71.595661809828044</v>
      </c>
      <c r="AL148" s="22">
        <f t="shared" si="112"/>
        <v>650.67980765211689</v>
      </c>
      <c r="AM148" s="62">
        <f t="shared" si="113"/>
        <v>944.01314098545026</v>
      </c>
      <c r="AN148" s="62">
        <f ca="1">AVERAGE(OFFSET($AM$3,0,0,'Données projet'!$E$10+1,1))-AVERAGE(OFFSET($H$3,0,0,'Données projet'!$E$10+1,1))</f>
        <v>495.77338291316386</v>
      </c>
      <c r="AO148" s="62">
        <f t="shared" si="144"/>
        <v>261.95434270986397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1.1380052455933766E-13</v>
      </c>
      <c r="BF148" s="14">
        <f t="shared" si="145"/>
        <v>1.6840738663456724E-12</v>
      </c>
      <c r="BG148" s="22">
        <f t="shared" si="115"/>
        <v>3.1312978974928925E-12</v>
      </c>
      <c r="BH148" s="62">
        <f t="shared" si="116"/>
        <v>293.33333333333644</v>
      </c>
      <c r="BI148" s="62">
        <f ca="1">AVERAGE(OFFSET($BH$3,0,0,'Données projet'!$E$11+1,1))-AVERAGE(OFFSET($H$3,0,0,'Données projet'!$E$11+1,1))</f>
        <v>320.67081032419122</v>
      </c>
      <c r="BJ148" s="62">
        <f t="shared" si="146"/>
        <v>290.51177680335746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9.9379346777692015E-2</v>
      </c>
      <c r="BR148" s="23">
        <f>EXP(-LN(2)/2)*BR147+(1-EXP(-LN(2)/2))/(LN(2)/2)*BL148*BO148*VLOOKUP('Données projet'!$B$11,Paramètres!$A$1:$I$89,3,0)*0.475*44/12</f>
        <v>5.2851821032241015E-17</v>
      </c>
      <c r="BS148" s="24">
        <f t="shared" si="117"/>
        <v>9.9379346777692071E-2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</v>
      </c>
      <c r="BY148" s="13">
        <f>IF('Données projet'!$A$114&gt;35,BY147+BX148-CG147,IF(A148&lt;'Données projet'!$A$114,$BV$205^A148,IF(A148='Données projet'!$A$114,'Données projet'!$B$114,BY147+BX148-CG147)))</f>
        <v>358.49999999999989</v>
      </c>
      <c r="BZ148" s="14">
        <f>BY148*VLOOKUP('Données projet'!$B$12,Paramètres!$A$1:$I$89,3,0)*VLOOKUP('Données projet'!$B$12,Paramètres!$A$1:$I$89,5,0)</f>
        <v>363.51899999999989</v>
      </c>
      <c r="CA148" s="14">
        <f t="shared" si="147"/>
        <v>84.340044084526426</v>
      </c>
      <c r="CB148" s="22">
        <f t="shared" si="118"/>
        <v>780.02116844721661</v>
      </c>
      <c r="CC148" s="62">
        <f t="shared" si="119"/>
        <v>1073.35450178055</v>
      </c>
      <c r="CD148" s="62">
        <f ca="1">AVERAGE(OFFSET($CC$3,0,0,'Données projet'!$E$12+1,1))-AVERAGE(OFFSET($H$3,0,0,'Données projet'!$E$12+1,1))</f>
        <v>587.74247372331615</v>
      </c>
      <c r="CE148" s="62">
        <f t="shared" si="148"/>
        <v>306.61893266146666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5.4092197387944907E-14</v>
      </c>
      <c r="CV148" s="14">
        <f t="shared" si="149"/>
        <v>8.7287050538073676E-13</v>
      </c>
      <c r="CW148" s="22">
        <f t="shared" si="121"/>
        <v>1.6144600406554537E-12</v>
      </c>
      <c r="CX148" s="62">
        <f t="shared" si="122"/>
        <v>293.33333333333491</v>
      </c>
      <c r="CY148" s="62">
        <f ca="1">AVERAGE(OFFSET($CX$3,0,0,'Données projet'!$E$13+1,1))-AVERAGE(OFFSET($H$3,0,0,'Données projet'!$E$13+1,1))</f>
        <v>406.24139966722936</v>
      </c>
      <c r="CZ148" s="62">
        <f t="shared" si="150"/>
        <v>295.95724296920577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6.7984728957526396E-14</v>
      </c>
      <c r="DQ148" s="14">
        <f t="shared" si="151"/>
        <v>1.0682447123141398E-12</v>
      </c>
      <c r="DR148" s="22">
        <f t="shared" si="124"/>
        <v>1.978932943548152E-12</v>
      </c>
      <c r="DS148" s="62">
        <f t="shared" si="125"/>
        <v>293.3333333333353</v>
      </c>
      <c r="DT148" s="62">
        <f ca="1">AVERAGE(OFFSET($DS$3,0,0,'Données projet'!$E$14+1,1))-AVERAGE(OFFSET($H$3,0,0,'Données projet'!$E$14+1,1))</f>
        <v>356.42779334565381</v>
      </c>
      <c r="DU148" s="62">
        <f t="shared" si="152"/>
        <v>320.06572891923685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0.16382998953802014</v>
      </c>
      <c r="EC148" s="23">
        <f>EXP(-LN(2)/2)*EC147+(1-EXP(-LN(2)/2))/(LN(2)/2)*DW148*DZ148*VLOOKUP('Données projet'!$B$14,Paramètres!$A$1:$I$89,3,0)*0.475*44/12</f>
        <v>8.3315891543601509E-17</v>
      </c>
      <c r="ED148" s="24">
        <f t="shared" si="126"/>
        <v>0.16382998953802022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-5.6843418860808015E-14</v>
      </c>
      <c r="FF148" s="18">
        <f>FE148*VLOOKUP('Données projet'!$B$16,Paramètres!$A$1:$I$89,3,0)*VLOOKUP('Données projet'!$B$16,Paramètres!$A$1:$I$89,5,0)</f>
        <v>-4.5224624045658861E-14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370.59298168107364</v>
      </c>
      <c r="FK148" s="62">
        <f t="shared" si="156"/>
        <v>404.61777090709171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3.5</v>
      </c>
      <c r="FZ148" s="13">
        <f>IF('Données projet'!$A$244&gt;35,FZ147+FY148-GH147,IF(A148&lt;'Données projet'!$A$244,$FW$205^A148,IF(A148='Données projet'!$A$244,'Données projet'!$B$244,FZ147+FY148-GH147)))</f>
        <v>358.49999999999989</v>
      </c>
      <c r="GA148" s="18">
        <f>FZ148*VLOOKUP('Données projet'!$B$17,Paramètres!$A$1:$I$89,3,0)*VLOOKUP('Données projet'!$B$17,Paramètres!$A$1:$I$89,5,0)</f>
        <v>346.74119999999988</v>
      </c>
      <c r="GB148" s="14">
        <f t="shared" si="157"/>
        <v>80.891125586888961</v>
      </c>
      <c r="GC148" s="22">
        <f t="shared" si="133"/>
        <v>744.79296706383138</v>
      </c>
      <c r="GD148" s="62">
        <f t="shared" si="134"/>
        <v>1038.1263003971646</v>
      </c>
      <c r="GE148" s="62">
        <f ca="1">AVERAGE(OFFSET($GD$3,0,0,'Données projet'!$E$17+1,1))-AVERAGE(OFFSET($H$3,0,0,'Données projet'!$E$17+1,1))</f>
        <v>562.69380557620775</v>
      </c>
      <c r="GF148" s="62">
        <f t="shared" si="158"/>
        <v>294.45557293177131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>
        <f>GU148*VLOOKUP('Données projet'!$B$18,Paramètres!$A$1:$I$89,3,0)*VLOOKUP('Données projet'!$B$18,Paramètres!$A$1:$I$89,5,0)</f>
        <v>0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363.53487081291541</v>
      </c>
      <c r="HA148" s="62">
        <f t="shared" si="160"/>
        <v>308.1559670593121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997.76289832570069</v>
      </c>
      <c r="S149" s="62">
        <f ca="1">AVERAGE(OFFSET($R$3,0,0,'Données projet'!$E$9+1,1))-AVERAGE(OFFSET($H$3,0,0,'Données projet'!$E$9+1,1))</f>
        <v>529.25712986118265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361.99999999999989</v>
      </c>
      <c r="AJ149" s="14">
        <f>AI149*VLOOKUP('Données projet'!$B$10,Paramètres!$A$1:$I$89,3,0)*VLOOKUP('Données projet'!$B$10,Paramètres!$A$1:$I$89,5,0)</f>
        <v>304.94879999999995</v>
      </c>
      <c r="AK149" s="14">
        <f t="shared" si="143"/>
        <v>72.212932072769945</v>
      </c>
      <c r="AL149" s="22">
        <f t="shared" si="112"/>
        <v>656.89001669340757</v>
      </c>
      <c r="AM149" s="62">
        <f t="shared" si="113"/>
        <v>950.22335002674095</v>
      </c>
      <c r="AN149" s="62">
        <f ca="1">AVERAGE(OFFSET($AM$3,0,0,'Données projet'!$E$10+1,1))-AVERAGE(OFFSET($H$3,0,0,'Données projet'!$E$10+1,1))</f>
        <v>495.77338291316386</v>
      </c>
      <c r="AO149" s="62">
        <f t="shared" si="144"/>
        <v>261.95434270986397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1.1380052455933766E-13</v>
      </c>
      <c r="BF149" s="14">
        <f t="shared" si="145"/>
        <v>1.6840738663456724E-12</v>
      </c>
      <c r="BG149" s="22">
        <f t="shared" si="115"/>
        <v>3.1312978974928925E-12</v>
      </c>
      <c r="BH149" s="62">
        <f t="shared" si="116"/>
        <v>293.33333333333644</v>
      </c>
      <c r="BI149" s="62">
        <f ca="1">AVERAGE(OFFSET($BH$3,0,0,'Données projet'!$E$11+1,1))-AVERAGE(OFFSET($H$3,0,0,'Données projet'!$E$11+1,1))</f>
        <v>320.67081032419122</v>
      </c>
      <c r="BJ149" s="62">
        <f t="shared" si="146"/>
        <v>290.51177680335746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9.6661813313923317E-2</v>
      </c>
      <c r="BR149" s="23">
        <f>EXP(-LN(2)/2)*BR148+(1-EXP(-LN(2)/2))/(LN(2)/2)*BL149*BO149*VLOOKUP('Données projet'!$B$11,Paramètres!$A$1:$I$89,3,0)*0.475*44/12</f>
        <v>3.7371881049955417E-17</v>
      </c>
      <c r="BS149" s="24">
        <f t="shared" si="117"/>
        <v>9.6661813313923359E-2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</v>
      </c>
      <c r="BY149" s="13">
        <f>IF('Données projet'!$A$114&gt;35,BY148+BX149-CG148,IF(A149&lt;'Données projet'!$A$114,$BV$205^A149,IF(A149='Données projet'!$A$114,'Données projet'!$B$114,BY148+BX149-CG148)))</f>
        <v>361.99999999999989</v>
      </c>
      <c r="BZ149" s="14">
        <f>BY149*VLOOKUP('Données projet'!$B$12,Paramètres!$A$1:$I$89,3,0)*VLOOKUP('Données projet'!$B$12,Paramètres!$A$1:$I$89,5,0)</f>
        <v>367.06799999999987</v>
      </c>
      <c r="CA149" s="14">
        <f t="shared" si="147"/>
        <v>85.06719151039799</v>
      </c>
      <c r="CB149" s="22">
        <f t="shared" si="118"/>
        <v>787.46879188060973</v>
      </c>
      <c r="CC149" s="62">
        <f t="shared" si="119"/>
        <v>1080.8021252139431</v>
      </c>
      <c r="CD149" s="62">
        <f ca="1">AVERAGE(OFFSET($CC$3,0,0,'Données projet'!$E$12+1,1))-AVERAGE(OFFSET($H$3,0,0,'Données projet'!$E$12+1,1))</f>
        <v>587.74247372331615</v>
      </c>
      <c r="CE149" s="62">
        <f t="shared" si="148"/>
        <v>306.61893266146666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5.4092197387944907E-14</v>
      </c>
      <c r="CV149" s="14">
        <f t="shared" si="149"/>
        <v>8.7287050538073676E-13</v>
      </c>
      <c r="CW149" s="22">
        <f t="shared" si="121"/>
        <v>1.6144600406554537E-12</v>
      </c>
      <c r="CX149" s="62">
        <f t="shared" si="122"/>
        <v>293.33333333333491</v>
      </c>
      <c r="CY149" s="62">
        <f ca="1">AVERAGE(OFFSET($CX$3,0,0,'Données projet'!$E$13+1,1))-AVERAGE(OFFSET($H$3,0,0,'Données projet'!$E$13+1,1))</f>
        <v>406.24139966722936</v>
      </c>
      <c r="CZ149" s="62">
        <f t="shared" si="150"/>
        <v>295.95724296920577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6.7984728957526396E-14</v>
      </c>
      <c r="DQ149" s="14">
        <f t="shared" si="151"/>
        <v>1.0682447123141398E-12</v>
      </c>
      <c r="DR149" s="22">
        <f t="shared" si="124"/>
        <v>1.978932943548152E-12</v>
      </c>
      <c r="DS149" s="62">
        <f t="shared" si="125"/>
        <v>293.3333333333353</v>
      </c>
      <c r="DT149" s="62">
        <f ca="1">AVERAGE(OFFSET($DS$3,0,0,'Données projet'!$E$14+1,1))-AVERAGE(OFFSET($H$3,0,0,'Données projet'!$E$14+1,1))</f>
        <v>356.42779334565381</v>
      </c>
      <c r="DU149" s="62">
        <f t="shared" si="152"/>
        <v>320.06572891923685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0.15935004985865828</v>
      </c>
      <c r="EC149" s="23">
        <f>EXP(-LN(2)/2)*EC148+(1-EXP(-LN(2)/2))/(LN(2)/2)*DW149*DZ149*VLOOKUP('Données projet'!$B$14,Paramètres!$A$1:$I$89,3,0)*0.475*44/12</f>
        <v>5.8913231891083557E-17</v>
      </c>
      <c r="ED149" s="24">
        <f t="shared" si="126"/>
        <v>0.15935004985865833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-5.6843418860808015E-14</v>
      </c>
      <c r="FF149" s="18">
        <f>FE149*VLOOKUP('Données projet'!$B$16,Paramètres!$A$1:$I$89,3,0)*VLOOKUP('Données projet'!$B$16,Paramètres!$A$1:$I$89,5,0)</f>
        <v>-4.5224624045658861E-14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370.59298168107364</v>
      </c>
      <c r="FK149" s="62">
        <f t="shared" si="156"/>
        <v>404.61777090709171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3.5</v>
      </c>
      <c r="FZ149" s="13">
        <f>IF('Données projet'!$A$244&gt;35,FZ148+FY149-GH148,IF(A149&lt;'Données projet'!$A$244,$FW$205^A149,IF(A149='Données projet'!$A$244,'Données projet'!$B$244,FZ148+FY149-GH148)))</f>
        <v>361.99999999999989</v>
      </c>
      <c r="GA149" s="18">
        <f>FZ149*VLOOKUP('Données projet'!$B$17,Paramètres!$A$1:$I$89,3,0)*VLOOKUP('Données projet'!$B$17,Paramètres!$A$1:$I$89,5,0)</f>
        <v>350.12639999999993</v>
      </c>
      <c r="GB149" s="14">
        <f t="shared" si="157"/>
        <v>81.588537763807025</v>
      </c>
      <c r="GC149" s="22">
        <f t="shared" si="133"/>
        <v>751.90351660529711</v>
      </c>
      <c r="GD149" s="62">
        <f t="shared" si="134"/>
        <v>1045.2368499386305</v>
      </c>
      <c r="GE149" s="62">
        <f ca="1">AVERAGE(OFFSET($GD$3,0,0,'Données projet'!$E$17+1,1))-AVERAGE(OFFSET($H$3,0,0,'Données projet'!$E$17+1,1))</f>
        <v>562.69380557620775</v>
      </c>
      <c r="GF149" s="62">
        <f t="shared" si="158"/>
        <v>294.45557293177131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>
        <f>GU149*VLOOKUP('Données projet'!$B$18,Paramètres!$A$1:$I$89,3,0)*VLOOKUP('Données projet'!$B$18,Paramètres!$A$1:$I$89,5,0)</f>
        <v>0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363.53487081291541</v>
      </c>
      <c r="HA149" s="62">
        <f t="shared" si="160"/>
        <v>308.1559670593121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1004.4222699104819</v>
      </c>
      <c r="S150" s="62">
        <f ca="1">AVERAGE(OFFSET($R$3,0,0,'Données projet'!$E$9+1,1))-AVERAGE(OFFSET($H$3,0,0,'Données projet'!$E$9+1,1))</f>
        <v>529.25712986118265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365.49999999999989</v>
      </c>
      <c r="AJ150" s="14">
        <f>AI150*VLOOKUP('Données projet'!$B$10,Paramètres!$A$1:$I$89,3,0)*VLOOKUP('Données projet'!$B$10,Paramètres!$A$1:$I$89,5,0)</f>
        <v>307.89719999999994</v>
      </c>
      <c r="AK150" s="14">
        <f t="shared" si="143"/>
        <v>72.829508030207904</v>
      </c>
      <c r="AL150" s="22">
        <f t="shared" si="112"/>
        <v>663.0990164859453</v>
      </c>
      <c r="AM150" s="62">
        <f t="shared" si="113"/>
        <v>956.43234981927867</v>
      </c>
      <c r="AN150" s="62">
        <f ca="1">AVERAGE(OFFSET($AM$3,0,0,'Données projet'!$E$10+1,1))-AVERAGE(OFFSET($H$3,0,0,'Données projet'!$E$10+1,1))</f>
        <v>495.77338291316386</v>
      </c>
      <c r="AO150" s="62">
        <f t="shared" si="144"/>
        <v>261.95434270986397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1.1380052455933766E-13</v>
      </c>
      <c r="BF150" s="14">
        <f t="shared" si="145"/>
        <v>1.6840738663456724E-12</v>
      </c>
      <c r="BG150" s="22">
        <f t="shared" si="115"/>
        <v>3.1312978974928925E-12</v>
      </c>
      <c r="BH150" s="62">
        <f t="shared" si="116"/>
        <v>293.33333333333644</v>
      </c>
      <c r="BI150" s="62">
        <f ca="1">AVERAGE(OFFSET($BH$3,0,0,'Données projet'!$E$11+1,1))-AVERAGE(OFFSET($H$3,0,0,'Données projet'!$E$11+1,1))</f>
        <v>320.67081032419122</v>
      </c>
      <c r="BJ150" s="62">
        <f t="shared" si="146"/>
        <v>290.51177680335746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9.401859094563024E-2</v>
      </c>
      <c r="BR150" s="23">
        <f>EXP(-LN(2)/2)*BR149+(1-EXP(-LN(2)/2))/(LN(2)/2)*BL150*BO150*VLOOKUP('Données projet'!$B$11,Paramètres!$A$1:$I$89,3,0)*0.475*44/12</f>
        <v>2.6425910516120507E-17</v>
      </c>
      <c r="BS150" s="24">
        <f t="shared" si="117"/>
        <v>9.4018590945630268E-2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</v>
      </c>
      <c r="BY150" s="13">
        <f>IF('Données projet'!$A$114&gt;35,BY149+BX150-CG149,IF(A150&lt;'Données projet'!$A$114,$BV$205^A150,IF(A150='Données projet'!$A$114,'Données projet'!$B$114,BY149+BX150-CG149)))</f>
        <v>365.49999999999989</v>
      </c>
      <c r="BZ150" s="14">
        <f>BY150*VLOOKUP('Données projet'!$B$12,Paramètres!$A$1:$I$89,3,0)*VLOOKUP('Données projet'!$B$12,Paramètres!$A$1:$I$89,5,0)</f>
        <v>370.6169999999999</v>
      </c>
      <c r="CA150" s="14">
        <f t="shared" si="147"/>
        <v>85.793521040948463</v>
      </c>
      <c r="CB150" s="22">
        <f t="shared" si="118"/>
        <v>794.91499081298491</v>
      </c>
      <c r="CC150" s="62">
        <f t="shared" si="119"/>
        <v>1088.2483241463183</v>
      </c>
      <c r="CD150" s="62">
        <f ca="1">AVERAGE(OFFSET($CC$3,0,0,'Données projet'!$E$12+1,1))-AVERAGE(OFFSET($H$3,0,0,'Données projet'!$E$12+1,1))</f>
        <v>587.74247372331615</v>
      </c>
      <c r="CE150" s="62">
        <f t="shared" si="148"/>
        <v>306.61893266146666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5.4092197387944907E-14</v>
      </c>
      <c r="CV150" s="14">
        <f t="shared" si="149"/>
        <v>8.7287050538073676E-13</v>
      </c>
      <c r="CW150" s="22">
        <f t="shared" si="121"/>
        <v>1.6144600406554537E-12</v>
      </c>
      <c r="CX150" s="62">
        <f t="shared" si="122"/>
        <v>293.33333333333491</v>
      </c>
      <c r="CY150" s="62">
        <f ca="1">AVERAGE(OFFSET($CX$3,0,0,'Données projet'!$E$13+1,1))-AVERAGE(OFFSET($H$3,0,0,'Données projet'!$E$13+1,1))</f>
        <v>406.24139966722936</v>
      </c>
      <c r="CZ150" s="62">
        <f t="shared" si="150"/>
        <v>295.95724296920577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6.7984728957526396E-14</v>
      </c>
      <c r="DQ150" s="14">
        <f t="shared" si="151"/>
        <v>1.0682447123141398E-12</v>
      </c>
      <c r="DR150" s="22">
        <f t="shared" si="124"/>
        <v>1.978932943548152E-12</v>
      </c>
      <c r="DS150" s="62">
        <f t="shared" si="125"/>
        <v>293.3333333333353</v>
      </c>
      <c r="DT150" s="62">
        <f ca="1">AVERAGE(OFFSET($DS$3,0,0,'Données projet'!$E$14+1,1))-AVERAGE(OFFSET($H$3,0,0,'Données projet'!$E$14+1,1))</f>
        <v>356.42779334565381</v>
      </c>
      <c r="DU150" s="62">
        <f t="shared" si="152"/>
        <v>320.06572891923685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0.15499261436541834</v>
      </c>
      <c r="EC150" s="23">
        <f>EXP(-LN(2)/2)*EC149+(1-EXP(-LN(2)/2))/(LN(2)/2)*DW150*DZ150*VLOOKUP('Données projet'!$B$14,Paramètres!$A$1:$I$89,3,0)*0.475*44/12</f>
        <v>4.1657945771800755E-17</v>
      </c>
      <c r="ED150" s="24">
        <f t="shared" si="126"/>
        <v>0.15499261436541839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-5.6843418860808015E-14</v>
      </c>
      <c r="FF150" s="18">
        <f>FE150*VLOOKUP('Données projet'!$B$16,Paramètres!$A$1:$I$89,3,0)*VLOOKUP('Données projet'!$B$16,Paramètres!$A$1:$I$89,5,0)</f>
        <v>-4.5224624045658861E-14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370.59298168107364</v>
      </c>
      <c r="FK150" s="62">
        <f t="shared" si="156"/>
        <v>404.61777090709171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3.5</v>
      </c>
      <c r="FZ150" s="13">
        <f>IF('Données projet'!$A$244&gt;35,FZ149+FY150-GH149,IF(A150&lt;'Données projet'!$A$244,$FW$205^A150,IF(A150='Données projet'!$A$244,'Données projet'!$B$244,FZ149+FY150-GH149)))</f>
        <v>365.49999999999989</v>
      </c>
      <c r="GA150" s="18">
        <f>FZ150*VLOOKUP('Données projet'!$B$17,Paramètres!$A$1:$I$89,3,0)*VLOOKUP('Données projet'!$B$17,Paramètres!$A$1:$I$89,5,0)</f>
        <v>353.51159999999987</v>
      </c>
      <c r="GB150" s="14">
        <f t="shared" si="157"/>
        <v>82.285165491607756</v>
      </c>
      <c r="GC150" s="22">
        <f t="shared" si="133"/>
        <v>759.01269989788318</v>
      </c>
      <c r="GD150" s="62">
        <f t="shared" si="134"/>
        <v>1052.3460332312166</v>
      </c>
      <c r="GE150" s="62">
        <f ca="1">AVERAGE(OFFSET($GD$3,0,0,'Données projet'!$E$17+1,1))-AVERAGE(OFFSET($H$3,0,0,'Données projet'!$E$17+1,1))</f>
        <v>562.69380557620775</v>
      </c>
      <c r="GF150" s="62">
        <f t="shared" si="158"/>
        <v>294.45557293177131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>
        <f>GU150*VLOOKUP('Données projet'!$B$18,Paramètres!$A$1:$I$89,3,0)*VLOOKUP('Données projet'!$B$18,Paramètres!$A$1:$I$89,5,0)</f>
        <v>0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363.53487081291541</v>
      </c>
      <c r="HA150" s="62">
        <f t="shared" si="160"/>
        <v>308.1559670593121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1011.0803671939802</v>
      </c>
      <c r="S151" s="62">
        <f ca="1">AVERAGE(OFFSET($R$3,0,0,'Données projet'!$E$9+1,1))-AVERAGE(OFFSET($H$3,0,0,'Données projet'!$E$9+1,1))</f>
        <v>529.25712986118265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368.99999999999989</v>
      </c>
      <c r="AJ151" s="14">
        <f>AI151*VLOOKUP('Données projet'!$B$10,Paramètres!$A$1:$I$89,3,0)*VLOOKUP('Données projet'!$B$10,Paramètres!$A$1:$I$89,5,0)</f>
        <v>310.84559999999993</v>
      </c>
      <c r="AK151" s="14">
        <f t="shared" si="143"/>
        <v>73.445397100749773</v>
      </c>
      <c r="AL151" s="22">
        <f t="shared" si="112"/>
        <v>669.30681995047235</v>
      </c>
      <c r="AM151" s="62">
        <f t="shared" si="113"/>
        <v>962.6401532838056</v>
      </c>
      <c r="AN151" s="62">
        <f ca="1">AVERAGE(OFFSET($AM$3,0,0,'Données projet'!$E$10+1,1))-AVERAGE(OFFSET($H$3,0,0,'Données projet'!$E$10+1,1))</f>
        <v>495.77338291316386</v>
      </c>
      <c r="AO151" s="62">
        <f t="shared" si="144"/>
        <v>261.95434270986397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1.1380052455933766E-13</v>
      </c>
      <c r="BF151" s="14">
        <f t="shared" si="145"/>
        <v>1.6840738663456724E-12</v>
      </c>
      <c r="BG151" s="22">
        <f t="shared" si="115"/>
        <v>3.1312978974928925E-12</v>
      </c>
      <c r="BH151" s="62">
        <f t="shared" si="116"/>
        <v>293.33333333333644</v>
      </c>
      <c r="BI151" s="62">
        <f ca="1">AVERAGE(OFFSET($BH$3,0,0,'Données projet'!$E$11+1,1))-AVERAGE(OFFSET($H$3,0,0,'Données projet'!$E$11+1,1))</f>
        <v>320.67081032419122</v>
      </c>
      <c r="BJ151" s="62">
        <f t="shared" si="146"/>
        <v>290.51177680335746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9.1447647631999168E-2</v>
      </c>
      <c r="BR151" s="23">
        <f>EXP(-LN(2)/2)*BR150+(1-EXP(-LN(2)/2))/(LN(2)/2)*BL151*BO151*VLOOKUP('Données projet'!$B$11,Paramètres!$A$1:$I$89,3,0)*0.475*44/12</f>
        <v>1.8685940524977709E-17</v>
      </c>
      <c r="BS151" s="24">
        <f t="shared" si="117"/>
        <v>9.1447647631999182E-2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</v>
      </c>
      <c r="BY151" s="13">
        <f>IF('Données projet'!$A$114&gt;35,BY150+BX151-CG150,IF(A151&lt;'Données projet'!$A$114,$BV$205^A151,IF(A151='Données projet'!$A$114,'Données projet'!$B$114,BY150+BX151-CG150)))</f>
        <v>368.99999999999989</v>
      </c>
      <c r="BZ151" s="14">
        <f>BY151*VLOOKUP('Données projet'!$B$12,Paramètres!$A$1:$I$89,3,0)*VLOOKUP('Données projet'!$B$12,Paramètres!$A$1:$I$89,5,0)</f>
        <v>374.16599999999994</v>
      </c>
      <c r="CA151" s="14">
        <f t="shared" si="147"/>
        <v>86.519041415334357</v>
      </c>
      <c r="CB151" s="22">
        <f t="shared" si="118"/>
        <v>802.35978046504044</v>
      </c>
      <c r="CC151" s="62">
        <f t="shared" si="119"/>
        <v>1095.6931137983738</v>
      </c>
      <c r="CD151" s="62">
        <f ca="1">AVERAGE(OFFSET($CC$3,0,0,'Données projet'!$E$12+1,1))-AVERAGE(OFFSET($H$3,0,0,'Données projet'!$E$12+1,1))</f>
        <v>587.74247372331615</v>
      </c>
      <c r="CE151" s="62">
        <f t="shared" si="148"/>
        <v>306.61893266146666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5.4092197387944907E-14</v>
      </c>
      <c r="CV151" s="14">
        <f t="shared" si="149"/>
        <v>8.7287050538073676E-13</v>
      </c>
      <c r="CW151" s="22">
        <f t="shared" si="121"/>
        <v>1.6144600406554537E-12</v>
      </c>
      <c r="CX151" s="62">
        <f t="shared" si="122"/>
        <v>293.33333333333491</v>
      </c>
      <c r="CY151" s="62">
        <f ca="1">AVERAGE(OFFSET($CX$3,0,0,'Données projet'!$E$13+1,1))-AVERAGE(OFFSET($H$3,0,0,'Données projet'!$E$13+1,1))</f>
        <v>406.24139966722936</v>
      </c>
      <c r="CZ151" s="62">
        <f t="shared" si="150"/>
        <v>295.95724296920577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6.7984728957526396E-14</v>
      </c>
      <c r="DQ151" s="14">
        <f t="shared" si="151"/>
        <v>1.0682447123141398E-12</v>
      </c>
      <c r="DR151" s="22">
        <f t="shared" si="124"/>
        <v>1.978932943548152E-12</v>
      </c>
      <c r="DS151" s="62">
        <f t="shared" si="125"/>
        <v>293.3333333333353</v>
      </c>
      <c r="DT151" s="62">
        <f ca="1">AVERAGE(OFFSET($DS$3,0,0,'Données projet'!$E$14+1,1))-AVERAGE(OFFSET($H$3,0,0,'Données projet'!$E$14+1,1))</f>
        <v>356.42779334565381</v>
      </c>
      <c r="DU151" s="62">
        <f t="shared" si="152"/>
        <v>320.06572891923685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0.15075433317488862</v>
      </c>
      <c r="EC151" s="23">
        <f>EXP(-LN(2)/2)*EC150+(1-EXP(-LN(2)/2))/(LN(2)/2)*DW151*DZ151*VLOOKUP('Données projet'!$B$14,Paramètres!$A$1:$I$89,3,0)*0.475*44/12</f>
        <v>2.9456615945541779E-17</v>
      </c>
      <c r="ED151" s="24">
        <f t="shared" si="126"/>
        <v>0.15075433317488865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-5.6843418860808015E-14</v>
      </c>
      <c r="FF151" s="18">
        <f>FE151*VLOOKUP('Données projet'!$B$16,Paramètres!$A$1:$I$89,3,0)*VLOOKUP('Données projet'!$B$16,Paramètres!$A$1:$I$89,5,0)</f>
        <v>-4.5224624045658861E-14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370.59298168107364</v>
      </c>
      <c r="FK151" s="62">
        <f t="shared" si="156"/>
        <v>404.61777090709171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3.5</v>
      </c>
      <c r="FZ151" s="13">
        <f>IF('Données projet'!$A$244&gt;35,FZ150+FY151-GH150,IF(A151&lt;'Données projet'!$A$244,$FW$205^A151,IF(A151='Données projet'!$A$244,'Données projet'!$B$244,FZ150+FY151-GH150)))</f>
        <v>368.99999999999989</v>
      </c>
      <c r="GA151" s="18">
        <f>FZ151*VLOOKUP('Données projet'!$B$17,Paramètres!$A$1:$I$89,3,0)*VLOOKUP('Données projet'!$B$17,Paramètres!$A$1:$I$89,5,0)</f>
        <v>356.89679999999987</v>
      </c>
      <c r="GB151" s="14">
        <f t="shared" si="157"/>
        <v>82.981017152077499</v>
      </c>
      <c r="GC151" s="22">
        <f t="shared" si="133"/>
        <v>766.12053153986801</v>
      </c>
      <c r="GD151" s="62">
        <f t="shared" si="134"/>
        <v>1059.4538648732014</v>
      </c>
      <c r="GE151" s="62">
        <f ca="1">AVERAGE(OFFSET($GD$3,0,0,'Données projet'!$E$17+1,1))-AVERAGE(OFFSET($H$3,0,0,'Données projet'!$E$17+1,1))</f>
        <v>562.69380557620775</v>
      </c>
      <c r="GF151" s="62">
        <f t="shared" si="158"/>
        <v>294.45557293177131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>
        <f>GU151*VLOOKUP('Données projet'!$B$18,Paramètres!$A$1:$I$89,3,0)*VLOOKUP('Données projet'!$B$18,Paramètres!$A$1:$I$89,5,0)</f>
        <v>0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363.53487081291541</v>
      </c>
      <c r="HA151" s="62">
        <f t="shared" si="160"/>
        <v>308.1559670593121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1017.7372036629356</v>
      </c>
      <c r="S152" s="62">
        <f ca="1">AVERAGE(OFFSET($R$3,0,0,'Données projet'!$E$9+1,1))-AVERAGE(OFFSET($H$3,0,0,'Données projet'!$E$9+1,1))</f>
        <v>529.25712986118265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372.49999999999989</v>
      </c>
      <c r="AJ152" s="14">
        <f>AI152*VLOOKUP('Données projet'!$B$10,Paramètres!$A$1:$I$89,3,0)*VLOOKUP('Données projet'!$B$10,Paramètres!$A$1:$I$89,5,0)</f>
        <v>313.79399999999993</v>
      </c>
      <c r="AK152" s="14">
        <f t="shared" si="143"/>
        <v>74.060606554155882</v>
      </c>
      <c r="AL152" s="22">
        <f t="shared" si="112"/>
        <v>675.51343974848794</v>
      </c>
      <c r="AM152" s="62">
        <f t="shared" si="113"/>
        <v>968.84677308182131</v>
      </c>
      <c r="AN152" s="62">
        <f ca="1">AVERAGE(OFFSET($AM$3,0,0,'Données projet'!$E$10+1,1))-AVERAGE(OFFSET($H$3,0,0,'Données projet'!$E$10+1,1))</f>
        <v>495.77338291316386</v>
      </c>
      <c r="AO152" s="62">
        <f t="shared" si="144"/>
        <v>261.95434270986397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1.1380052455933766E-13</v>
      </c>
      <c r="BF152" s="14">
        <f t="shared" si="145"/>
        <v>1.6840738663456724E-12</v>
      </c>
      <c r="BG152" s="22">
        <f t="shared" si="115"/>
        <v>3.1312978974928925E-12</v>
      </c>
      <c r="BH152" s="62">
        <f t="shared" si="116"/>
        <v>293.33333333333644</v>
      </c>
      <c r="BI152" s="62">
        <f ca="1">AVERAGE(OFFSET($BH$3,0,0,'Données projet'!$E$11+1,1))-AVERAGE(OFFSET($H$3,0,0,'Données projet'!$E$11+1,1))</f>
        <v>320.67081032419122</v>
      </c>
      <c r="BJ152" s="62">
        <f t="shared" si="146"/>
        <v>290.51177680335746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8.8947006898479369E-2</v>
      </c>
      <c r="BR152" s="23">
        <f>EXP(-LN(2)/2)*BR151+(1-EXP(-LN(2)/2))/(LN(2)/2)*BL152*BO152*VLOOKUP('Données projet'!$B$11,Paramètres!$A$1:$I$89,3,0)*0.475*44/12</f>
        <v>1.3212955258060254E-17</v>
      </c>
      <c r="BS152" s="24">
        <f t="shared" si="117"/>
        <v>8.8947006898479383E-2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</v>
      </c>
      <c r="BY152" s="13">
        <f>IF('Données projet'!$A$114&gt;35,BY151+BX152-CG151,IF(A152&lt;'Données projet'!$A$114,$BV$205^A152,IF(A152='Données projet'!$A$114,'Données projet'!$B$114,BY151+BX152-CG151)))</f>
        <v>372.49999999999989</v>
      </c>
      <c r="BZ152" s="14">
        <f>BY152*VLOOKUP('Données projet'!$B$12,Paramètres!$A$1:$I$89,3,0)*VLOOKUP('Données projet'!$B$12,Paramètres!$A$1:$I$89,5,0)</f>
        <v>377.71499999999992</v>
      </c>
      <c r="CA152" s="14">
        <f t="shared" si="147"/>
        <v>87.243761197369693</v>
      </c>
      <c r="CB152" s="22">
        <f t="shared" si="118"/>
        <v>809.80317575208539</v>
      </c>
      <c r="CC152" s="62">
        <f t="shared" si="119"/>
        <v>1103.1365090854188</v>
      </c>
      <c r="CD152" s="62">
        <f ca="1">AVERAGE(OFFSET($CC$3,0,0,'Données projet'!$E$12+1,1))-AVERAGE(OFFSET($H$3,0,0,'Données projet'!$E$12+1,1))</f>
        <v>587.74247372331615</v>
      </c>
      <c r="CE152" s="62">
        <f t="shared" si="148"/>
        <v>306.61893266146666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5.4092197387944907E-14</v>
      </c>
      <c r="CV152" s="14">
        <f t="shared" si="149"/>
        <v>8.7287050538073676E-13</v>
      </c>
      <c r="CW152" s="22">
        <f t="shared" si="121"/>
        <v>1.6144600406554537E-12</v>
      </c>
      <c r="CX152" s="62">
        <f t="shared" si="122"/>
        <v>293.33333333333491</v>
      </c>
      <c r="CY152" s="62">
        <f ca="1">AVERAGE(OFFSET($CX$3,0,0,'Données projet'!$E$13+1,1))-AVERAGE(OFFSET($H$3,0,0,'Données projet'!$E$13+1,1))</f>
        <v>406.24139966722936</v>
      </c>
      <c r="CZ152" s="62">
        <f t="shared" si="150"/>
        <v>295.95724296920577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6.7984728957526396E-14</v>
      </c>
      <c r="DQ152" s="14">
        <f t="shared" si="151"/>
        <v>1.0682447123141398E-12</v>
      </c>
      <c r="DR152" s="22">
        <f t="shared" si="124"/>
        <v>1.978932943548152E-12</v>
      </c>
      <c r="DS152" s="62">
        <f t="shared" si="125"/>
        <v>293.3333333333353</v>
      </c>
      <c r="DT152" s="62">
        <f ca="1">AVERAGE(OFFSET($DS$3,0,0,'Données projet'!$E$14+1,1))-AVERAGE(OFFSET($H$3,0,0,'Données projet'!$E$14+1,1))</f>
        <v>356.42779334565381</v>
      </c>
      <c r="DU152" s="62">
        <f t="shared" si="152"/>
        <v>320.06572891923685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0.14663194800639545</v>
      </c>
      <c r="EC152" s="23">
        <f>EXP(-LN(2)/2)*EC151+(1-EXP(-LN(2)/2))/(LN(2)/2)*DW152*DZ152*VLOOKUP('Données projet'!$B$14,Paramètres!$A$1:$I$89,3,0)*0.475*44/12</f>
        <v>2.0828972885900377E-17</v>
      </c>
      <c r="ED152" s="24">
        <f t="shared" si="126"/>
        <v>0.14663194800639548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-5.6843418860808015E-14</v>
      </c>
      <c r="FF152" s="18">
        <f>FE152*VLOOKUP('Données projet'!$B$16,Paramètres!$A$1:$I$89,3,0)*VLOOKUP('Données projet'!$B$16,Paramètres!$A$1:$I$89,5,0)</f>
        <v>-4.5224624045658861E-14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370.59298168107364</v>
      </c>
      <c r="FK152" s="62">
        <f t="shared" si="156"/>
        <v>404.61777090709171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3.5</v>
      </c>
      <c r="FZ152" s="13">
        <f>IF('Données projet'!$A$244&gt;35,FZ151+FY152-GH151,IF(A152&lt;'Données projet'!$A$244,$FW$205^A152,IF(A152='Données projet'!$A$244,'Données projet'!$B$244,FZ151+FY152-GH151)))</f>
        <v>372.49999999999989</v>
      </c>
      <c r="GA152" s="18">
        <f>FZ152*VLOOKUP('Données projet'!$B$17,Paramètres!$A$1:$I$89,3,0)*VLOOKUP('Données projet'!$B$17,Paramètres!$A$1:$I$89,5,0)</f>
        <v>360.28199999999993</v>
      </c>
      <c r="GB152" s="14">
        <f t="shared" si="157"/>
        <v>83.676100958829579</v>
      </c>
      <c r="GC152" s="22">
        <f t="shared" si="133"/>
        <v>773.22702583662794</v>
      </c>
      <c r="GD152" s="62">
        <f t="shared" si="134"/>
        <v>1066.5603591699612</v>
      </c>
      <c r="GE152" s="62">
        <f ca="1">AVERAGE(OFFSET($GD$3,0,0,'Données projet'!$E$17+1,1))-AVERAGE(OFFSET($H$3,0,0,'Données projet'!$E$17+1,1))</f>
        <v>562.69380557620775</v>
      </c>
      <c r="GF152" s="62">
        <f t="shared" si="158"/>
        <v>294.45557293177131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>
        <f>GU152*VLOOKUP('Données projet'!$B$18,Paramètres!$A$1:$I$89,3,0)*VLOOKUP('Données projet'!$B$18,Paramètres!$A$1:$I$89,5,0)</f>
        <v>0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363.53487081291541</v>
      </c>
      <c r="HA152" s="62">
        <f t="shared" si="160"/>
        <v>308.1559670593121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1024.3927925360306</v>
      </c>
      <c r="S153" s="62">
        <f ca="1">AVERAGE(OFFSET($R$3,0,0,'Données projet'!$E$9+1,1))-AVERAGE(OFFSET($H$3,0,0,'Données projet'!$E$9+1,1))</f>
        <v>529.25712986118265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376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375.99999999999989</v>
      </c>
      <c r="AJ153" s="14">
        <f>AI153*VLOOKUP('Données projet'!$B$10,Paramètres!$A$1:$I$89,3,0)*VLOOKUP('Données projet'!$B$10,Paramètres!$A$1:$I$89,5,0)</f>
        <v>316.74239999999998</v>
      </c>
      <c r="AK153" s="14">
        <f t="shared" si="143"/>
        <v>74.675143515695481</v>
      </c>
      <c r="AL153" s="22">
        <f t="shared" si="112"/>
        <v>681.71888828983617</v>
      </c>
      <c r="AM153" s="62">
        <f t="shared" si="113"/>
        <v>975.05222162316954</v>
      </c>
      <c r="AN153" s="62">
        <f ca="1">AVERAGE(OFFSET($AM$3,0,0,'Données projet'!$E$10+1,1))-AVERAGE(OFFSET($H$3,0,0,'Données projet'!$E$10+1,1))</f>
        <v>495.77338291316386</v>
      </c>
      <c r="AO153" s="62">
        <f t="shared" si="144"/>
        <v>261.95434270986397</v>
      </c>
      <c r="AP153" s="16">
        <f>IF(ISNA(VLOOKUP(A153,'Données projet'!$A$61:$I$81,3,0)),0,VLOOKUP(A153,'Données projet'!$A$61:$I$81,3,0))</f>
        <v>10</v>
      </c>
      <c r="AQ153" s="16">
        <f>IF(ISNA(VLOOKUP(A153,'Données projet'!$A$61:$I$81,4,0)),0,VLOOKUP(A153,'Données projet'!$A$61:$I$81,4,0))</f>
        <v>376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1.1380052455933766E-13</v>
      </c>
      <c r="BF153" s="14">
        <f t="shared" si="145"/>
        <v>1.6840738663456724E-12</v>
      </c>
      <c r="BG153" s="22">
        <f t="shared" si="115"/>
        <v>3.1312978974928925E-12</v>
      </c>
      <c r="BH153" s="62">
        <f t="shared" si="116"/>
        <v>293.33333333333644</v>
      </c>
      <c r="BI153" s="62">
        <f ca="1">AVERAGE(OFFSET($BH$3,0,0,'Données projet'!$E$11+1,1))-AVERAGE(OFFSET($H$3,0,0,'Données projet'!$E$11+1,1))</f>
        <v>320.67081032419122</v>
      </c>
      <c r="BJ153" s="62">
        <f t="shared" si="146"/>
        <v>290.51177680335746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8.6514746317320645E-2</v>
      </c>
      <c r="BR153" s="23">
        <f>EXP(-LN(2)/2)*BR152+(1-EXP(-LN(2)/2))/(LN(2)/2)*BL153*BO153*VLOOKUP('Données projet'!$B$11,Paramètres!$A$1:$I$89,3,0)*0.475*44/12</f>
        <v>9.3429702624888543E-18</v>
      </c>
      <c r="BS153" s="24">
        <f t="shared" si="117"/>
        <v>8.6514746317320659E-2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376</v>
      </c>
      <c r="BW153" s="13">
        <f>VLOOKUP(A153,'Données projet'!$A$113:$I$133,9,0)</f>
        <v>3.5</v>
      </c>
      <c r="BX153" s="13">
        <f t="array" ref="BX153">INDEX(BW:BW,MIN(IF(ISNUMBER(BW153:BW349),ROW(BW153:BW349),"")))</f>
        <v>3.5</v>
      </c>
      <c r="BY153" s="13">
        <f>IF('Données projet'!$A$114&gt;35,BY152+BX153-CG152,IF(A153&lt;'Données projet'!$A$114,$BV$205^A153,IF(A153='Données projet'!$A$114,'Données projet'!$B$114,BY152+BX153-CG152)))</f>
        <v>375.99999999999989</v>
      </c>
      <c r="BZ153" s="14">
        <f>BY153*VLOOKUP('Données projet'!$B$12,Paramètres!$A$1:$I$89,3,0)*VLOOKUP('Données projet'!$B$12,Paramètres!$A$1:$I$89,5,0)</f>
        <v>381.2639999999999</v>
      </c>
      <c r="CA153" s="14">
        <f t="shared" si="147"/>
        <v>87.967688780656687</v>
      </c>
      <c r="CB153" s="22">
        <f t="shared" si="118"/>
        <v>817.24519129297687</v>
      </c>
      <c r="CC153" s="62">
        <f t="shared" si="119"/>
        <v>1110.5785246263101</v>
      </c>
      <c r="CD153" s="62">
        <f ca="1">AVERAGE(OFFSET($CC$3,0,0,'Données projet'!$E$12+1,1))-AVERAGE(OFFSET($H$3,0,0,'Données projet'!$E$12+1,1))</f>
        <v>587.74247372331615</v>
      </c>
      <c r="CE153" s="62">
        <f t="shared" si="148"/>
        <v>306.61893266146666</v>
      </c>
      <c r="CF153" s="16">
        <f>IF(ISNA(VLOOKUP(A153,'Données projet'!$A$113:$I$133,3,0)),0,VLOOKUP(A153,'Données projet'!$A$113:$I$133,3,0))</f>
        <v>10</v>
      </c>
      <c r="CG153" s="16">
        <f>IF(ISNA(VLOOKUP(A153,'Données projet'!$A$113:$I$133,4,0)),0,VLOOKUP(A153,'Données projet'!$A$113:$I$133,4,0))</f>
        <v>376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5.4092197387944907E-14</v>
      </c>
      <c r="CV153" s="14">
        <f t="shared" si="149"/>
        <v>8.7287050538073676E-13</v>
      </c>
      <c r="CW153" s="22">
        <f t="shared" si="121"/>
        <v>1.6144600406554537E-12</v>
      </c>
      <c r="CX153" s="62">
        <f t="shared" si="122"/>
        <v>293.33333333333491</v>
      </c>
      <c r="CY153" s="62">
        <f ca="1">AVERAGE(OFFSET($CX$3,0,0,'Données projet'!$E$13+1,1))-AVERAGE(OFFSET($H$3,0,0,'Données projet'!$E$13+1,1))</f>
        <v>406.24139966722936</v>
      </c>
      <c r="CZ153" s="62">
        <f t="shared" si="150"/>
        <v>295.95724296920577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6.7984728957526396E-14</v>
      </c>
      <c r="DQ153" s="14">
        <f t="shared" si="151"/>
        <v>1.0682447123141398E-12</v>
      </c>
      <c r="DR153" s="22">
        <f t="shared" si="124"/>
        <v>1.978932943548152E-12</v>
      </c>
      <c r="DS153" s="62">
        <f t="shared" si="125"/>
        <v>293.3333333333353</v>
      </c>
      <c r="DT153" s="62">
        <f ca="1">AVERAGE(OFFSET($DS$3,0,0,'Données projet'!$E$14+1,1))-AVERAGE(OFFSET($H$3,0,0,'Données projet'!$E$14+1,1))</f>
        <v>356.42779334565381</v>
      </c>
      <c r="DU153" s="62">
        <f t="shared" si="152"/>
        <v>320.06572891923685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0.14262228967712157</v>
      </c>
      <c r="EC153" s="23">
        <f>EXP(-LN(2)/2)*EC152+(1-EXP(-LN(2)/2))/(LN(2)/2)*DW153*DZ153*VLOOKUP('Données projet'!$B$14,Paramètres!$A$1:$I$89,3,0)*0.475*44/12</f>
        <v>1.4728307972770889E-17</v>
      </c>
      <c r="ED153" s="24">
        <f t="shared" si="126"/>
        <v>0.14262228967712159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-5.6843418860808015E-14</v>
      </c>
      <c r="FF153" s="18">
        <f>FE153*VLOOKUP('Données projet'!$B$16,Paramètres!$A$1:$I$89,3,0)*VLOOKUP('Données projet'!$B$16,Paramètres!$A$1:$I$89,5,0)</f>
        <v>-4.5224624045658861E-14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370.59298168107364</v>
      </c>
      <c r="FK153" s="62">
        <f t="shared" si="156"/>
        <v>404.61777090709171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376</v>
      </c>
      <c r="FX153" s="13">
        <f>VLOOKUP(A153,'Données projet'!$A$243:$I$263,9,0)</f>
        <v>3.5</v>
      </c>
      <c r="FY153" s="13">
        <f t="array" ref="FY153">INDEX(FX:FX,MIN(IF(ISNUMBER(FX153:FX349),ROW(FX153:FX349),"")))</f>
        <v>3.5</v>
      </c>
      <c r="FZ153" s="13">
        <f>IF('Données projet'!$A$244&gt;35,FZ152+FY153-GH152,IF(A153&lt;'Données projet'!$A$244,$FW$205^A153,IF(A153='Données projet'!$A$244,'Données projet'!$B$244,FZ152+FY153-GH152)))</f>
        <v>375.99999999999989</v>
      </c>
      <c r="GA153" s="18">
        <f>FZ153*VLOOKUP('Données projet'!$B$17,Paramètres!$A$1:$I$89,3,0)*VLOOKUP('Données projet'!$B$17,Paramètres!$A$1:$I$89,5,0)</f>
        <v>363.66719999999987</v>
      </c>
      <c r="GB153" s="14">
        <f t="shared" si="157"/>
        <v>84.370424962226963</v>
      </c>
      <c r="GC153" s="22">
        <f t="shared" si="133"/>
        <v>780.33219680921172</v>
      </c>
      <c r="GD153" s="62">
        <f t="shared" si="134"/>
        <v>1073.6655301425451</v>
      </c>
      <c r="GE153" s="62">
        <f ca="1">AVERAGE(OFFSET($GD$3,0,0,'Données projet'!$E$17+1,1))-AVERAGE(OFFSET($H$3,0,0,'Données projet'!$E$17+1,1))</f>
        <v>562.69380557620775</v>
      </c>
      <c r="GF153" s="62">
        <f t="shared" si="158"/>
        <v>294.45557293177131</v>
      </c>
      <c r="GG153" s="16">
        <f>IF(ISNA(VLOOKUP(A153,'Données projet'!$A$243:$I$263,3,0)),0,VLOOKUP(A153,'Données projet'!$A$243:$I$263,3,0))</f>
        <v>10</v>
      </c>
      <c r="GH153" s="16">
        <f>IF(ISNA(VLOOKUP(A153,'Données projet'!$A$243:$I$263,4,0)),0,VLOOKUP(A153,'Données projet'!$A$243:$I$263,4,0))</f>
        <v>376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>
        <f>GU153*VLOOKUP('Données projet'!$B$18,Paramètres!$A$1:$I$89,3,0)*VLOOKUP('Données projet'!$B$18,Paramètres!$A$1:$I$89,5,0)</f>
        <v>0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363.53487081291541</v>
      </c>
      <c r="HA153" s="62">
        <f t="shared" si="160"/>
        <v>308.1559670593121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529.25712986118265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-9.5769792096689348E-14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495.77338291316386</v>
      </c>
      <c r="AO154" s="62">
        <f t="shared" si="144"/>
        <v>261.95434270986397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1.1380052455933766E-13</v>
      </c>
      <c r="BF154" s="14">
        <f t="shared" ref="BF154:BF203" si="167">EXP(-1.0587+0.8836*LN(BE154)+0.284)</f>
        <v>1.6840738663456724E-12</v>
      </c>
      <c r="BG154" s="22">
        <f t="shared" ref="BG154:BG203" si="168">(BE154+BF154)*0.475*44/12</f>
        <v>3.1312978974928925E-12</v>
      </c>
      <c r="BH154" s="62">
        <f t="shared" si="116"/>
        <v>293.33333333333644</v>
      </c>
      <c r="BI154" s="62">
        <f ca="1">AVERAGE(OFFSET($BH$3,0,0,'Données projet'!$E$11+1,1))-AVERAGE(OFFSET($H$3,0,0,'Données projet'!$E$11+1,1))</f>
        <v>320.67081032419122</v>
      </c>
      <c r="BJ154" s="62">
        <f t="shared" si="146"/>
        <v>290.51177680335746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8.4148996029660736E-2</v>
      </c>
      <c r="BR154" s="23">
        <f>EXP(-LN(2)/2)*BR153+(1-EXP(-LN(2)/2))/(LN(2)/2)*BL154*BO154*VLOOKUP('Données projet'!$B$11,Paramètres!$A$1:$I$89,3,0)*0.475*44/12</f>
        <v>6.6064776290301269E-18</v>
      </c>
      <c r="BS154" s="24">
        <f t="shared" ref="BS154:BS203" si="169">SUM(BP154:BR154)</f>
        <v>8.4148996029660736E-2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-1.1527845344971866E-13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587.74247372331615</v>
      </c>
      <c r="CE154" s="62">
        <f t="shared" si="148"/>
        <v>306.61893266146666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5.4092197387944907E-14</v>
      </c>
      <c r="CV154" s="14">
        <f t="shared" ref="CV154:CV203" si="173">EXP(-1.0587+0.8836*LN(CU154)+0.284)</f>
        <v>8.7287050538073676E-13</v>
      </c>
      <c r="CW154" s="22">
        <f t="shared" ref="CW154:CW203" si="174">(CU154+CV154)*0.475*44/12</f>
        <v>1.6144600406554537E-12</v>
      </c>
      <c r="CX154" s="62">
        <f t="shared" si="122"/>
        <v>293.33333333333491</v>
      </c>
      <c r="CY154" s="62">
        <f ca="1">AVERAGE(OFFSET($CX$3,0,0,'Données projet'!$E$13+1,1))-AVERAGE(OFFSET($H$3,0,0,'Données projet'!$E$13+1,1))</f>
        <v>406.24139966722936</v>
      </c>
      <c r="CZ154" s="62">
        <f t="shared" si="150"/>
        <v>295.95724296920577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6.7984728957526396E-14</v>
      </c>
      <c r="DQ154" s="14">
        <f t="shared" ref="DQ154:DQ203" si="176">EXP(-1.0587+0.8836*LN(DP154)+0.284)</f>
        <v>1.0682447123141398E-12</v>
      </c>
      <c r="DR154" s="22">
        <f t="shared" ref="DR154:DR203" si="177">(DP154+DQ154)*0.475*44/12</f>
        <v>1.978932943548152E-12</v>
      </c>
      <c r="DS154" s="62">
        <f t="shared" si="125"/>
        <v>293.3333333333353</v>
      </c>
      <c r="DT154" s="62">
        <f ca="1">AVERAGE(OFFSET($DS$3,0,0,'Données projet'!$E$14+1,1))-AVERAGE(OFFSET($H$3,0,0,'Données projet'!$E$14+1,1))</f>
        <v>356.42779334565381</v>
      </c>
      <c r="DU154" s="62">
        <f t="shared" si="152"/>
        <v>320.06572891923685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0.13872227566572043</v>
      </c>
      <c r="EC154" s="23">
        <f>EXP(-LN(2)/2)*EC153+(1-EXP(-LN(2)/2))/(LN(2)/2)*DW154*DZ154*VLOOKUP('Données projet'!$B$14,Paramètres!$A$1:$I$89,3,0)*0.475*44/12</f>
        <v>1.0414486442950189E-17</v>
      </c>
      <c r="ED154" s="24">
        <f t="shared" ref="ED154:ED203" si="178">SUM(EA154:EC154)</f>
        <v>0.13872227566572043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-5.6843418860808015E-14</v>
      </c>
      <c r="FF154" s="18">
        <f>FE154*VLOOKUP('Données projet'!$B$16,Paramètres!$A$1:$I$89,3,0)*VLOOKUP('Données projet'!$B$16,Paramètres!$A$1:$I$89,5,0)</f>
        <v>-4.5224624045658861E-14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370.59298168107364</v>
      </c>
      <c r="FK154" s="62">
        <f t="shared" si="156"/>
        <v>404.61777090709171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-1.0995790944434703E-13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562.69380557620775</v>
      </c>
      <c r="GF154" s="62">
        <f t="shared" si="158"/>
        <v>294.45557293177131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>
        <f>GU154*VLOOKUP('Données projet'!$B$18,Paramètres!$A$1:$I$89,3,0)*VLOOKUP('Données projet'!$B$18,Paramètres!$A$1:$I$89,5,0)</f>
        <v>0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363.53487081291541</v>
      </c>
      <c r="HA154" s="62">
        <f t="shared" si="160"/>
        <v>308.1559670593121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529.25712986118265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-9.5769792096689348E-14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495.77338291316386</v>
      </c>
      <c r="AO155" s="62">
        <f t="shared" si="144"/>
        <v>261.95434270986397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1.1380052455933766E-13</v>
      </c>
      <c r="BF155" s="14">
        <f t="shared" si="167"/>
        <v>1.6840738663456724E-12</v>
      </c>
      <c r="BG155" s="22">
        <f t="shared" si="168"/>
        <v>3.1312978974928925E-12</v>
      </c>
      <c r="BH155" s="62">
        <f t="shared" si="116"/>
        <v>293.33333333333644</v>
      </c>
      <c r="BI155" s="62">
        <f ca="1">AVERAGE(OFFSET($BH$3,0,0,'Données projet'!$E$11+1,1))-AVERAGE(OFFSET($H$3,0,0,'Données projet'!$E$11+1,1))</f>
        <v>320.67081032419122</v>
      </c>
      <c r="BJ155" s="62">
        <f t="shared" si="146"/>
        <v>290.51177680335746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8.1847937308026281E-2</v>
      </c>
      <c r="BR155" s="23">
        <f>EXP(-LN(2)/2)*BR154+(1-EXP(-LN(2)/2))/(LN(2)/2)*BL155*BO155*VLOOKUP('Données projet'!$B$11,Paramètres!$A$1:$I$89,3,0)*0.475*44/12</f>
        <v>4.6714851312444271E-18</v>
      </c>
      <c r="BS155" s="24">
        <f t="shared" si="169"/>
        <v>8.1847937308026281E-2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-1.1527845344971866E-13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587.74247372331615</v>
      </c>
      <c r="CE155" s="62">
        <f t="shared" si="148"/>
        <v>306.61893266146666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5.4092197387944907E-14</v>
      </c>
      <c r="CV155" s="14">
        <f t="shared" si="173"/>
        <v>8.7287050538073676E-13</v>
      </c>
      <c r="CW155" s="22">
        <f t="shared" si="174"/>
        <v>1.6144600406554537E-12</v>
      </c>
      <c r="CX155" s="62">
        <f t="shared" si="122"/>
        <v>293.33333333333491</v>
      </c>
      <c r="CY155" s="62">
        <f ca="1">AVERAGE(OFFSET($CX$3,0,0,'Données projet'!$E$13+1,1))-AVERAGE(OFFSET($H$3,0,0,'Données projet'!$E$13+1,1))</f>
        <v>406.24139966722936</v>
      </c>
      <c r="CZ155" s="62">
        <f t="shared" si="150"/>
        <v>295.95724296920577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6.7984728957526396E-14</v>
      </c>
      <c r="DQ155" s="14">
        <f t="shared" si="176"/>
        <v>1.0682447123141398E-12</v>
      </c>
      <c r="DR155" s="22">
        <f t="shared" si="177"/>
        <v>1.978932943548152E-12</v>
      </c>
      <c r="DS155" s="62">
        <f t="shared" si="125"/>
        <v>293.3333333333353</v>
      </c>
      <c r="DT155" s="62">
        <f ca="1">AVERAGE(OFFSET($DS$3,0,0,'Données projet'!$E$14+1,1))-AVERAGE(OFFSET($H$3,0,0,'Données projet'!$E$14+1,1))</f>
        <v>356.42779334565381</v>
      </c>
      <c r="DU155" s="62">
        <f t="shared" si="152"/>
        <v>320.06572891923685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0.13492890774255389</v>
      </c>
      <c r="EC155" s="23">
        <f>EXP(-LN(2)/2)*EC154+(1-EXP(-LN(2)/2))/(LN(2)/2)*DW155*DZ155*VLOOKUP('Données projet'!$B$14,Paramètres!$A$1:$I$89,3,0)*0.475*44/12</f>
        <v>7.3641539863854446E-18</v>
      </c>
      <c r="ED155" s="24">
        <f t="shared" si="178"/>
        <v>0.13492890774255389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-5.6843418860808015E-14</v>
      </c>
      <c r="FF155" s="18">
        <f>FE155*VLOOKUP('Données projet'!$B$16,Paramètres!$A$1:$I$89,3,0)*VLOOKUP('Données projet'!$B$16,Paramètres!$A$1:$I$89,5,0)</f>
        <v>-4.5224624045658861E-14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370.59298168107364</v>
      </c>
      <c r="FK155" s="62">
        <f t="shared" si="156"/>
        <v>404.61777090709171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-1.0995790944434703E-13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562.69380557620775</v>
      </c>
      <c r="GF155" s="62">
        <f t="shared" si="158"/>
        <v>294.45557293177131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>
        <f>GU155*VLOOKUP('Données projet'!$B$18,Paramètres!$A$1:$I$89,3,0)*VLOOKUP('Données projet'!$B$18,Paramètres!$A$1:$I$89,5,0)</f>
        <v>0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363.53487081291541</v>
      </c>
      <c r="HA155" s="62">
        <f t="shared" si="160"/>
        <v>308.1559670593121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529.25712986118265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-9.5769792096689348E-14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495.77338291316386</v>
      </c>
      <c r="AO156" s="62">
        <f t="shared" si="144"/>
        <v>261.95434270986397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1.1380052455933766E-13</v>
      </c>
      <c r="BF156" s="14">
        <f t="shared" si="167"/>
        <v>1.6840738663456724E-12</v>
      </c>
      <c r="BG156" s="22">
        <f t="shared" si="168"/>
        <v>3.1312978974928925E-12</v>
      </c>
      <c r="BH156" s="62">
        <f t="shared" si="116"/>
        <v>293.33333333333644</v>
      </c>
      <c r="BI156" s="62">
        <f ca="1">AVERAGE(OFFSET($BH$3,0,0,'Données projet'!$E$11+1,1))-AVERAGE(OFFSET($H$3,0,0,'Données projet'!$E$11+1,1))</f>
        <v>320.67081032419122</v>
      </c>
      <c r="BJ156" s="62">
        <f t="shared" si="146"/>
        <v>290.51177680335746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7.960980115814234E-2</v>
      </c>
      <c r="BR156" s="23">
        <f>EXP(-LN(2)/2)*BR155+(1-EXP(-LN(2)/2))/(LN(2)/2)*BL156*BO156*VLOOKUP('Données projet'!$B$11,Paramètres!$A$1:$I$89,3,0)*0.475*44/12</f>
        <v>3.3032388145150634E-18</v>
      </c>
      <c r="BS156" s="24">
        <f t="shared" si="169"/>
        <v>7.960980115814234E-2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-1.1527845344971866E-13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587.74247372331615</v>
      </c>
      <c r="CE156" s="62">
        <f t="shared" si="148"/>
        <v>306.61893266146666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5.4092197387944907E-14</v>
      </c>
      <c r="CV156" s="14">
        <f t="shared" si="173"/>
        <v>8.7287050538073676E-13</v>
      </c>
      <c r="CW156" s="22">
        <f t="shared" si="174"/>
        <v>1.6144600406554537E-12</v>
      </c>
      <c r="CX156" s="62">
        <f t="shared" si="122"/>
        <v>293.33333333333491</v>
      </c>
      <c r="CY156" s="62">
        <f ca="1">AVERAGE(OFFSET($CX$3,0,0,'Données projet'!$E$13+1,1))-AVERAGE(OFFSET($H$3,0,0,'Données projet'!$E$13+1,1))</f>
        <v>406.24139966722936</v>
      </c>
      <c r="CZ156" s="62">
        <f t="shared" si="150"/>
        <v>295.95724296920577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6.7984728957526396E-14</v>
      </c>
      <c r="DQ156" s="14">
        <f t="shared" si="176"/>
        <v>1.0682447123141398E-12</v>
      </c>
      <c r="DR156" s="22">
        <f t="shared" si="177"/>
        <v>1.978932943548152E-12</v>
      </c>
      <c r="DS156" s="62">
        <f t="shared" si="125"/>
        <v>293.3333333333353</v>
      </c>
      <c r="DT156" s="62">
        <f ca="1">AVERAGE(OFFSET($DS$3,0,0,'Données projet'!$E$14+1,1))-AVERAGE(OFFSET($H$3,0,0,'Données projet'!$E$14+1,1))</f>
        <v>356.42779334565381</v>
      </c>
      <c r="DU156" s="62">
        <f t="shared" si="152"/>
        <v>320.06572891923685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0.13123926966473087</v>
      </c>
      <c r="EC156" s="23">
        <f>EXP(-LN(2)/2)*EC155+(1-EXP(-LN(2)/2))/(LN(2)/2)*DW156*DZ156*VLOOKUP('Données projet'!$B$14,Paramètres!$A$1:$I$89,3,0)*0.475*44/12</f>
        <v>5.2072432214750943E-18</v>
      </c>
      <c r="ED156" s="24">
        <f t="shared" si="178"/>
        <v>0.13123926966473087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-5.6843418860808015E-14</v>
      </c>
      <c r="FF156" s="18">
        <f>FE156*VLOOKUP('Données projet'!$B$16,Paramètres!$A$1:$I$89,3,0)*VLOOKUP('Données projet'!$B$16,Paramètres!$A$1:$I$89,5,0)</f>
        <v>-4.5224624045658861E-14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370.59298168107364</v>
      </c>
      <c r="FK156" s="62">
        <f t="shared" si="156"/>
        <v>404.61777090709171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-1.0995790944434703E-13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562.69380557620775</v>
      </c>
      <c r="GF156" s="62">
        <f t="shared" si="158"/>
        <v>294.45557293177131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>
        <f>GU156*VLOOKUP('Données projet'!$B$18,Paramètres!$A$1:$I$89,3,0)*VLOOKUP('Données projet'!$B$18,Paramètres!$A$1:$I$89,5,0)</f>
        <v>0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363.53487081291541</v>
      </c>
      <c r="HA156" s="62">
        <f t="shared" si="160"/>
        <v>308.1559670593121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529.25712986118265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-9.5769792096689348E-14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495.77338291316386</v>
      </c>
      <c r="AO157" s="62">
        <f t="shared" si="144"/>
        <v>261.95434270986397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1.1380052455933766E-13</v>
      </c>
      <c r="BF157" s="14">
        <f t="shared" si="167"/>
        <v>1.6840738663456724E-12</v>
      </c>
      <c r="BG157" s="22">
        <f t="shared" si="168"/>
        <v>3.1312978974928925E-12</v>
      </c>
      <c r="BH157" s="62">
        <f t="shared" si="116"/>
        <v>293.33333333333644</v>
      </c>
      <c r="BI157" s="62">
        <f ca="1">AVERAGE(OFFSET($BH$3,0,0,'Données projet'!$E$11+1,1))-AVERAGE(OFFSET($H$3,0,0,'Données projet'!$E$11+1,1))</f>
        <v>320.67081032419122</v>
      </c>
      <c r="BJ157" s="62">
        <f t="shared" si="146"/>
        <v>290.51177680335746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7.7432866958975444E-2</v>
      </c>
      <c r="BR157" s="23">
        <f>EXP(-LN(2)/2)*BR156+(1-EXP(-LN(2)/2))/(LN(2)/2)*BL157*BO157*VLOOKUP('Données projet'!$B$11,Paramètres!$A$1:$I$89,3,0)*0.475*44/12</f>
        <v>2.3357425656222136E-18</v>
      </c>
      <c r="BS157" s="24">
        <f t="shared" si="169"/>
        <v>7.7432866958975444E-2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-1.1527845344971866E-13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587.74247372331615</v>
      </c>
      <c r="CE157" s="62">
        <f t="shared" si="148"/>
        <v>306.61893266146666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5.4092197387944907E-14</v>
      </c>
      <c r="CV157" s="14">
        <f t="shared" si="173"/>
        <v>8.7287050538073676E-13</v>
      </c>
      <c r="CW157" s="22">
        <f t="shared" si="174"/>
        <v>1.6144600406554537E-12</v>
      </c>
      <c r="CX157" s="62">
        <f t="shared" si="122"/>
        <v>293.33333333333491</v>
      </c>
      <c r="CY157" s="62">
        <f ca="1">AVERAGE(OFFSET($CX$3,0,0,'Données projet'!$E$13+1,1))-AVERAGE(OFFSET($H$3,0,0,'Données projet'!$E$13+1,1))</f>
        <v>406.24139966722936</v>
      </c>
      <c r="CZ157" s="62">
        <f t="shared" si="150"/>
        <v>295.95724296920577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6.7984728957526396E-14</v>
      </c>
      <c r="DQ157" s="14">
        <f t="shared" si="176"/>
        <v>1.0682447123141398E-12</v>
      </c>
      <c r="DR157" s="22">
        <f t="shared" si="177"/>
        <v>1.978932943548152E-12</v>
      </c>
      <c r="DS157" s="62">
        <f t="shared" si="125"/>
        <v>293.3333333333353</v>
      </c>
      <c r="DT157" s="62">
        <f ca="1">AVERAGE(OFFSET($DS$3,0,0,'Données projet'!$E$14+1,1))-AVERAGE(OFFSET($H$3,0,0,'Données projet'!$E$14+1,1))</f>
        <v>356.42779334565381</v>
      </c>
      <c r="DU157" s="62">
        <f t="shared" si="152"/>
        <v>320.06572891923685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0.12765052493417556</v>
      </c>
      <c r="EC157" s="23">
        <f>EXP(-LN(2)/2)*EC156+(1-EXP(-LN(2)/2))/(LN(2)/2)*DW157*DZ157*VLOOKUP('Données projet'!$B$14,Paramètres!$A$1:$I$89,3,0)*0.475*44/12</f>
        <v>3.6820769931927223E-18</v>
      </c>
      <c r="ED157" s="24">
        <f t="shared" si="178"/>
        <v>0.12765052493417556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-5.6843418860808015E-14</v>
      </c>
      <c r="FF157" s="18">
        <f>FE157*VLOOKUP('Données projet'!$B$16,Paramètres!$A$1:$I$89,3,0)*VLOOKUP('Données projet'!$B$16,Paramètres!$A$1:$I$89,5,0)</f>
        <v>-4.5224624045658861E-14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370.59298168107364</v>
      </c>
      <c r="FK157" s="62">
        <f t="shared" si="156"/>
        <v>404.61777090709171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-1.0995790944434703E-13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562.69380557620775</v>
      </c>
      <c r="GF157" s="62">
        <f t="shared" si="158"/>
        <v>294.45557293177131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>
        <f>GU157*VLOOKUP('Données projet'!$B$18,Paramètres!$A$1:$I$89,3,0)*VLOOKUP('Données projet'!$B$18,Paramètres!$A$1:$I$89,5,0)</f>
        <v>0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363.53487081291541</v>
      </c>
      <c r="HA157" s="62">
        <f t="shared" si="160"/>
        <v>308.1559670593121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529.25712986118265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-9.5769792096689348E-14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495.77338291316386</v>
      </c>
      <c r="AO158" s="62">
        <f t="shared" si="144"/>
        <v>261.95434270986397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1.1380052455933766E-13</v>
      </c>
      <c r="BF158" s="14">
        <f t="shared" si="167"/>
        <v>1.6840738663456724E-12</v>
      </c>
      <c r="BG158" s="22">
        <f t="shared" si="168"/>
        <v>3.1312978974928925E-12</v>
      </c>
      <c r="BH158" s="62">
        <f t="shared" si="116"/>
        <v>293.33333333333644</v>
      </c>
      <c r="BI158" s="62">
        <f ca="1">AVERAGE(OFFSET($BH$3,0,0,'Données projet'!$E$11+1,1))-AVERAGE(OFFSET($H$3,0,0,'Données projet'!$E$11+1,1))</f>
        <v>320.67081032419122</v>
      </c>
      <c r="BJ158" s="62">
        <f t="shared" si="146"/>
        <v>290.51177680335746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7.5315461139964762E-2</v>
      </c>
      <c r="BR158" s="23">
        <f>EXP(-LN(2)/2)*BR157+(1-EXP(-LN(2)/2))/(LN(2)/2)*BL158*BO158*VLOOKUP('Données projet'!$B$11,Paramètres!$A$1:$I$89,3,0)*0.475*44/12</f>
        <v>1.6516194072575317E-18</v>
      </c>
      <c r="BS158" s="24">
        <f t="shared" si="169"/>
        <v>7.5315461139964762E-2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-1.1527845344971866E-13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587.74247372331615</v>
      </c>
      <c r="CE158" s="62">
        <f t="shared" si="148"/>
        <v>306.61893266146666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5.4092197387944907E-14</v>
      </c>
      <c r="CV158" s="14">
        <f t="shared" si="173"/>
        <v>8.7287050538073676E-13</v>
      </c>
      <c r="CW158" s="22">
        <f t="shared" si="174"/>
        <v>1.6144600406554537E-12</v>
      </c>
      <c r="CX158" s="62">
        <f t="shared" si="122"/>
        <v>293.33333333333491</v>
      </c>
      <c r="CY158" s="62">
        <f ca="1">AVERAGE(OFFSET($CX$3,0,0,'Données projet'!$E$13+1,1))-AVERAGE(OFFSET($H$3,0,0,'Données projet'!$E$13+1,1))</f>
        <v>406.24139966722936</v>
      </c>
      <c r="CZ158" s="62">
        <f t="shared" si="150"/>
        <v>295.95724296920577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6.7984728957526396E-14</v>
      </c>
      <c r="DQ158" s="14">
        <f t="shared" si="176"/>
        <v>1.0682447123141398E-12</v>
      </c>
      <c r="DR158" s="22">
        <f t="shared" si="177"/>
        <v>1.978932943548152E-12</v>
      </c>
      <c r="DS158" s="62">
        <f t="shared" si="125"/>
        <v>293.3333333333353</v>
      </c>
      <c r="DT158" s="62">
        <f ca="1">AVERAGE(OFFSET($DS$3,0,0,'Données projet'!$E$14+1,1))-AVERAGE(OFFSET($H$3,0,0,'Données projet'!$E$14+1,1))</f>
        <v>356.42779334565381</v>
      </c>
      <c r="DU158" s="62">
        <f t="shared" si="152"/>
        <v>320.06572891923685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0.12415991461700117</v>
      </c>
      <c r="EC158" s="23">
        <f>EXP(-LN(2)/2)*EC157+(1-EXP(-LN(2)/2))/(LN(2)/2)*DW158*DZ158*VLOOKUP('Données projet'!$B$14,Paramètres!$A$1:$I$89,3,0)*0.475*44/12</f>
        <v>2.6036216107375472E-18</v>
      </c>
      <c r="ED158" s="24">
        <f t="shared" si="178"/>
        <v>0.12415991461700117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-5.6843418860808015E-14</v>
      </c>
      <c r="FF158" s="18">
        <f>FE158*VLOOKUP('Données projet'!$B$16,Paramètres!$A$1:$I$89,3,0)*VLOOKUP('Données projet'!$B$16,Paramètres!$A$1:$I$89,5,0)</f>
        <v>-4.5224624045658861E-14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370.59298168107364</v>
      </c>
      <c r="FK158" s="62">
        <f t="shared" si="156"/>
        <v>404.61777090709171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-1.0995790944434703E-13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562.69380557620775</v>
      </c>
      <c r="GF158" s="62">
        <f t="shared" si="158"/>
        <v>294.45557293177131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>
        <f>GU158*VLOOKUP('Données projet'!$B$18,Paramètres!$A$1:$I$89,3,0)*VLOOKUP('Données projet'!$B$18,Paramètres!$A$1:$I$89,5,0)</f>
        <v>0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363.53487081291541</v>
      </c>
      <c r="HA158" s="62">
        <f t="shared" si="160"/>
        <v>308.1559670593121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529.25712986118265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-9.5769792096689348E-14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495.77338291316386</v>
      </c>
      <c r="AO159" s="62">
        <f t="shared" si="144"/>
        <v>261.95434270986397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1.1380052455933766E-13</v>
      </c>
      <c r="BF159" s="14">
        <f t="shared" si="167"/>
        <v>1.6840738663456724E-12</v>
      </c>
      <c r="BG159" s="22">
        <f t="shared" si="168"/>
        <v>3.1312978974928925E-12</v>
      </c>
      <c r="BH159" s="62">
        <f t="shared" si="116"/>
        <v>293.33333333333644</v>
      </c>
      <c r="BI159" s="62">
        <f ca="1">AVERAGE(OFFSET($BH$3,0,0,'Données projet'!$E$11+1,1))-AVERAGE(OFFSET($H$3,0,0,'Données projet'!$E$11+1,1))</f>
        <v>320.67081032419122</v>
      </c>
      <c r="BJ159" s="62">
        <f t="shared" si="146"/>
        <v>290.51177680335746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7.3255955894424463E-2</v>
      </c>
      <c r="BR159" s="23">
        <f>EXP(-LN(2)/2)*BR158+(1-EXP(-LN(2)/2))/(LN(2)/2)*BL159*BO159*VLOOKUP('Données projet'!$B$11,Paramètres!$A$1:$I$89,3,0)*0.475*44/12</f>
        <v>1.1678712828111068E-18</v>
      </c>
      <c r="BS159" s="24">
        <f t="shared" si="169"/>
        <v>7.3255955894424463E-2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-1.1527845344971866E-13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587.74247372331615</v>
      </c>
      <c r="CE159" s="62">
        <f t="shared" si="148"/>
        <v>306.61893266146666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5.4092197387944907E-14</v>
      </c>
      <c r="CV159" s="14">
        <f t="shared" si="173"/>
        <v>8.7287050538073676E-13</v>
      </c>
      <c r="CW159" s="22">
        <f t="shared" si="174"/>
        <v>1.6144600406554537E-12</v>
      </c>
      <c r="CX159" s="62">
        <f t="shared" si="122"/>
        <v>293.33333333333491</v>
      </c>
      <c r="CY159" s="62">
        <f ca="1">AVERAGE(OFFSET($CX$3,0,0,'Données projet'!$E$13+1,1))-AVERAGE(OFFSET($H$3,0,0,'Données projet'!$E$13+1,1))</f>
        <v>406.24139966722936</v>
      </c>
      <c r="CZ159" s="62">
        <f t="shared" si="150"/>
        <v>295.95724296920577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6.7984728957526396E-14</v>
      </c>
      <c r="DQ159" s="14">
        <f t="shared" si="176"/>
        <v>1.0682447123141398E-12</v>
      </c>
      <c r="DR159" s="22">
        <f t="shared" si="177"/>
        <v>1.978932943548152E-12</v>
      </c>
      <c r="DS159" s="62">
        <f t="shared" si="125"/>
        <v>293.3333333333353</v>
      </c>
      <c r="DT159" s="62">
        <f ca="1">AVERAGE(OFFSET($DS$3,0,0,'Données projet'!$E$14+1,1))-AVERAGE(OFFSET($H$3,0,0,'Données projet'!$E$14+1,1))</f>
        <v>356.42779334565381</v>
      </c>
      <c r="DU159" s="62">
        <f t="shared" si="152"/>
        <v>320.06572891923685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0.12076475522251313</v>
      </c>
      <c r="EC159" s="23">
        <f>EXP(-LN(2)/2)*EC158+(1-EXP(-LN(2)/2))/(LN(2)/2)*DW159*DZ159*VLOOKUP('Données projet'!$B$14,Paramètres!$A$1:$I$89,3,0)*0.475*44/12</f>
        <v>1.8410384965963612E-18</v>
      </c>
      <c r="ED159" s="24">
        <f t="shared" si="178"/>
        <v>0.12076475522251313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-5.6843418860808015E-14</v>
      </c>
      <c r="FF159" s="18">
        <f>FE159*VLOOKUP('Données projet'!$B$16,Paramètres!$A$1:$I$89,3,0)*VLOOKUP('Données projet'!$B$16,Paramètres!$A$1:$I$89,5,0)</f>
        <v>-4.5224624045658861E-14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370.59298168107364</v>
      </c>
      <c r="FK159" s="62">
        <f t="shared" si="156"/>
        <v>404.61777090709171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-1.0995790944434703E-13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562.69380557620775</v>
      </c>
      <c r="GF159" s="62">
        <f t="shared" si="158"/>
        <v>294.45557293177131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>
        <f>GU159*VLOOKUP('Données projet'!$B$18,Paramètres!$A$1:$I$89,3,0)*VLOOKUP('Données projet'!$B$18,Paramètres!$A$1:$I$89,5,0)</f>
        <v>0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363.53487081291541</v>
      </c>
      <c r="HA159" s="62">
        <f t="shared" si="160"/>
        <v>308.1559670593121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529.25712986118265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-9.5769792096689348E-14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495.77338291316386</v>
      </c>
      <c r="AO160" s="62">
        <f t="shared" si="144"/>
        <v>261.95434270986397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1.1380052455933766E-13</v>
      </c>
      <c r="BF160" s="14">
        <f t="shared" si="167"/>
        <v>1.6840738663456724E-12</v>
      </c>
      <c r="BG160" s="22">
        <f t="shared" si="168"/>
        <v>3.1312978974928925E-12</v>
      </c>
      <c r="BH160" s="62">
        <f t="shared" si="116"/>
        <v>293.33333333333644</v>
      </c>
      <c r="BI160" s="62">
        <f ca="1">AVERAGE(OFFSET($BH$3,0,0,'Données projet'!$E$11+1,1))-AVERAGE(OFFSET($H$3,0,0,'Données projet'!$E$11+1,1))</f>
        <v>320.67081032419122</v>
      </c>
      <c r="BJ160" s="62">
        <f t="shared" si="146"/>
        <v>290.51177680335746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7.1252767928128138E-2</v>
      </c>
      <c r="BR160" s="23">
        <f>EXP(-LN(2)/2)*BR159+(1-EXP(-LN(2)/2))/(LN(2)/2)*BL160*BO160*VLOOKUP('Données projet'!$B$11,Paramètres!$A$1:$I$89,3,0)*0.475*44/12</f>
        <v>8.2580970362876586E-19</v>
      </c>
      <c r="BS160" s="24">
        <f t="shared" si="169"/>
        <v>7.1252767928128138E-2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-1.1527845344971866E-13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587.74247372331615</v>
      </c>
      <c r="CE160" s="62">
        <f t="shared" si="148"/>
        <v>306.61893266146666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5.4092197387944907E-14</v>
      </c>
      <c r="CV160" s="14">
        <f t="shared" si="173"/>
        <v>8.7287050538073676E-13</v>
      </c>
      <c r="CW160" s="22">
        <f t="shared" si="174"/>
        <v>1.6144600406554537E-12</v>
      </c>
      <c r="CX160" s="62">
        <f t="shared" si="122"/>
        <v>293.33333333333491</v>
      </c>
      <c r="CY160" s="62">
        <f ca="1">AVERAGE(OFFSET($CX$3,0,0,'Données projet'!$E$13+1,1))-AVERAGE(OFFSET($H$3,0,0,'Données projet'!$E$13+1,1))</f>
        <v>406.24139966722936</v>
      </c>
      <c r="CZ160" s="62">
        <f t="shared" si="150"/>
        <v>295.95724296920577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6.7984728957526396E-14</v>
      </c>
      <c r="DQ160" s="14">
        <f t="shared" si="176"/>
        <v>1.0682447123141398E-12</v>
      </c>
      <c r="DR160" s="22">
        <f t="shared" si="177"/>
        <v>1.978932943548152E-12</v>
      </c>
      <c r="DS160" s="62">
        <f t="shared" si="125"/>
        <v>293.3333333333353</v>
      </c>
      <c r="DT160" s="62">
        <f ca="1">AVERAGE(OFFSET($DS$3,0,0,'Données projet'!$E$14+1,1))-AVERAGE(OFFSET($H$3,0,0,'Données projet'!$E$14+1,1))</f>
        <v>356.42779334565381</v>
      </c>
      <c r="DU160" s="62">
        <f t="shared" si="152"/>
        <v>320.06572891923685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0.11746243664021104</v>
      </c>
      <c r="EC160" s="23">
        <f>EXP(-LN(2)/2)*EC159+(1-EXP(-LN(2)/2))/(LN(2)/2)*DW160*DZ160*VLOOKUP('Données projet'!$B$14,Paramètres!$A$1:$I$89,3,0)*0.475*44/12</f>
        <v>1.3018108053687736E-18</v>
      </c>
      <c r="ED160" s="24">
        <f t="shared" si="178"/>
        <v>0.11746243664021104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-5.6843418860808015E-14</v>
      </c>
      <c r="FF160" s="18">
        <f>FE160*VLOOKUP('Données projet'!$B$16,Paramètres!$A$1:$I$89,3,0)*VLOOKUP('Données projet'!$B$16,Paramètres!$A$1:$I$89,5,0)</f>
        <v>-4.5224624045658861E-14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370.59298168107364</v>
      </c>
      <c r="FK160" s="62">
        <f t="shared" si="156"/>
        <v>404.61777090709171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-1.0995790944434703E-13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562.69380557620775</v>
      </c>
      <c r="GF160" s="62">
        <f t="shared" si="158"/>
        <v>294.45557293177131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>
        <f>GU160*VLOOKUP('Données projet'!$B$18,Paramètres!$A$1:$I$89,3,0)*VLOOKUP('Données projet'!$B$18,Paramètres!$A$1:$I$89,5,0)</f>
        <v>0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363.53487081291541</v>
      </c>
      <c r="HA160" s="62">
        <f t="shared" si="160"/>
        <v>308.1559670593121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529.25712986118265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-9.5769792096689348E-14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495.77338291316386</v>
      </c>
      <c r="AO161" s="62">
        <f t="shared" si="144"/>
        <v>261.95434270986397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1.1380052455933766E-13</v>
      </c>
      <c r="BF161" s="14">
        <f t="shared" si="167"/>
        <v>1.6840738663456724E-12</v>
      </c>
      <c r="BG161" s="22">
        <f t="shared" si="168"/>
        <v>3.1312978974928925E-12</v>
      </c>
      <c r="BH161" s="62">
        <f t="shared" si="116"/>
        <v>293.33333333333644</v>
      </c>
      <c r="BI161" s="62">
        <f ca="1">AVERAGE(OFFSET($BH$3,0,0,'Données projet'!$E$11+1,1))-AVERAGE(OFFSET($H$3,0,0,'Données projet'!$E$11+1,1))</f>
        <v>320.67081032419122</v>
      </c>
      <c r="BJ161" s="62">
        <f t="shared" si="146"/>
        <v>290.51177680335746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6.9304357242113257E-2</v>
      </c>
      <c r="BR161" s="23">
        <f>EXP(-LN(2)/2)*BR160+(1-EXP(-LN(2)/2))/(LN(2)/2)*BL161*BO161*VLOOKUP('Données projet'!$B$11,Paramètres!$A$1:$I$89,3,0)*0.475*44/12</f>
        <v>5.8393564140555339E-19</v>
      </c>
      <c r="BS161" s="24">
        <f t="shared" si="169"/>
        <v>6.9304357242113257E-2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-1.1527845344971866E-13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587.74247372331615</v>
      </c>
      <c r="CE161" s="62">
        <f t="shared" si="148"/>
        <v>306.61893266146666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5.4092197387944907E-14</v>
      </c>
      <c r="CV161" s="14">
        <f t="shared" si="173"/>
        <v>8.7287050538073676E-13</v>
      </c>
      <c r="CW161" s="22">
        <f t="shared" si="174"/>
        <v>1.6144600406554537E-12</v>
      </c>
      <c r="CX161" s="62">
        <f t="shared" si="122"/>
        <v>293.33333333333491</v>
      </c>
      <c r="CY161" s="62">
        <f ca="1">AVERAGE(OFFSET($CX$3,0,0,'Données projet'!$E$13+1,1))-AVERAGE(OFFSET($H$3,0,0,'Données projet'!$E$13+1,1))</f>
        <v>406.24139966722936</v>
      </c>
      <c r="CZ161" s="62">
        <f t="shared" si="150"/>
        <v>295.95724296920577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6.7984728957526396E-14</v>
      </c>
      <c r="DQ161" s="14">
        <f t="shared" si="176"/>
        <v>1.0682447123141398E-12</v>
      </c>
      <c r="DR161" s="22">
        <f t="shared" si="177"/>
        <v>1.978932943548152E-12</v>
      </c>
      <c r="DS161" s="62">
        <f t="shared" si="125"/>
        <v>293.3333333333353</v>
      </c>
      <c r="DT161" s="62">
        <f ca="1">AVERAGE(OFFSET($DS$3,0,0,'Données projet'!$E$14+1,1))-AVERAGE(OFFSET($H$3,0,0,'Données projet'!$E$14+1,1))</f>
        <v>356.42779334565381</v>
      </c>
      <c r="DU161" s="62">
        <f t="shared" si="152"/>
        <v>320.06572891923685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0.11425042013320338</v>
      </c>
      <c r="EC161" s="23">
        <f>EXP(-LN(2)/2)*EC160+(1-EXP(-LN(2)/2))/(LN(2)/2)*DW161*DZ161*VLOOKUP('Données projet'!$B$14,Paramètres!$A$1:$I$89,3,0)*0.475*44/12</f>
        <v>9.2051924829818058E-19</v>
      </c>
      <c r="ED161" s="24">
        <f t="shared" si="178"/>
        <v>0.11425042013320338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-5.6843418860808015E-14</v>
      </c>
      <c r="FF161" s="18">
        <f>FE161*VLOOKUP('Données projet'!$B$16,Paramètres!$A$1:$I$89,3,0)*VLOOKUP('Données projet'!$B$16,Paramètres!$A$1:$I$89,5,0)</f>
        <v>-4.5224624045658861E-14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370.59298168107364</v>
      </c>
      <c r="FK161" s="62">
        <f t="shared" si="156"/>
        <v>404.61777090709171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-1.0995790944434703E-13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562.69380557620775</v>
      </c>
      <c r="GF161" s="62">
        <f t="shared" si="158"/>
        <v>294.45557293177131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>
        <f>GU161*VLOOKUP('Données projet'!$B$18,Paramètres!$A$1:$I$89,3,0)*VLOOKUP('Données projet'!$B$18,Paramètres!$A$1:$I$89,5,0)</f>
        <v>0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363.53487081291541</v>
      </c>
      <c r="HA161" s="62">
        <f t="shared" si="160"/>
        <v>308.1559670593121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529.25712986118265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-9.5769792096689348E-14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495.77338291316386</v>
      </c>
      <c r="AO162" s="62">
        <f t="shared" si="144"/>
        <v>261.95434270986397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1.1380052455933766E-13</v>
      </c>
      <c r="BF162" s="14">
        <f t="shared" si="167"/>
        <v>1.6840738663456724E-12</v>
      </c>
      <c r="BG162" s="22">
        <f t="shared" si="168"/>
        <v>3.1312978974928925E-12</v>
      </c>
      <c r="BH162" s="62">
        <f t="shared" si="116"/>
        <v>293.33333333333644</v>
      </c>
      <c r="BI162" s="62">
        <f ca="1">AVERAGE(OFFSET($BH$3,0,0,'Données projet'!$E$11+1,1))-AVERAGE(OFFSET($H$3,0,0,'Données projet'!$E$11+1,1))</f>
        <v>320.67081032419122</v>
      </c>
      <c r="BJ162" s="62">
        <f t="shared" si="146"/>
        <v>290.51177680335746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6.7409225948769913E-2</v>
      </c>
      <c r="BR162" s="23">
        <f>EXP(-LN(2)/2)*BR161+(1-EXP(-LN(2)/2))/(LN(2)/2)*BL162*BO162*VLOOKUP('Données projet'!$B$11,Paramètres!$A$1:$I$89,3,0)*0.475*44/12</f>
        <v>4.1290485181438293E-19</v>
      </c>
      <c r="BS162" s="24">
        <f t="shared" si="169"/>
        <v>6.7409225948769913E-2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-1.1527845344971866E-13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587.74247372331615</v>
      </c>
      <c r="CE162" s="62">
        <f t="shared" si="148"/>
        <v>306.61893266146666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5.4092197387944907E-14</v>
      </c>
      <c r="CV162" s="14">
        <f t="shared" si="173"/>
        <v>8.7287050538073676E-13</v>
      </c>
      <c r="CW162" s="22">
        <f t="shared" si="174"/>
        <v>1.6144600406554537E-12</v>
      </c>
      <c r="CX162" s="62">
        <f t="shared" si="122"/>
        <v>293.33333333333491</v>
      </c>
      <c r="CY162" s="62">
        <f ca="1">AVERAGE(OFFSET($CX$3,0,0,'Données projet'!$E$13+1,1))-AVERAGE(OFFSET($H$3,0,0,'Données projet'!$E$13+1,1))</f>
        <v>406.24139966722936</v>
      </c>
      <c r="CZ162" s="62">
        <f t="shared" si="150"/>
        <v>295.95724296920577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6.7984728957526396E-14</v>
      </c>
      <c r="DQ162" s="14">
        <f t="shared" si="176"/>
        <v>1.0682447123141398E-12</v>
      </c>
      <c r="DR162" s="22">
        <f t="shared" si="177"/>
        <v>1.978932943548152E-12</v>
      </c>
      <c r="DS162" s="62">
        <f t="shared" si="125"/>
        <v>293.3333333333353</v>
      </c>
      <c r="DT162" s="62">
        <f ca="1">AVERAGE(OFFSET($DS$3,0,0,'Données projet'!$E$14+1,1))-AVERAGE(OFFSET($H$3,0,0,'Données projet'!$E$14+1,1))</f>
        <v>356.42779334565381</v>
      </c>
      <c r="DU162" s="62">
        <f t="shared" si="152"/>
        <v>320.06572891923685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0.11112623638649247</v>
      </c>
      <c r="EC162" s="23">
        <f>EXP(-LN(2)/2)*EC161+(1-EXP(-LN(2)/2))/(LN(2)/2)*DW162*DZ162*VLOOKUP('Données projet'!$B$14,Paramètres!$A$1:$I$89,3,0)*0.475*44/12</f>
        <v>6.5090540268438679E-19</v>
      </c>
      <c r="ED162" s="24">
        <f t="shared" si="178"/>
        <v>0.11112623638649247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-5.6843418860808015E-14</v>
      </c>
      <c r="FF162" s="18">
        <f>FE162*VLOOKUP('Données projet'!$B$16,Paramètres!$A$1:$I$89,3,0)*VLOOKUP('Données projet'!$B$16,Paramètres!$A$1:$I$89,5,0)</f>
        <v>-4.5224624045658861E-14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370.59298168107364</v>
      </c>
      <c r="FK162" s="62">
        <f t="shared" si="156"/>
        <v>404.61777090709171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-1.0995790944434703E-13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562.69380557620775</v>
      </c>
      <c r="GF162" s="62">
        <f t="shared" si="158"/>
        <v>294.45557293177131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>
        <f>GU162*VLOOKUP('Données projet'!$B$18,Paramètres!$A$1:$I$89,3,0)*VLOOKUP('Données projet'!$B$18,Paramètres!$A$1:$I$89,5,0)</f>
        <v>0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363.53487081291541</v>
      </c>
      <c r="HA162" s="62">
        <f t="shared" si="160"/>
        <v>308.1559670593121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529.25712986118265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-9.5769792096689348E-14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495.77338291316386</v>
      </c>
      <c r="AO163" s="62">
        <f t="shared" si="144"/>
        <v>261.95434270986397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1.1380052455933766E-13</v>
      </c>
      <c r="BF163" s="14">
        <f t="shared" si="167"/>
        <v>1.6840738663456724E-12</v>
      </c>
      <c r="BG163" s="22">
        <f t="shared" si="168"/>
        <v>3.1312978974928925E-12</v>
      </c>
      <c r="BH163" s="62">
        <f t="shared" si="116"/>
        <v>293.33333333333644</v>
      </c>
      <c r="BI163" s="62">
        <f ca="1">AVERAGE(OFFSET($BH$3,0,0,'Données projet'!$E$11+1,1))-AVERAGE(OFFSET($H$3,0,0,'Données projet'!$E$11+1,1))</f>
        <v>320.67081032419122</v>
      </c>
      <c r="BJ163" s="62">
        <f t="shared" si="146"/>
        <v>290.51177680335746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6.5565917120303671E-2</v>
      </c>
      <c r="BR163" s="23">
        <f>EXP(-LN(2)/2)*BR162+(1-EXP(-LN(2)/2))/(LN(2)/2)*BL163*BO163*VLOOKUP('Données projet'!$B$11,Paramètres!$A$1:$I$89,3,0)*0.475*44/12</f>
        <v>2.919678207027767E-19</v>
      </c>
      <c r="BS163" s="24">
        <f t="shared" si="169"/>
        <v>6.5565917120303671E-2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-1.1527845344971866E-13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587.74247372331615</v>
      </c>
      <c r="CE163" s="62">
        <f t="shared" si="148"/>
        <v>306.61893266146666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5.4092197387944907E-14</v>
      </c>
      <c r="CV163" s="14">
        <f t="shared" si="173"/>
        <v>8.7287050538073676E-13</v>
      </c>
      <c r="CW163" s="22">
        <f t="shared" si="174"/>
        <v>1.6144600406554537E-12</v>
      </c>
      <c r="CX163" s="62">
        <f t="shared" si="122"/>
        <v>293.33333333333491</v>
      </c>
      <c r="CY163" s="62">
        <f ca="1">AVERAGE(OFFSET($CX$3,0,0,'Données projet'!$E$13+1,1))-AVERAGE(OFFSET($H$3,0,0,'Données projet'!$E$13+1,1))</f>
        <v>406.24139966722936</v>
      </c>
      <c r="CZ163" s="62">
        <f t="shared" si="150"/>
        <v>295.95724296920577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6.7984728957526396E-14</v>
      </c>
      <c r="DQ163" s="14">
        <f t="shared" si="176"/>
        <v>1.0682447123141398E-12</v>
      </c>
      <c r="DR163" s="22">
        <f t="shared" si="177"/>
        <v>1.978932943548152E-12</v>
      </c>
      <c r="DS163" s="62">
        <f t="shared" si="125"/>
        <v>293.3333333333353</v>
      </c>
      <c r="DT163" s="62">
        <f ca="1">AVERAGE(OFFSET($DS$3,0,0,'Données projet'!$E$14+1,1))-AVERAGE(OFFSET($H$3,0,0,'Données projet'!$E$14+1,1))</f>
        <v>356.42779334565381</v>
      </c>
      <c r="DU163" s="62">
        <f t="shared" si="152"/>
        <v>320.06572891923685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0.10808748360862903</v>
      </c>
      <c r="EC163" s="23">
        <f>EXP(-LN(2)/2)*EC162+(1-EXP(-LN(2)/2))/(LN(2)/2)*DW163*DZ163*VLOOKUP('Données projet'!$B$14,Paramètres!$A$1:$I$89,3,0)*0.475*44/12</f>
        <v>4.6025962414909029E-19</v>
      </c>
      <c r="ED163" s="24">
        <f t="shared" si="178"/>
        <v>0.10808748360862903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-5.6843418860808015E-14</v>
      </c>
      <c r="FF163" s="18">
        <f>FE163*VLOOKUP('Données projet'!$B$16,Paramètres!$A$1:$I$89,3,0)*VLOOKUP('Données projet'!$B$16,Paramètres!$A$1:$I$89,5,0)</f>
        <v>-4.5224624045658861E-14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370.59298168107364</v>
      </c>
      <c r="FK163" s="62">
        <f t="shared" si="156"/>
        <v>404.61777090709171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-1.0995790944434703E-13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562.69380557620775</v>
      </c>
      <c r="GF163" s="62">
        <f t="shared" si="158"/>
        <v>294.45557293177131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>
        <f>GU163*VLOOKUP('Données projet'!$B$18,Paramètres!$A$1:$I$89,3,0)*VLOOKUP('Données projet'!$B$18,Paramètres!$A$1:$I$89,5,0)</f>
        <v>0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363.53487081291541</v>
      </c>
      <c r="HA163" s="62">
        <f t="shared" si="160"/>
        <v>308.1559670593121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529.25712986118265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-9.5769792096689348E-14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495.77338291316386</v>
      </c>
      <c r="AO164" s="62">
        <f t="shared" si="144"/>
        <v>261.95434270986397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1.1380052455933766E-13</v>
      </c>
      <c r="BF164" s="14">
        <f t="shared" si="167"/>
        <v>1.6840738663456724E-12</v>
      </c>
      <c r="BG164" s="22">
        <f t="shared" si="168"/>
        <v>3.1312978974928925E-12</v>
      </c>
      <c r="BH164" s="62">
        <f t="shared" si="116"/>
        <v>293.33333333333644</v>
      </c>
      <c r="BI164" s="62">
        <f ca="1">AVERAGE(OFFSET($BH$3,0,0,'Données projet'!$E$11+1,1))-AVERAGE(OFFSET($H$3,0,0,'Données projet'!$E$11+1,1))</f>
        <v>320.67081032419122</v>
      </c>
      <c r="BJ164" s="62">
        <f t="shared" si="146"/>
        <v>290.51177680335746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6.3773013668687234E-2</v>
      </c>
      <c r="BR164" s="23">
        <f>EXP(-LN(2)/2)*BR163+(1-EXP(-LN(2)/2))/(LN(2)/2)*BL164*BO164*VLOOKUP('Données projet'!$B$11,Paramètres!$A$1:$I$89,3,0)*0.475*44/12</f>
        <v>2.0645242590719146E-19</v>
      </c>
      <c r="BS164" s="24">
        <f t="shared" si="169"/>
        <v>6.3773013668687234E-2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-1.1527845344971866E-13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587.74247372331615</v>
      </c>
      <c r="CE164" s="62">
        <f t="shared" si="148"/>
        <v>306.61893266146666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5.4092197387944907E-14</v>
      </c>
      <c r="CV164" s="14">
        <f t="shared" si="173"/>
        <v>8.7287050538073676E-13</v>
      </c>
      <c r="CW164" s="22">
        <f t="shared" si="174"/>
        <v>1.6144600406554537E-12</v>
      </c>
      <c r="CX164" s="62">
        <f t="shared" si="122"/>
        <v>293.33333333333491</v>
      </c>
      <c r="CY164" s="62">
        <f ca="1">AVERAGE(OFFSET($CX$3,0,0,'Données projet'!$E$13+1,1))-AVERAGE(OFFSET($H$3,0,0,'Données projet'!$E$13+1,1))</f>
        <v>406.24139966722936</v>
      </c>
      <c r="CZ164" s="62">
        <f t="shared" si="150"/>
        <v>295.95724296920577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6.7984728957526396E-14</v>
      </c>
      <c r="DQ164" s="14">
        <f t="shared" si="176"/>
        <v>1.0682447123141398E-12</v>
      </c>
      <c r="DR164" s="22">
        <f t="shared" si="177"/>
        <v>1.978932943548152E-12</v>
      </c>
      <c r="DS164" s="62">
        <f t="shared" si="125"/>
        <v>293.3333333333353</v>
      </c>
      <c r="DT164" s="62">
        <f ca="1">AVERAGE(OFFSET($DS$3,0,0,'Données projet'!$E$14+1,1))-AVERAGE(OFFSET($H$3,0,0,'Données projet'!$E$14+1,1))</f>
        <v>356.42779334565381</v>
      </c>
      <c r="DU164" s="62">
        <f t="shared" si="152"/>
        <v>320.06572891923685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0.10513182568527735</v>
      </c>
      <c r="EC164" s="23">
        <f>EXP(-LN(2)/2)*EC163+(1-EXP(-LN(2)/2))/(LN(2)/2)*DW164*DZ164*VLOOKUP('Données projet'!$B$14,Paramètres!$A$1:$I$89,3,0)*0.475*44/12</f>
        <v>3.254527013421934E-19</v>
      </c>
      <c r="ED164" s="24">
        <f t="shared" si="178"/>
        <v>0.10513182568527735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-5.6843418860808015E-14</v>
      </c>
      <c r="FF164" s="18">
        <f>FE164*VLOOKUP('Données projet'!$B$16,Paramètres!$A$1:$I$89,3,0)*VLOOKUP('Données projet'!$B$16,Paramètres!$A$1:$I$89,5,0)</f>
        <v>-4.5224624045658861E-14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370.59298168107364</v>
      </c>
      <c r="FK164" s="62">
        <f t="shared" si="156"/>
        <v>404.61777090709171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-1.0995790944434703E-13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562.69380557620775</v>
      </c>
      <c r="GF164" s="62">
        <f t="shared" si="158"/>
        <v>294.45557293177131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>
        <f>GU164*VLOOKUP('Données projet'!$B$18,Paramètres!$A$1:$I$89,3,0)*VLOOKUP('Données projet'!$B$18,Paramètres!$A$1:$I$89,5,0)</f>
        <v>0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363.53487081291541</v>
      </c>
      <c r="HA164" s="62">
        <f t="shared" si="160"/>
        <v>308.1559670593121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529.25712986118265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-9.5769792096689348E-14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495.77338291316386</v>
      </c>
      <c r="AO165" s="62">
        <f t="shared" si="144"/>
        <v>261.95434270986397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1.1380052455933766E-13</v>
      </c>
      <c r="BF165" s="14">
        <f t="shared" si="167"/>
        <v>1.6840738663456724E-12</v>
      </c>
      <c r="BG165" s="22">
        <f t="shared" si="168"/>
        <v>3.1312978974928925E-12</v>
      </c>
      <c r="BH165" s="62">
        <f t="shared" si="116"/>
        <v>293.33333333333644</v>
      </c>
      <c r="BI165" s="62">
        <f ca="1">AVERAGE(OFFSET($BH$3,0,0,'Données projet'!$E$11+1,1))-AVERAGE(OFFSET($H$3,0,0,'Données projet'!$E$11+1,1))</f>
        <v>320.67081032419122</v>
      </c>
      <c r="BJ165" s="62">
        <f t="shared" si="146"/>
        <v>290.51177680335746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6.2029137256239951E-2</v>
      </c>
      <c r="BR165" s="23">
        <f>EXP(-LN(2)/2)*BR164+(1-EXP(-LN(2)/2))/(LN(2)/2)*BL165*BO165*VLOOKUP('Données projet'!$B$11,Paramètres!$A$1:$I$89,3,0)*0.475*44/12</f>
        <v>1.4598391035138835E-19</v>
      </c>
      <c r="BS165" s="24">
        <f t="shared" si="169"/>
        <v>6.2029137256239951E-2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-1.1527845344971866E-13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587.74247372331615</v>
      </c>
      <c r="CE165" s="62">
        <f t="shared" si="148"/>
        <v>306.61893266146666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5.4092197387944907E-14</v>
      </c>
      <c r="CV165" s="14">
        <f t="shared" si="173"/>
        <v>8.7287050538073676E-13</v>
      </c>
      <c r="CW165" s="22">
        <f t="shared" si="174"/>
        <v>1.6144600406554537E-12</v>
      </c>
      <c r="CX165" s="62">
        <f t="shared" si="122"/>
        <v>293.33333333333491</v>
      </c>
      <c r="CY165" s="62">
        <f ca="1">AVERAGE(OFFSET($CX$3,0,0,'Données projet'!$E$13+1,1))-AVERAGE(OFFSET($H$3,0,0,'Données projet'!$E$13+1,1))</f>
        <v>406.24139966722936</v>
      </c>
      <c r="CZ165" s="62">
        <f t="shared" si="150"/>
        <v>295.95724296920577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6.7984728957526396E-14</v>
      </c>
      <c r="DQ165" s="14">
        <f t="shared" si="176"/>
        <v>1.0682447123141398E-12</v>
      </c>
      <c r="DR165" s="22">
        <f t="shared" si="177"/>
        <v>1.978932943548152E-12</v>
      </c>
      <c r="DS165" s="62">
        <f t="shared" si="125"/>
        <v>293.3333333333353</v>
      </c>
      <c r="DT165" s="62">
        <f ca="1">AVERAGE(OFFSET($DS$3,0,0,'Données projet'!$E$14+1,1))-AVERAGE(OFFSET($H$3,0,0,'Données projet'!$E$14+1,1))</f>
        <v>356.42779334565381</v>
      </c>
      <c r="DU165" s="62">
        <f t="shared" si="152"/>
        <v>320.06572891923685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0.102256990383271</v>
      </c>
      <c r="EC165" s="23">
        <f>EXP(-LN(2)/2)*EC164+(1-EXP(-LN(2)/2))/(LN(2)/2)*DW165*DZ165*VLOOKUP('Données projet'!$B$14,Paramètres!$A$1:$I$89,3,0)*0.475*44/12</f>
        <v>2.3012981207454515E-19</v>
      </c>
      <c r="ED165" s="24">
        <f t="shared" si="178"/>
        <v>0.102256990383271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-5.6843418860808015E-14</v>
      </c>
      <c r="FF165" s="18">
        <f>FE165*VLOOKUP('Données projet'!$B$16,Paramètres!$A$1:$I$89,3,0)*VLOOKUP('Données projet'!$B$16,Paramètres!$A$1:$I$89,5,0)</f>
        <v>-4.5224624045658861E-14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370.59298168107364</v>
      </c>
      <c r="FK165" s="62">
        <f t="shared" si="156"/>
        <v>404.61777090709171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-1.0995790944434703E-13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562.69380557620775</v>
      </c>
      <c r="GF165" s="62">
        <f t="shared" si="158"/>
        <v>294.45557293177131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>
        <f>GU165*VLOOKUP('Données projet'!$B$18,Paramètres!$A$1:$I$89,3,0)*VLOOKUP('Données projet'!$B$18,Paramètres!$A$1:$I$89,5,0)</f>
        <v>0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363.53487081291541</v>
      </c>
      <c r="HA165" s="62">
        <f t="shared" si="160"/>
        <v>308.1559670593121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529.25712986118265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-9.5769792096689348E-14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495.77338291316386</v>
      </c>
      <c r="AO166" s="62">
        <f t="shared" si="144"/>
        <v>261.95434270986397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1.1380052455933766E-13</v>
      </c>
      <c r="BF166" s="14">
        <f t="shared" si="167"/>
        <v>1.6840738663456724E-12</v>
      </c>
      <c r="BG166" s="22">
        <f t="shared" si="168"/>
        <v>3.1312978974928925E-12</v>
      </c>
      <c r="BH166" s="62">
        <f t="shared" si="116"/>
        <v>293.33333333333644</v>
      </c>
      <c r="BI166" s="62">
        <f ca="1">AVERAGE(OFFSET($BH$3,0,0,'Données projet'!$E$11+1,1))-AVERAGE(OFFSET($H$3,0,0,'Données projet'!$E$11+1,1))</f>
        <v>320.67081032419122</v>
      </c>
      <c r="BJ166" s="62">
        <f t="shared" si="146"/>
        <v>290.51177680335746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6.0332947235997511E-2</v>
      </c>
      <c r="BR166" s="23">
        <f>EXP(-LN(2)/2)*BR165+(1-EXP(-LN(2)/2))/(LN(2)/2)*BL166*BO166*VLOOKUP('Données projet'!$B$11,Paramètres!$A$1:$I$89,3,0)*0.475*44/12</f>
        <v>1.0322621295359573E-19</v>
      </c>
      <c r="BS166" s="24">
        <f t="shared" si="169"/>
        <v>6.0332947235997511E-2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-1.1527845344971866E-13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587.74247372331615</v>
      </c>
      <c r="CE166" s="62">
        <f t="shared" si="148"/>
        <v>306.61893266146666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5.4092197387944907E-14</v>
      </c>
      <c r="CV166" s="14">
        <f t="shared" si="173"/>
        <v>8.7287050538073676E-13</v>
      </c>
      <c r="CW166" s="22">
        <f t="shared" si="174"/>
        <v>1.6144600406554537E-12</v>
      </c>
      <c r="CX166" s="62">
        <f t="shared" si="122"/>
        <v>293.33333333333491</v>
      </c>
      <c r="CY166" s="62">
        <f ca="1">AVERAGE(OFFSET($CX$3,0,0,'Données projet'!$E$13+1,1))-AVERAGE(OFFSET($H$3,0,0,'Données projet'!$E$13+1,1))</f>
        <v>406.24139966722936</v>
      </c>
      <c r="CZ166" s="62">
        <f t="shared" si="150"/>
        <v>295.95724296920577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6.7984728957526396E-14</v>
      </c>
      <c r="DQ166" s="14">
        <f t="shared" si="176"/>
        <v>1.0682447123141398E-12</v>
      </c>
      <c r="DR166" s="22">
        <f t="shared" si="177"/>
        <v>1.978932943548152E-12</v>
      </c>
      <c r="DS166" s="62">
        <f t="shared" si="125"/>
        <v>293.3333333333353</v>
      </c>
      <c r="DT166" s="62">
        <f ca="1">AVERAGE(OFFSET($DS$3,0,0,'Données projet'!$E$14+1,1))-AVERAGE(OFFSET($H$3,0,0,'Données projet'!$E$14+1,1))</f>
        <v>356.42779334565381</v>
      </c>
      <c r="DU166" s="62">
        <f t="shared" si="152"/>
        <v>320.06572891923685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9.9460767603779046E-2</v>
      </c>
      <c r="EC166" s="23">
        <f>EXP(-LN(2)/2)*EC165+(1-EXP(-LN(2)/2))/(LN(2)/2)*DW166*DZ166*VLOOKUP('Données projet'!$B$14,Paramètres!$A$1:$I$89,3,0)*0.475*44/12</f>
        <v>1.627263506710967E-19</v>
      </c>
      <c r="ED166" s="24">
        <f t="shared" si="178"/>
        <v>9.9460767603779046E-2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-5.6843418860808015E-14</v>
      </c>
      <c r="FF166" s="18">
        <f>FE166*VLOOKUP('Données projet'!$B$16,Paramètres!$A$1:$I$89,3,0)*VLOOKUP('Données projet'!$B$16,Paramètres!$A$1:$I$89,5,0)</f>
        <v>-4.5224624045658861E-14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370.59298168107364</v>
      </c>
      <c r="FK166" s="62">
        <f t="shared" si="156"/>
        <v>404.61777090709171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-1.0995790944434703E-13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562.69380557620775</v>
      </c>
      <c r="GF166" s="62">
        <f t="shared" si="158"/>
        <v>294.45557293177131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>
        <f>GU166*VLOOKUP('Données projet'!$B$18,Paramètres!$A$1:$I$89,3,0)*VLOOKUP('Données projet'!$B$18,Paramètres!$A$1:$I$89,5,0)</f>
        <v>0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363.53487081291541</v>
      </c>
      <c r="HA166" s="62">
        <f t="shared" si="160"/>
        <v>308.1559670593121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529.25712986118265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-9.5769792096689348E-14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495.77338291316386</v>
      </c>
      <c r="AO167" s="62">
        <f t="shared" si="144"/>
        <v>261.95434270986397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1.1380052455933766E-13</v>
      </c>
      <c r="BF167" s="14">
        <f t="shared" si="167"/>
        <v>1.6840738663456724E-12</v>
      </c>
      <c r="BG167" s="22">
        <f t="shared" si="168"/>
        <v>3.1312978974928925E-12</v>
      </c>
      <c r="BH167" s="62">
        <f t="shared" si="116"/>
        <v>293.33333333333644</v>
      </c>
      <c r="BI167" s="62">
        <f ca="1">AVERAGE(OFFSET($BH$3,0,0,'Données projet'!$E$11+1,1))-AVERAGE(OFFSET($H$3,0,0,'Données projet'!$E$11+1,1))</f>
        <v>320.67081032419122</v>
      </c>
      <c r="BJ167" s="62">
        <f t="shared" si="146"/>
        <v>290.51177680335746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5.8683139621057354E-2</v>
      </c>
      <c r="BR167" s="23">
        <f>EXP(-LN(2)/2)*BR166+(1-EXP(-LN(2)/2))/(LN(2)/2)*BL167*BO167*VLOOKUP('Données projet'!$B$11,Paramètres!$A$1:$I$89,3,0)*0.475*44/12</f>
        <v>7.2991955175694174E-20</v>
      </c>
      <c r="BS167" s="24">
        <f t="shared" si="169"/>
        <v>5.8683139621057354E-2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-1.1527845344971866E-13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587.74247372331615</v>
      </c>
      <c r="CE167" s="62">
        <f t="shared" si="148"/>
        <v>306.61893266146666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5.4092197387944907E-14</v>
      </c>
      <c r="CV167" s="14">
        <f t="shared" si="173"/>
        <v>8.7287050538073676E-13</v>
      </c>
      <c r="CW167" s="22">
        <f t="shared" si="174"/>
        <v>1.6144600406554537E-12</v>
      </c>
      <c r="CX167" s="62">
        <f t="shared" si="122"/>
        <v>293.33333333333491</v>
      </c>
      <c r="CY167" s="62">
        <f ca="1">AVERAGE(OFFSET($CX$3,0,0,'Données projet'!$E$13+1,1))-AVERAGE(OFFSET($H$3,0,0,'Données projet'!$E$13+1,1))</f>
        <v>406.24139966722936</v>
      </c>
      <c r="CZ167" s="62">
        <f t="shared" si="150"/>
        <v>295.95724296920577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6.7984728957526396E-14</v>
      </c>
      <c r="DQ167" s="14">
        <f t="shared" si="176"/>
        <v>1.0682447123141398E-12</v>
      </c>
      <c r="DR167" s="22">
        <f t="shared" si="177"/>
        <v>1.978932943548152E-12</v>
      </c>
      <c r="DS167" s="62">
        <f t="shared" si="125"/>
        <v>293.3333333333353</v>
      </c>
      <c r="DT167" s="62">
        <f ca="1">AVERAGE(OFFSET($DS$3,0,0,'Données projet'!$E$14+1,1))-AVERAGE(OFFSET($H$3,0,0,'Données projet'!$E$14+1,1))</f>
        <v>356.42779334565381</v>
      </c>
      <c r="DU167" s="62">
        <f t="shared" si="152"/>
        <v>320.06572891923685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9.6741007683239261E-2</v>
      </c>
      <c r="EC167" s="23">
        <f>EXP(-LN(2)/2)*EC166+(1-EXP(-LN(2)/2))/(LN(2)/2)*DW167*DZ167*VLOOKUP('Données projet'!$B$14,Paramètres!$A$1:$I$89,3,0)*0.475*44/12</f>
        <v>1.1506490603727257E-19</v>
      </c>
      <c r="ED167" s="24">
        <f t="shared" si="178"/>
        <v>9.6741007683239261E-2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-5.6843418860808015E-14</v>
      </c>
      <c r="FF167" s="18">
        <f>FE167*VLOOKUP('Données projet'!$B$16,Paramètres!$A$1:$I$89,3,0)*VLOOKUP('Données projet'!$B$16,Paramètres!$A$1:$I$89,5,0)</f>
        <v>-4.5224624045658861E-14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370.59298168107364</v>
      </c>
      <c r="FK167" s="62">
        <f t="shared" si="156"/>
        <v>404.61777090709171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-1.0995790944434703E-13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562.69380557620775</v>
      </c>
      <c r="GF167" s="62">
        <f t="shared" si="158"/>
        <v>294.45557293177131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>
        <f>GU167*VLOOKUP('Données projet'!$B$18,Paramètres!$A$1:$I$89,3,0)*VLOOKUP('Données projet'!$B$18,Paramètres!$A$1:$I$89,5,0)</f>
        <v>0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363.53487081291541</v>
      </c>
      <c r="HA167" s="62">
        <f t="shared" si="160"/>
        <v>308.1559670593121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529.25712986118265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-9.5769792096689348E-14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495.77338291316386</v>
      </c>
      <c r="AO168" s="62">
        <f t="shared" si="144"/>
        <v>261.95434270986397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1.1380052455933766E-13</v>
      </c>
      <c r="BF168" s="14">
        <f t="shared" si="167"/>
        <v>1.6840738663456724E-12</v>
      </c>
      <c r="BG168" s="22">
        <f t="shared" si="168"/>
        <v>3.1312978974928925E-12</v>
      </c>
      <c r="BH168" s="62">
        <f t="shared" si="116"/>
        <v>293.33333333333644</v>
      </c>
      <c r="BI168" s="62">
        <f ca="1">AVERAGE(OFFSET($BH$3,0,0,'Données projet'!$E$11+1,1))-AVERAGE(OFFSET($H$3,0,0,'Données projet'!$E$11+1,1))</f>
        <v>320.67081032419122</v>
      </c>
      <c r="BJ168" s="62">
        <f t="shared" si="146"/>
        <v>290.51177680335746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5.7078446082107347E-2</v>
      </c>
      <c r="BR168" s="23">
        <f>EXP(-LN(2)/2)*BR167+(1-EXP(-LN(2)/2))/(LN(2)/2)*BL168*BO168*VLOOKUP('Données projet'!$B$11,Paramètres!$A$1:$I$89,3,0)*0.475*44/12</f>
        <v>5.1613106476797866E-20</v>
      </c>
      <c r="BS168" s="24">
        <f t="shared" si="169"/>
        <v>5.7078446082107347E-2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-1.1527845344971866E-13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587.74247372331615</v>
      </c>
      <c r="CE168" s="62">
        <f t="shared" si="148"/>
        <v>306.61893266146666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5.4092197387944907E-14</v>
      </c>
      <c r="CV168" s="14">
        <f t="shared" si="173"/>
        <v>8.7287050538073676E-13</v>
      </c>
      <c r="CW168" s="22">
        <f t="shared" si="174"/>
        <v>1.6144600406554537E-12</v>
      </c>
      <c r="CX168" s="62">
        <f t="shared" si="122"/>
        <v>293.33333333333491</v>
      </c>
      <c r="CY168" s="62">
        <f ca="1">AVERAGE(OFFSET($CX$3,0,0,'Données projet'!$E$13+1,1))-AVERAGE(OFFSET($H$3,0,0,'Données projet'!$E$13+1,1))</f>
        <v>406.24139966722936</v>
      </c>
      <c r="CZ168" s="62">
        <f t="shared" si="150"/>
        <v>295.95724296920577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6.7984728957526396E-14</v>
      </c>
      <c r="DQ168" s="14">
        <f t="shared" si="176"/>
        <v>1.0682447123141398E-12</v>
      </c>
      <c r="DR168" s="22">
        <f t="shared" si="177"/>
        <v>1.978932943548152E-12</v>
      </c>
      <c r="DS168" s="62">
        <f t="shared" si="125"/>
        <v>293.3333333333353</v>
      </c>
      <c r="DT168" s="62">
        <f ca="1">AVERAGE(OFFSET($DS$3,0,0,'Données projet'!$E$14+1,1))-AVERAGE(OFFSET($H$3,0,0,'Données projet'!$E$14+1,1))</f>
        <v>356.42779334565381</v>
      </c>
      <c r="DU168" s="62">
        <f t="shared" si="152"/>
        <v>320.06572891923685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9.409561974075259E-2</v>
      </c>
      <c r="EC168" s="23">
        <f>EXP(-LN(2)/2)*EC167+(1-EXP(-LN(2)/2))/(LN(2)/2)*DW168*DZ168*VLOOKUP('Données projet'!$B$14,Paramètres!$A$1:$I$89,3,0)*0.475*44/12</f>
        <v>8.1363175335548349E-20</v>
      </c>
      <c r="ED168" s="24">
        <f t="shared" si="178"/>
        <v>9.409561974075259E-2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-5.6843418860808015E-14</v>
      </c>
      <c r="FF168" s="18">
        <f>FE168*VLOOKUP('Données projet'!$B$16,Paramètres!$A$1:$I$89,3,0)*VLOOKUP('Données projet'!$B$16,Paramètres!$A$1:$I$89,5,0)</f>
        <v>-4.5224624045658861E-14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370.59298168107364</v>
      </c>
      <c r="FK168" s="62">
        <f t="shared" si="156"/>
        <v>404.61777090709171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-1.0995790944434703E-13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562.69380557620775</v>
      </c>
      <c r="GF168" s="62">
        <f t="shared" si="158"/>
        <v>294.45557293177131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>
        <f>GU168*VLOOKUP('Données projet'!$B$18,Paramètres!$A$1:$I$89,3,0)*VLOOKUP('Données projet'!$B$18,Paramètres!$A$1:$I$89,5,0)</f>
        <v>0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363.53487081291541</v>
      </c>
      <c r="HA168" s="62">
        <f t="shared" si="160"/>
        <v>308.1559670593121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529.25712986118265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-9.5769792096689348E-14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495.77338291316386</v>
      </c>
      <c r="AO169" s="62">
        <f t="shared" si="144"/>
        <v>261.95434270986397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1.1380052455933766E-13</v>
      </c>
      <c r="BF169" s="14">
        <f t="shared" si="167"/>
        <v>1.6840738663456724E-12</v>
      </c>
      <c r="BG169" s="22">
        <f t="shared" si="168"/>
        <v>3.1312978974928925E-12</v>
      </c>
      <c r="BH169" s="62">
        <f t="shared" si="116"/>
        <v>293.33333333333644</v>
      </c>
      <c r="BI169" s="62">
        <f ca="1">AVERAGE(OFFSET($BH$3,0,0,'Données projet'!$E$11+1,1))-AVERAGE(OFFSET($H$3,0,0,'Données projet'!$E$11+1,1))</f>
        <v>320.67081032419122</v>
      </c>
      <c r="BJ169" s="62">
        <f t="shared" si="146"/>
        <v>290.51177680335746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5.5517632972367094E-2</v>
      </c>
      <c r="BR169" s="23">
        <f>EXP(-LN(2)/2)*BR168+(1-EXP(-LN(2)/2))/(LN(2)/2)*BL169*BO169*VLOOKUP('Données projet'!$B$11,Paramètres!$A$1:$I$89,3,0)*0.475*44/12</f>
        <v>3.6495977587847087E-20</v>
      </c>
      <c r="BS169" s="24">
        <f t="shared" si="169"/>
        <v>5.5517632972367094E-2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-1.1527845344971866E-13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587.74247372331615</v>
      </c>
      <c r="CE169" s="62">
        <f t="shared" si="148"/>
        <v>306.61893266146666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5.4092197387944907E-14</v>
      </c>
      <c r="CV169" s="14">
        <f t="shared" si="173"/>
        <v>8.7287050538073676E-13</v>
      </c>
      <c r="CW169" s="22">
        <f t="shared" si="174"/>
        <v>1.6144600406554537E-12</v>
      </c>
      <c r="CX169" s="62">
        <f t="shared" si="122"/>
        <v>293.33333333333491</v>
      </c>
      <c r="CY169" s="62">
        <f ca="1">AVERAGE(OFFSET($CX$3,0,0,'Données projet'!$E$13+1,1))-AVERAGE(OFFSET($H$3,0,0,'Données projet'!$E$13+1,1))</f>
        <v>406.24139966722936</v>
      </c>
      <c r="CZ169" s="62">
        <f t="shared" si="150"/>
        <v>295.95724296920577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6.7984728957526396E-14</v>
      </c>
      <c r="DQ169" s="14">
        <f t="shared" si="176"/>
        <v>1.0682447123141398E-12</v>
      </c>
      <c r="DR169" s="22">
        <f t="shared" si="177"/>
        <v>1.978932943548152E-12</v>
      </c>
      <c r="DS169" s="62">
        <f t="shared" si="125"/>
        <v>293.3333333333353</v>
      </c>
      <c r="DT169" s="62">
        <f ca="1">AVERAGE(OFFSET($DS$3,0,0,'Données projet'!$E$14+1,1))-AVERAGE(OFFSET($H$3,0,0,'Données projet'!$E$14+1,1))</f>
        <v>356.42779334565381</v>
      </c>
      <c r="DU169" s="62">
        <f t="shared" si="152"/>
        <v>320.06572891923685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9.1522570070668122E-2</v>
      </c>
      <c r="EC169" s="23">
        <f>EXP(-LN(2)/2)*EC168+(1-EXP(-LN(2)/2))/(LN(2)/2)*DW169*DZ169*VLOOKUP('Données projet'!$B$14,Paramètres!$A$1:$I$89,3,0)*0.475*44/12</f>
        <v>5.7532453018636286E-20</v>
      </c>
      <c r="ED169" s="24">
        <f t="shared" si="178"/>
        <v>9.1522570070668122E-2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-5.6843418860808015E-14</v>
      </c>
      <c r="FF169" s="18">
        <f>FE169*VLOOKUP('Données projet'!$B$16,Paramètres!$A$1:$I$89,3,0)*VLOOKUP('Données projet'!$B$16,Paramètres!$A$1:$I$89,5,0)</f>
        <v>-4.5224624045658861E-14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370.59298168107364</v>
      </c>
      <c r="FK169" s="62">
        <f t="shared" si="156"/>
        <v>404.61777090709171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-1.0995790944434703E-13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562.69380557620775</v>
      </c>
      <c r="GF169" s="62">
        <f t="shared" si="158"/>
        <v>294.45557293177131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>
        <f>GU169*VLOOKUP('Données projet'!$B$18,Paramètres!$A$1:$I$89,3,0)*VLOOKUP('Données projet'!$B$18,Paramètres!$A$1:$I$89,5,0)</f>
        <v>0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363.53487081291541</v>
      </c>
      <c r="HA169" s="62">
        <f t="shared" si="160"/>
        <v>308.1559670593121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529.25712986118265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-9.5769792096689348E-14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495.77338291316386</v>
      </c>
      <c r="AO170" s="62">
        <f t="shared" si="144"/>
        <v>261.95434270986397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1.1380052455933766E-13</v>
      </c>
      <c r="BF170" s="14">
        <f t="shared" si="167"/>
        <v>1.6840738663456724E-12</v>
      </c>
      <c r="BG170" s="22">
        <f t="shared" si="168"/>
        <v>3.1312978974928925E-12</v>
      </c>
      <c r="BH170" s="62">
        <f t="shared" si="116"/>
        <v>293.33333333333644</v>
      </c>
      <c r="BI170" s="62">
        <f ca="1">AVERAGE(OFFSET($BH$3,0,0,'Données projet'!$E$11+1,1))-AVERAGE(OFFSET($H$3,0,0,'Données projet'!$E$11+1,1))</f>
        <v>320.67081032419122</v>
      </c>
      <c r="BJ170" s="62">
        <f t="shared" si="146"/>
        <v>290.51177680335746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5.3999500379192288E-2</v>
      </c>
      <c r="BR170" s="23">
        <f>EXP(-LN(2)/2)*BR169+(1-EXP(-LN(2)/2))/(LN(2)/2)*BL170*BO170*VLOOKUP('Données projet'!$B$11,Paramètres!$A$1:$I$89,3,0)*0.475*44/12</f>
        <v>2.5806553238398933E-20</v>
      </c>
      <c r="BS170" s="24">
        <f t="shared" si="169"/>
        <v>5.3999500379192288E-2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-1.1527845344971866E-13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587.74247372331615</v>
      </c>
      <c r="CE170" s="62">
        <f t="shared" si="148"/>
        <v>306.61893266146666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5.4092197387944907E-14</v>
      </c>
      <c r="CV170" s="14">
        <f t="shared" si="173"/>
        <v>8.7287050538073676E-13</v>
      </c>
      <c r="CW170" s="22">
        <f t="shared" si="174"/>
        <v>1.6144600406554537E-12</v>
      </c>
      <c r="CX170" s="62">
        <f t="shared" si="122"/>
        <v>293.33333333333491</v>
      </c>
      <c r="CY170" s="62">
        <f ca="1">AVERAGE(OFFSET($CX$3,0,0,'Données projet'!$E$13+1,1))-AVERAGE(OFFSET($H$3,0,0,'Données projet'!$E$13+1,1))</f>
        <v>406.24139966722936</v>
      </c>
      <c r="CZ170" s="62">
        <f t="shared" si="150"/>
        <v>295.95724296920577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6.7984728957526396E-14</v>
      </c>
      <c r="DQ170" s="14">
        <f t="shared" si="176"/>
        <v>1.0682447123141398E-12</v>
      </c>
      <c r="DR170" s="22">
        <f t="shared" si="177"/>
        <v>1.978932943548152E-12</v>
      </c>
      <c r="DS170" s="62">
        <f t="shared" si="125"/>
        <v>293.3333333333353</v>
      </c>
      <c r="DT170" s="62">
        <f ca="1">AVERAGE(OFFSET($DS$3,0,0,'Données projet'!$E$14+1,1))-AVERAGE(OFFSET($H$3,0,0,'Données projet'!$E$14+1,1))</f>
        <v>356.42779334565381</v>
      </c>
      <c r="DU170" s="62">
        <f t="shared" si="152"/>
        <v>320.06572891923685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8.9019880579122926E-2</v>
      </c>
      <c r="EC170" s="23">
        <f>EXP(-LN(2)/2)*EC169+(1-EXP(-LN(2)/2))/(LN(2)/2)*DW170*DZ170*VLOOKUP('Données projet'!$B$14,Paramètres!$A$1:$I$89,3,0)*0.475*44/12</f>
        <v>4.0681587667774175E-20</v>
      </c>
      <c r="ED170" s="24">
        <f t="shared" si="178"/>
        <v>8.9019880579122926E-2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-5.6843418860808015E-14</v>
      </c>
      <c r="FF170" s="18">
        <f>FE170*VLOOKUP('Données projet'!$B$16,Paramètres!$A$1:$I$89,3,0)*VLOOKUP('Données projet'!$B$16,Paramètres!$A$1:$I$89,5,0)</f>
        <v>-4.5224624045658861E-14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370.59298168107364</v>
      </c>
      <c r="FK170" s="62">
        <f t="shared" si="156"/>
        <v>404.61777090709171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-1.0995790944434703E-13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562.69380557620775</v>
      </c>
      <c r="GF170" s="62">
        <f t="shared" si="158"/>
        <v>294.45557293177131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>
        <f>GU170*VLOOKUP('Données projet'!$B$18,Paramètres!$A$1:$I$89,3,0)*VLOOKUP('Données projet'!$B$18,Paramètres!$A$1:$I$89,5,0)</f>
        <v>0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363.53487081291541</v>
      </c>
      <c r="HA170" s="62">
        <f t="shared" si="160"/>
        <v>308.1559670593121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529.25712986118265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-9.5769792096689348E-14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495.77338291316386</v>
      </c>
      <c r="AO171" s="62">
        <f t="shared" si="144"/>
        <v>261.95434270986397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1.1380052455933766E-13</v>
      </c>
      <c r="BF171" s="14">
        <f t="shared" si="167"/>
        <v>1.6840738663456724E-12</v>
      </c>
      <c r="BG171" s="22">
        <f t="shared" si="168"/>
        <v>3.1312978974928925E-12</v>
      </c>
      <c r="BH171" s="62">
        <f t="shared" si="116"/>
        <v>293.33333333333644</v>
      </c>
      <c r="BI171" s="62">
        <f ca="1">AVERAGE(OFFSET($BH$3,0,0,'Données projet'!$E$11+1,1))-AVERAGE(OFFSET($H$3,0,0,'Données projet'!$E$11+1,1))</f>
        <v>320.67081032419122</v>
      </c>
      <c r="BJ171" s="62">
        <f t="shared" si="146"/>
        <v>290.51177680335746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5.252288120161297E-2</v>
      </c>
      <c r="BR171" s="23">
        <f>EXP(-LN(2)/2)*BR170+(1-EXP(-LN(2)/2))/(LN(2)/2)*BL171*BO171*VLOOKUP('Données projet'!$B$11,Paramètres!$A$1:$I$89,3,0)*0.475*44/12</f>
        <v>1.8247988793923544E-20</v>
      </c>
      <c r="BS171" s="24">
        <f t="shared" si="169"/>
        <v>5.252288120161297E-2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-1.1527845344971866E-13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587.74247372331615</v>
      </c>
      <c r="CE171" s="62">
        <f t="shared" si="148"/>
        <v>306.61893266146666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5.4092197387944907E-14</v>
      </c>
      <c r="CV171" s="14">
        <f t="shared" si="173"/>
        <v>8.7287050538073676E-13</v>
      </c>
      <c r="CW171" s="22">
        <f t="shared" si="174"/>
        <v>1.6144600406554537E-12</v>
      </c>
      <c r="CX171" s="62">
        <f t="shared" si="122"/>
        <v>293.33333333333491</v>
      </c>
      <c r="CY171" s="62">
        <f ca="1">AVERAGE(OFFSET($CX$3,0,0,'Données projet'!$E$13+1,1))-AVERAGE(OFFSET($H$3,0,0,'Données projet'!$E$13+1,1))</f>
        <v>406.24139966722936</v>
      </c>
      <c r="CZ171" s="62">
        <f t="shared" si="150"/>
        <v>295.95724296920577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6.7984728957526396E-14</v>
      </c>
      <c r="DQ171" s="14">
        <f t="shared" si="176"/>
        <v>1.0682447123141398E-12</v>
      </c>
      <c r="DR171" s="22">
        <f t="shared" si="177"/>
        <v>1.978932943548152E-12</v>
      </c>
      <c r="DS171" s="62">
        <f t="shared" si="125"/>
        <v>293.3333333333353</v>
      </c>
      <c r="DT171" s="62">
        <f ca="1">AVERAGE(OFFSET($DS$3,0,0,'Données projet'!$E$14+1,1))-AVERAGE(OFFSET($H$3,0,0,'Données projet'!$E$14+1,1))</f>
        <v>356.42779334565381</v>
      </c>
      <c r="DU171" s="62">
        <f t="shared" si="152"/>
        <v>320.06572891923685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8.6585627263334741E-2</v>
      </c>
      <c r="EC171" s="23">
        <f>EXP(-LN(2)/2)*EC170+(1-EXP(-LN(2)/2))/(LN(2)/2)*DW171*DZ171*VLOOKUP('Données projet'!$B$14,Paramètres!$A$1:$I$89,3,0)*0.475*44/12</f>
        <v>2.8766226509318143E-20</v>
      </c>
      <c r="ED171" s="24">
        <f t="shared" si="178"/>
        <v>8.6585627263334741E-2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-5.6843418860808015E-14</v>
      </c>
      <c r="FF171" s="18">
        <f>FE171*VLOOKUP('Données projet'!$B$16,Paramètres!$A$1:$I$89,3,0)*VLOOKUP('Données projet'!$B$16,Paramètres!$A$1:$I$89,5,0)</f>
        <v>-4.5224624045658861E-14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370.59298168107364</v>
      </c>
      <c r="FK171" s="62">
        <f t="shared" si="156"/>
        <v>404.61777090709171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-1.0995790944434703E-13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562.69380557620775</v>
      </c>
      <c r="GF171" s="62">
        <f t="shared" si="158"/>
        <v>294.45557293177131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>
        <f>GU171*VLOOKUP('Données projet'!$B$18,Paramètres!$A$1:$I$89,3,0)*VLOOKUP('Données projet'!$B$18,Paramètres!$A$1:$I$89,5,0)</f>
        <v>0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363.53487081291541</v>
      </c>
      <c r="HA171" s="62">
        <f t="shared" si="160"/>
        <v>308.1559670593121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529.25712986118265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-9.5769792096689348E-14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495.77338291316386</v>
      </c>
      <c r="AO172" s="62">
        <f t="shared" si="144"/>
        <v>261.95434270986397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1.1380052455933766E-13</v>
      </c>
      <c r="BF172" s="14">
        <f t="shared" si="167"/>
        <v>1.6840738663456724E-12</v>
      </c>
      <c r="BG172" s="22">
        <f t="shared" si="168"/>
        <v>3.1312978974928925E-12</v>
      </c>
      <c r="BH172" s="62">
        <f t="shared" si="116"/>
        <v>293.33333333333644</v>
      </c>
      <c r="BI172" s="62">
        <f ca="1">AVERAGE(OFFSET($BH$3,0,0,'Données projet'!$E$11+1,1))-AVERAGE(OFFSET($H$3,0,0,'Données projet'!$E$11+1,1))</f>
        <v>320.67081032419122</v>
      </c>
      <c r="BJ172" s="62">
        <f t="shared" si="146"/>
        <v>290.51177680335746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5.1086640253096581E-2</v>
      </c>
      <c r="BR172" s="23">
        <f>EXP(-LN(2)/2)*BR171+(1-EXP(-LN(2)/2))/(LN(2)/2)*BL172*BO172*VLOOKUP('Données projet'!$B$11,Paramètres!$A$1:$I$89,3,0)*0.475*44/12</f>
        <v>1.2903276619199467E-20</v>
      </c>
      <c r="BS172" s="24">
        <f t="shared" si="169"/>
        <v>5.1086640253096581E-2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-1.1527845344971866E-13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587.74247372331615</v>
      </c>
      <c r="CE172" s="62">
        <f t="shared" si="148"/>
        <v>306.61893266146666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5.4092197387944907E-14</v>
      </c>
      <c r="CV172" s="14">
        <f t="shared" si="173"/>
        <v>8.7287050538073676E-13</v>
      </c>
      <c r="CW172" s="22">
        <f t="shared" si="174"/>
        <v>1.6144600406554537E-12</v>
      </c>
      <c r="CX172" s="62">
        <f t="shared" si="122"/>
        <v>293.33333333333491</v>
      </c>
      <c r="CY172" s="62">
        <f ca="1">AVERAGE(OFFSET($CX$3,0,0,'Données projet'!$E$13+1,1))-AVERAGE(OFFSET($H$3,0,0,'Données projet'!$E$13+1,1))</f>
        <v>406.24139966722936</v>
      </c>
      <c r="CZ172" s="62">
        <f t="shared" si="150"/>
        <v>295.95724296920577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6.7984728957526396E-14</v>
      </c>
      <c r="DQ172" s="14">
        <f t="shared" si="176"/>
        <v>1.0682447123141398E-12</v>
      </c>
      <c r="DR172" s="22">
        <f t="shared" si="177"/>
        <v>1.978932943548152E-12</v>
      </c>
      <c r="DS172" s="62">
        <f t="shared" si="125"/>
        <v>293.3333333333353</v>
      </c>
      <c r="DT172" s="62">
        <f ca="1">AVERAGE(OFFSET($DS$3,0,0,'Données projet'!$E$14+1,1))-AVERAGE(OFFSET($H$3,0,0,'Données projet'!$E$14+1,1))</f>
        <v>356.42779334565381</v>
      </c>
      <c r="DU172" s="62">
        <f t="shared" si="152"/>
        <v>320.06572891923685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8.4217938732478612E-2</v>
      </c>
      <c r="EC172" s="23">
        <f>EXP(-LN(2)/2)*EC171+(1-EXP(-LN(2)/2))/(LN(2)/2)*DW172*DZ172*VLOOKUP('Données projet'!$B$14,Paramètres!$A$1:$I$89,3,0)*0.475*44/12</f>
        <v>2.0340793833887087E-20</v>
      </c>
      <c r="ED172" s="24">
        <f t="shared" si="178"/>
        <v>8.4217938732478612E-2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-5.6843418860808015E-14</v>
      </c>
      <c r="FF172" s="18">
        <f>FE172*VLOOKUP('Données projet'!$B$16,Paramètres!$A$1:$I$89,3,0)*VLOOKUP('Données projet'!$B$16,Paramètres!$A$1:$I$89,5,0)</f>
        <v>-4.5224624045658861E-14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370.59298168107364</v>
      </c>
      <c r="FK172" s="62">
        <f t="shared" si="156"/>
        <v>404.61777090709171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-1.0995790944434703E-13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562.69380557620775</v>
      </c>
      <c r="GF172" s="62">
        <f t="shared" si="158"/>
        <v>294.45557293177131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>
        <f>GU172*VLOOKUP('Données projet'!$B$18,Paramètres!$A$1:$I$89,3,0)*VLOOKUP('Données projet'!$B$18,Paramètres!$A$1:$I$89,5,0)</f>
        <v>0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363.53487081291541</v>
      </c>
      <c r="HA172" s="62">
        <f t="shared" si="160"/>
        <v>308.1559670593121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529.25712986118265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-9.5769792096689348E-14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495.77338291316386</v>
      </c>
      <c r="AO173" s="62">
        <f t="shared" si="144"/>
        <v>261.95434270986397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1.1380052455933766E-13</v>
      </c>
      <c r="BF173" s="14">
        <f t="shared" si="167"/>
        <v>1.6840738663456724E-12</v>
      </c>
      <c r="BG173" s="22">
        <f t="shared" si="168"/>
        <v>3.1312978974928925E-12</v>
      </c>
      <c r="BH173" s="62">
        <f t="shared" si="116"/>
        <v>293.33333333333644</v>
      </c>
      <c r="BI173" s="62">
        <f ca="1">AVERAGE(OFFSET($BH$3,0,0,'Données projet'!$E$11+1,1))-AVERAGE(OFFSET($H$3,0,0,'Données projet'!$E$11+1,1))</f>
        <v>320.67081032419122</v>
      </c>
      <c r="BJ173" s="62">
        <f t="shared" si="146"/>
        <v>290.51177680335746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4.9689673388846008E-2</v>
      </c>
      <c r="BR173" s="23">
        <f>EXP(-LN(2)/2)*BR172+(1-EXP(-LN(2)/2))/(LN(2)/2)*BL173*BO173*VLOOKUP('Données projet'!$B$11,Paramètres!$A$1:$I$89,3,0)*0.475*44/12</f>
        <v>9.1239943969617718E-21</v>
      </c>
      <c r="BS173" s="24">
        <f t="shared" si="169"/>
        <v>4.9689673388846008E-2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-1.1527845344971866E-13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587.74247372331615</v>
      </c>
      <c r="CE173" s="62">
        <f t="shared" si="148"/>
        <v>306.61893266146666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5.4092197387944907E-14</v>
      </c>
      <c r="CV173" s="14">
        <f t="shared" si="173"/>
        <v>8.7287050538073676E-13</v>
      </c>
      <c r="CW173" s="22">
        <f t="shared" si="174"/>
        <v>1.6144600406554537E-12</v>
      </c>
      <c r="CX173" s="62">
        <f t="shared" si="122"/>
        <v>293.33333333333491</v>
      </c>
      <c r="CY173" s="62">
        <f ca="1">AVERAGE(OFFSET($CX$3,0,0,'Données projet'!$E$13+1,1))-AVERAGE(OFFSET($H$3,0,0,'Données projet'!$E$13+1,1))</f>
        <v>406.24139966722936</v>
      </c>
      <c r="CZ173" s="62">
        <f t="shared" si="150"/>
        <v>295.95724296920577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6.7984728957526396E-14</v>
      </c>
      <c r="DQ173" s="14">
        <f t="shared" si="176"/>
        <v>1.0682447123141398E-12</v>
      </c>
      <c r="DR173" s="22">
        <f t="shared" si="177"/>
        <v>1.978932943548152E-12</v>
      </c>
      <c r="DS173" s="62">
        <f t="shared" si="125"/>
        <v>293.3333333333353</v>
      </c>
      <c r="DT173" s="62">
        <f ca="1">AVERAGE(OFFSET($DS$3,0,0,'Données projet'!$E$14+1,1))-AVERAGE(OFFSET($H$3,0,0,'Données projet'!$E$14+1,1))</f>
        <v>356.42779334565381</v>
      </c>
      <c r="DU173" s="62">
        <f t="shared" si="152"/>
        <v>320.06572891923685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8.1914994769010069E-2</v>
      </c>
      <c r="EC173" s="23">
        <f>EXP(-LN(2)/2)*EC172+(1-EXP(-LN(2)/2))/(LN(2)/2)*DW173*DZ173*VLOOKUP('Données projet'!$B$14,Paramètres!$A$1:$I$89,3,0)*0.475*44/12</f>
        <v>1.4383113254659072E-20</v>
      </c>
      <c r="ED173" s="24">
        <f t="shared" si="178"/>
        <v>8.1914994769010069E-2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-5.6843418860808015E-14</v>
      </c>
      <c r="FF173" s="18">
        <f>FE173*VLOOKUP('Données projet'!$B$16,Paramètres!$A$1:$I$89,3,0)*VLOOKUP('Données projet'!$B$16,Paramètres!$A$1:$I$89,5,0)</f>
        <v>-4.5224624045658861E-14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370.59298168107364</v>
      </c>
      <c r="FK173" s="62">
        <f t="shared" si="156"/>
        <v>404.61777090709171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-1.0995790944434703E-13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562.69380557620775</v>
      </c>
      <c r="GF173" s="62">
        <f t="shared" si="158"/>
        <v>294.45557293177131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>
        <f>GU173*VLOOKUP('Données projet'!$B$18,Paramètres!$A$1:$I$89,3,0)*VLOOKUP('Données projet'!$B$18,Paramètres!$A$1:$I$89,5,0)</f>
        <v>0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363.53487081291541</v>
      </c>
      <c r="HA173" s="62">
        <f t="shared" si="160"/>
        <v>308.1559670593121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529.25712986118265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-9.5769792096689348E-14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495.77338291316386</v>
      </c>
      <c r="AO174" s="62">
        <f t="shared" si="144"/>
        <v>261.95434270986397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1.1380052455933766E-13</v>
      </c>
      <c r="BF174" s="14">
        <f t="shared" si="167"/>
        <v>1.6840738663456724E-12</v>
      </c>
      <c r="BG174" s="22">
        <f t="shared" si="168"/>
        <v>3.1312978974928925E-12</v>
      </c>
      <c r="BH174" s="62">
        <f t="shared" si="116"/>
        <v>293.33333333333644</v>
      </c>
      <c r="BI174" s="62">
        <f ca="1">AVERAGE(OFFSET($BH$3,0,0,'Données projet'!$E$11+1,1))-AVERAGE(OFFSET($H$3,0,0,'Données projet'!$E$11+1,1))</f>
        <v>320.67081032419122</v>
      </c>
      <c r="BJ174" s="62">
        <f t="shared" si="146"/>
        <v>290.51177680335746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4.8330906656961659E-2</v>
      </c>
      <c r="BR174" s="23">
        <f>EXP(-LN(2)/2)*BR173+(1-EXP(-LN(2)/2))/(LN(2)/2)*BL174*BO174*VLOOKUP('Données projet'!$B$11,Paramètres!$A$1:$I$89,3,0)*0.475*44/12</f>
        <v>6.4516383095997333E-21</v>
      </c>
      <c r="BS174" s="24">
        <f t="shared" si="169"/>
        <v>4.8330906656961659E-2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-1.1527845344971866E-13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587.74247372331615</v>
      </c>
      <c r="CE174" s="62">
        <f t="shared" si="148"/>
        <v>306.61893266146666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5.4092197387944907E-14</v>
      </c>
      <c r="CV174" s="14">
        <f t="shared" si="173"/>
        <v>8.7287050538073676E-13</v>
      </c>
      <c r="CW174" s="22">
        <f t="shared" si="174"/>
        <v>1.6144600406554537E-12</v>
      </c>
      <c r="CX174" s="62">
        <f t="shared" si="122"/>
        <v>293.33333333333491</v>
      </c>
      <c r="CY174" s="62">
        <f ca="1">AVERAGE(OFFSET($CX$3,0,0,'Données projet'!$E$13+1,1))-AVERAGE(OFFSET($H$3,0,0,'Données projet'!$E$13+1,1))</f>
        <v>406.24139966722936</v>
      </c>
      <c r="CZ174" s="62">
        <f t="shared" si="150"/>
        <v>295.95724296920577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6.7984728957526396E-14</v>
      </c>
      <c r="DQ174" s="14">
        <f t="shared" si="176"/>
        <v>1.0682447123141398E-12</v>
      </c>
      <c r="DR174" s="22">
        <f t="shared" si="177"/>
        <v>1.978932943548152E-12</v>
      </c>
      <c r="DS174" s="62">
        <f t="shared" si="125"/>
        <v>293.3333333333353</v>
      </c>
      <c r="DT174" s="62">
        <f ca="1">AVERAGE(OFFSET($DS$3,0,0,'Données projet'!$E$14+1,1))-AVERAGE(OFFSET($H$3,0,0,'Données projet'!$E$14+1,1))</f>
        <v>356.42779334565381</v>
      </c>
      <c r="DU174" s="62">
        <f t="shared" si="152"/>
        <v>320.06572891923685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7.9675024929329138E-2</v>
      </c>
      <c r="EC174" s="23">
        <f>EXP(-LN(2)/2)*EC173+(1-EXP(-LN(2)/2))/(LN(2)/2)*DW174*DZ174*VLOOKUP('Données projet'!$B$14,Paramètres!$A$1:$I$89,3,0)*0.475*44/12</f>
        <v>1.0170396916943544E-20</v>
      </c>
      <c r="ED174" s="24">
        <f t="shared" si="178"/>
        <v>7.9675024929329138E-2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-5.6843418860808015E-14</v>
      </c>
      <c r="FF174" s="18">
        <f>FE174*VLOOKUP('Données projet'!$B$16,Paramètres!$A$1:$I$89,3,0)*VLOOKUP('Données projet'!$B$16,Paramètres!$A$1:$I$89,5,0)</f>
        <v>-4.5224624045658861E-14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370.59298168107364</v>
      </c>
      <c r="FK174" s="62">
        <f t="shared" si="156"/>
        <v>404.61777090709171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-1.0995790944434703E-13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562.69380557620775</v>
      </c>
      <c r="GF174" s="62">
        <f t="shared" si="158"/>
        <v>294.45557293177131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>
        <f>GU174*VLOOKUP('Données projet'!$B$18,Paramètres!$A$1:$I$89,3,0)*VLOOKUP('Données projet'!$B$18,Paramètres!$A$1:$I$89,5,0)</f>
        <v>0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363.53487081291541</v>
      </c>
      <c r="HA174" s="62">
        <f t="shared" si="160"/>
        <v>308.1559670593121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529.25712986118265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-9.5769792096689348E-14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495.77338291316386</v>
      </c>
      <c r="AO175" s="62">
        <f t="shared" si="144"/>
        <v>261.95434270986397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1.1380052455933766E-13</v>
      </c>
      <c r="BF175" s="14">
        <f t="shared" si="167"/>
        <v>1.6840738663456724E-12</v>
      </c>
      <c r="BG175" s="22">
        <f t="shared" si="168"/>
        <v>3.1312978974928925E-12</v>
      </c>
      <c r="BH175" s="62">
        <f t="shared" si="116"/>
        <v>293.33333333333644</v>
      </c>
      <c r="BI175" s="62">
        <f ca="1">AVERAGE(OFFSET($BH$3,0,0,'Données projet'!$E$11+1,1))-AVERAGE(OFFSET($H$3,0,0,'Données projet'!$E$11+1,1))</f>
        <v>320.67081032419122</v>
      </c>
      <c r="BJ175" s="62">
        <f t="shared" si="146"/>
        <v>290.51177680335746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4.700929547281512E-2</v>
      </c>
      <c r="BR175" s="23">
        <f>EXP(-LN(2)/2)*BR174+(1-EXP(-LN(2)/2))/(LN(2)/2)*BL175*BO175*VLOOKUP('Données projet'!$B$11,Paramètres!$A$1:$I$89,3,0)*0.475*44/12</f>
        <v>4.5619971984808859E-21</v>
      </c>
      <c r="BS175" s="24">
        <f t="shared" si="169"/>
        <v>4.700929547281512E-2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-1.1527845344971866E-13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587.74247372331615</v>
      </c>
      <c r="CE175" s="62">
        <f t="shared" si="148"/>
        <v>306.61893266146666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5.4092197387944907E-14</v>
      </c>
      <c r="CV175" s="14">
        <f t="shared" si="173"/>
        <v>8.7287050538073676E-13</v>
      </c>
      <c r="CW175" s="22">
        <f t="shared" si="174"/>
        <v>1.6144600406554537E-12</v>
      </c>
      <c r="CX175" s="62">
        <f t="shared" si="122"/>
        <v>293.33333333333491</v>
      </c>
      <c r="CY175" s="62">
        <f ca="1">AVERAGE(OFFSET($CX$3,0,0,'Données projet'!$E$13+1,1))-AVERAGE(OFFSET($H$3,0,0,'Données projet'!$E$13+1,1))</f>
        <v>406.24139966722936</v>
      </c>
      <c r="CZ175" s="62">
        <f t="shared" si="150"/>
        <v>295.95724296920577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6.7984728957526396E-14</v>
      </c>
      <c r="DQ175" s="14">
        <f t="shared" si="176"/>
        <v>1.0682447123141398E-12</v>
      </c>
      <c r="DR175" s="22">
        <f t="shared" si="177"/>
        <v>1.978932943548152E-12</v>
      </c>
      <c r="DS175" s="62">
        <f t="shared" si="125"/>
        <v>293.3333333333353</v>
      </c>
      <c r="DT175" s="62">
        <f ca="1">AVERAGE(OFFSET($DS$3,0,0,'Données projet'!$E$14+1,1))-AVERAGE(OFFSET($H$3,0,0,'Données projet'!$E$14+1,1))</f>
        <v>356.42779334565381</v>
      </c>
      <c r="DU175" s="62">
        <f t="shared" si="152"/>
        <v>320.06572891923685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7.7496307182709168E-2</v>
      </c>
      <c r="EC175" s="23">
        <f>EXP(-LN(2)/2)*EC174+(1-EXP(-LN(2)/2))/(LN(2)/2)*DW175*DZ175*VLOOKUP('Données projet'!$B$14,Paramètres!$A$1:$I$89,3,0)*0.475*44/12</f>
        <v>7.1915566273295358E-21</v>
      </c>
      <c r="ED175" s="24">
        <f t="shared" si="178"/>
        <v>7.7496307182709168E-2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-5.6843418860808015E-14</v>
      </c>
      <c r="FF175" s="18">
        <f>FE175*VLOOKUP('Données projet'!$B$16,Paramètres!$A$1:$I$89,3,0)*VLOOKUP('Données projet'!$B$16,Paramètres!$A$1:$I$89,5,0)</f>
        <v>-4.5224624045658861E-14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370.59298168107364</v>
      </c>
      <c r="FK175" s="62">
        <f t="shared" si="156"/>
        <v>404.61777090709171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-1.0995790944434703E-13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562.69380557620775</v>
      </c>
      <c r="GF175" s="62">
        <f t="shared" si="158"/>
        <v>294.45557293177131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>
        <f>GU175*VLOOKUP('Données projet'!$B$18,Paramètres!$A$1:$I$89,3,0)*VLOOKUP('Données projet'!$B$18,Paramètres!$A$1:$I$89,5,0)</f>
        <v>0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363.53487081291541</v>
      </c>
      <c r="HA175" s="62">
        <f t="shared" si="160"/>
        <v>308.1559670593121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529.25712986118265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-9.5769792096689348E-14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495.77338291316386</v>
      </c>
      <c r="AO176" s="62">
        <f t="shared" si="144"/>
        <v>261.95434270986397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1.1380052455933766E-13</v>
      </c>
      <c r="BF176" s="14">
        <f t="shared" si="167"/>
        <v>1.6840738663456724E-12</v>
      </c>
      <c r="BG176" s="22">
        <f t="shared" si="168"/>
        <v>3.1312978974928925E-12</v>
      </c>
      <c r="BH176" s="62">
        <f t="shared" si="116"/>
        <v>293.33333333333644</v>
      </c>
      <c r="BI176" s="62">
        <f ca="1">AVERAGE(OFFSET($BH$3,0,0,'Données projet'!$E$11+1,1))-AVERAGE(OFFSET($H$3,0,0,'Données projet'!$E$11+1,1))</f>
        <v>320.67081032419122</v>
      </c>
      <c r="BJ176" s="62">
        <f t="shared" si="146"/>
        <v>290.51177680335746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4.5723823815999584E-2</v>
      </c>
      <c r="BR176" s="23">
        <f>EXP(-LN(2)/2)*BR175+(1-EXP(-LN(2)/2))/(LN(2)/2)*BL176*BO176*VLOOKUP('Données projet'!$B$11,Paramètres!$A$1:$I$89,3,0)*0.475*44/12</f>
        <v>3.2258191547998666E-21</v>
      </c>
      <c r="BS176" s="24">
        <f t="shared" si="169"/>
        <v>4.5723823815999584E-2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-1.1527845344971866E-13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587.74247372331615</v>
      </c>
      <c r="CE176" s="62">
        <f t="shared" si="148"/>
        <v>306.61893266146666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5.4092197387944907E-14</v>
      </c>
      <c r="CV176" s="14">
        <f t="shared" si="173"/>
        <v>8.7287050538073676E-13</v>
      </c>
      <c r="CW176" s="22">
        <f t="shared" si="174"/>
        <v>1.6144600406554537E-12</v>
      </c>
      <c r="CX176" s="62">
        <f t="shared" si="122"/>
        <v>293.33333333333491</v>
      </c>
      <c r="CY176" s="62">
        <f ca="1">AVERAGE(OFFSET($CX$3,0,0,'Données projet'!$E$13+1,1))-AVERAGE(OFFSET($H$3,0,0,'Données projet'!$E$13+1,1))</f>
        <v>406.24139966722936</v>
      </c>
      <c r="CZ176" s="62">
        <f t="shared" si="150"/>
        <v>295.95724296920577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6.7984728957526396E-14</v>
      </c>
      <c r="DQ176" s="14">
        <f t="shared" si="176"/>
        <v>1.0682447123141398E-12</v>
      </c>
      <c r="DR176" s="22">
        <f t="shared" si="177"/>
        <v>1.978932943548152E-12</v>
      </c>
      <c r="DS176" s="62">
        <f t="shared" si="125"/>
        <v>293.3333333333353</v>
      </c>
      <c r="DT176" s="62">
        <f ca="1">AVERAGE(OFFSET($DS$3,0,0,'Données projet'!$E$14+1,1))-AVERAGE(OFFSET($H$3,0,0,'Données projet'!$E$14+1,1))</f>
        <v>356.42779334565381</v>
      </c>
      <c r="DU176" s="62">
        <f t="shared" si="152"/>
        <v>320.06572891923685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7.5377166587444311E-2</v>
      </c>
      <c r="EC176" s="23">
        <f>EXP(-LN(2)/2)*EC175+(1-EXP(-LN(2)/2))/(LN(2)/2)*DW176*DZ176*VLOOKUP('Données projet'!$B$14,Paramètres!$A$1:$I$89,3,0)*0.475*44/12</f>
        <v>5.0851984584717718E-21</v>
      </c>
      <c r="ED176" s="24">
        <f t="shared" si="178"/>
        <v>7.5377166587444311E-2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-5.6843418860808015E-14</v>
      </c>
      <c r="FF176" s="18">
        <f>FE176*VLOOKUP('Données projet'!$B$16,Paramètres!$A$1:$I$89,3,0)*VLOOKUP('Données projet'!$B$16,Paramètres!$A$1:$I$89,5,0)</f>
        <v>-4.5224624045658861E-14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370.59298168107364</v>
      </c>
      <c r="FK176" s="62">
        <f t="shared" si="156"/>
        <v>404.61777090709171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-1.0995790944434703E-13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562.69380557620775</v>
      </c>
      <c r="GF176" s="62">
        <f t="shared" si="158"/>
        <v>294.45557293177131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>
        <f>GU176*VLOOKUP('Données projet'!$B$18,Paramètres!$A$1:$I$89,3,0)*VLOOKUP('Données projet'!$B$18,Paramètres!$A$1:$I$89,5,0)</f>
        <v>0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363.53487081291541</v>
      </c>
      <c r="HA176" s="62">
        <f t="shared" si="160"/>
        <v>308.1559670593121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529.25712986118265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-9.5769792096689348E-14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495.77338291316386</v>
      </c>
      <c r="AO177" s="62">
        <f t="shared" si="144"/>
        <v>261.95434270986397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1.1380052455933766E-13</v>
      </c>
      <c r="BF177" s="14">
        <f t="shared" si="167"/>
        <v>1.6840738663456724E-12</v>
      </c>
      <c r="BG177" s="22">
        <f t="shared" si="168"/>
        <v>3.1312978974928925E-12</v>
      </c>
      <c r="BH177" s="62">
        <f t="shared" si="116"/>
        <v>293.33333333333644</v>
      </c>
      <c r="BI177" s="62">
        <f ca="1">AVERAGE(OFFSET($BH$3,0,0,'Données projet'!$E$11+1,1))-AVERAGE(OFFSET($H$3,0,0,'Données projet'!$E$11+1,1))</f>
        <v>320.67081032419122</v>
      </c>
      <c r="BJ177" s="62">
        <f t="shared" si="146"/>
        <v>290.51177680335746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4.4473503449239685E-2</v>
      </c>
      <c r="BR177" s="23">
        <f>EXP(-LN(2)/2)*BR176+(1-EXP(-LN(2)/2))/(LN(2)/2)*BL177*BO177*VLOOKUP('Données projet'!$B$11,Paramètres!$A$1:$I$89,3,0)*0.475*44/12</f>
        <v>2.2809985992404429E-21</v>
      </c>
      <c r="BS177" s="24">
        <f t="shared" si="169"/>
        <v>4.4473503449239685E-2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-1.1527845344971866E-13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587.74247372331615</v>
      </c>
      <c r="CE177" s="62">
        <f t="shared" si="148"/>
        <v>306.61893266146666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5.4092197387944907E-14</v>
      </c>
      <c r="CV177" s="14">
        <f t="shared" si="173"/>
        <v>8.7287050538073676E-13</v>
      </c>
      <c r="CW177" s="22">
        <f t="shared" si="174"/>
        <v>1.6144600406554537E-12</v>
      </c>
      <c r="CX177" s="62">
        <f t="shared" si="122"/>
        <v>293.33333333333491</v>
      </c>
      <c r="CY177" s="62">
        <f ca="1">AVERAGE(OFFSET($CX$3,0,0,'Données projet'!$E$13+1,1))-AVERAGE(OFFSET($H$3,0,0,'Données projet'!$E$13+1,1))</f>
        <v>406.24139966722936</v>
      </c>
      <c r="CZ177" s="62">
        <f t="shared" si="150"/>
        <v>295.95724296920577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6.7984728957526396E-14</v>
      </c>
      <c r="DQ177" s="14">
        <f t="shared" si="176"/>
        <v>1.0682447123141398E-12</v>
      </c>
      <c r="DR177" s="22">
        <f t="shared" si="177"/>
        <v>1.978932943548152E-12</v>
      </c>
      <c r="DS177" s="62">
        <f t="shared" si="125"/>
        <v>293.3333333333353</v>
      </c>
      <c r="DT177" s="62">
        <f ca="1">AVERAGE(OFFSET($DS$3,0,0,'Données projet'!$E$14+1,1))-AVERAGE(OFFSET($H$3,0,0,'Données projet'!$E$14+1,1))</f>
        <v>356.42779334565381</v>
      </c>
      <c r="DU177" s="62">
        <f t="shared" si="152"/>
        <v>320.06572891923685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7.3315974003197726E-2</v>
      </c>
      <c r="EC177" s="23">
        <f>EXP(-LN(2)/2)*EC176+(1-EXP(-LN(2)/2))/(LN(2)/2)*DW177*DZ177*VLOOKUP('Données projet'!$B$14,Paramètres!$A$1:$I$89,3,0)*0.475*44/12</f>
        <v>3.5957783136647679E-21</v>
      </c>
      <c r="ED177" s="24">
        <f t="shared" si="178"/>
        <v>7.3315974003197726E-2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-5.6843418860808015E-14</v>
      </c>
      <c r="FF177" s="18">
        <f>FE177*VLOOKUP('Données projet'!$B$16,Paramètres!$A$1:$I$89,3,0)*VLOOKUP('Données projet'!$B$16,Paramètres!$A$1:$I$89,5,0)</f>
        <v>-4.5224624045658861E-14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370.59298168107364</v>
      </c>
      <c r="FK177" s="62">
        <f t="shared" si="156"/>
        <v>404.61777090709171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-1.0995790944434703E-13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562.69380557620775</v>
      </c>
      <c r="GF177" s="62">
        <f t="shared" si="158"/>
        <v>294.45557293177131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>
        <f>GU177*VLOOKUP('Données projet'!$B$18,Paramètres!$A$1:$I$89,3,0)*VLOOKUP('Données projet'!$B$18,Paramètres!$A$1:$I$89,5,0)</f>
        <v>0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363.53487081291541</v>
      </c>
      <c r="HA177" s="62">
        <f t="shared" si="160"/>
        <v>308.1559670593121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529.25712986118265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-9.5769792096689348E-14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495.77338291316386</v>
      </c>
      <c r="AO178" s="62">
        <f t="shared" si="144"/>
        <v>261.95434270986397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1.1380052455933766E-13</v>
      </c>
      <c r="BF178" s="14">
        <f t="shared" si="167"/>
        <v>1.6840738663456724E-12</v>
      </c>
      <c r="BG178" s="22">
        <f t="shared" si="168"/>
        <v>3.1312978974928925E-12</v>
      </c>
      <c r="BH178" s="62">
        <f t="shared" si="116"/>
        <v>293.33333333333644</v>
      </c>
      <c r="BI178" s="62">
        <f ca="1">AVERAGE(OFFSET($BH$3,0,0,'Données projet'!$E$11+1,1))-AVERAGE(OFFSET($H$3,0,0,'Données projet'!$E$11+1,1))</f>
        <v>320.67081032419122</v>
      </c>
      <c r="BJ178" s="62">
        <f t="shared" si="146"/>
        <v>290.51177680335746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4.3257373158660323E-2</v>
      </c>
      <c r="BR178" s="23">
        <f>EXP(-LN(2)/2)*BR177+(1-EXP(-LN(2)/2))/(LN(2)/2)*BL178*BO178*VLOOKUP('Données projet'!$B$11,Paramètres!$A$1:$I$89,3,0)*0.475*44/12</f>
        <v>1.6129095773999333E-21</v>
      </c>
      <c r="BS178" s="24">
        <f t="shared" si="169"/>
        <v>4.3257373158660323E-2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-1.1527845344971866E-13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587.74247372331615</v>
      </c>
      <c r="CE178" s="62">
        <f t="shared" si="148"/>
        <v>306.61893266146666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5.4092197387944907E-14</v>
      </c>
      <c r="CV178" s="14">
        <f t="shared" si="173"/>
        <v>8.7287050538073676E-13</v>
      </c>
      <c r="CW178" s="22">
        <f t="shared" si="174"/>
        <v>1.6144600406554537E-12</v>
      </c>
      <c r="CX178" s="62">
        <f t="shared" si="122"/>
        <v>293.33333333333491</v>
      </c>
      <c r="CY178" s="62">
        <f ca="1">AVERAGE(OFFSET($CX$3,0,0,'Données projet'!$E$13+1,1))-AVERAGE(OFFSET($H$3,0,0,'Données projet'!$E$13+1,1))</f>
        <v>406.24139966722936</v>
      </c>
      <c r="CZ178" s="62">
        <f t="shared" si="150"/>
        <v>295.95724296920577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6.7984728957526396E-14</v>
      </c>
      <c r="DQ178" s="14">
        <f t="shared" si="176"/>
        <v>1.0682447123141398E-12</v>
      </c>
      <c r="DR178" s="22">
        <f t="shared" si="177"/>
        <v>1.978932943548152E-12</v>
      </c>
      <c r="DS178" s="62">
        <f t="shared" si="125"/>
        <v>293.3333333333353</v>
      </c>
      <c r="DT178" s="62">
        <f ca="1">AVERAGE(OFFSET($DS$3,0,0,'Données projet'!$E$14+1,1))-AVERAGE(OFFSET($H$3,0,0,'Données projet'!$E$14+1,1))</f>
        <v>356.42779334565381</v>
      </c>
      <c r="DU178" s="62">
        <f t="shared" si="152"/>
        <v>320.06572891923685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7.1311144838560783E-2</v>
      </c>
      <c r="EC178" s="23">
        <f>EXP(-LN(2)/2)*EC177+(1-EXP(-LN(2)/2))/(LN(2)/2)*DW178*DZ178*VLOOKUP('Données projet'!$B$14,Paramètres!$A$1:$I$89,3,0)*0.475*44/12</f>
        <v>2.5425992292358859E-21</v>
      </c>
      <c r="ED178" s="24">
        <f t="shared" si="178"/>
        <v>7.1311144838560783E-2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-5.6843418860808015E-14</v>
      </c>
      <c r="FF178" s="18">
        <f>FE178*VLOOKUP('Données projet'!$B$16,Paramètres!$A$1:$I$89,3,0)*VLOOKUP('Données projet'!$B$16,Paramètres!$A$1:$I$89,5,0)</f>
        <v>-4.5224624045658861E-14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370.59298168107364</v>
      </c>
      <c r="FK178" s="62">
        <f t="shared" si="156"/>
        <v>404.61777090709171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-1.0995790944434703E-13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562.69380557620775</v>
      </c>
      <c r="GF178" s="62">
        <f t="shared" si="158"/>
        <v>294.45557293177131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>
        <f>GU178*VLOOKUP('Données projet'!$B$18,Paramètres!$A$1:$I$89,3,0)*VLOOKUP('Données projet'!$B$18,Paramètres!$A$1:$I$89,5,0)</f>
        <v>0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363.53487081291541</v>
      </c>
      <c r="HA178" s="62">
        <f t="shared" si="160"/>
        <v>308.1559670593121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529.25712986118265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-9.5769792096689348E-14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495.77338291316386</v>
      </c>
      <c r="AO179" s="62">
        <f t="shared" si="144"/>
        <v>261.95434270986397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1.1380052455933766E-13</v>
      </c>
      <c r="BF179" s="14">
        <f t="shared" si="167"/>
        <v>1.6840738663456724E-12</v>
      </c>
      <c r="BG179" s="22">
        <f t="shared" si="168"/>
        <v>3.1312978974928925E-12</v>
      </c>
      <c r="BH179" s="62">
        <f t="shared" si="116"/>
        <v>293.33333333333644</v>
      </c>
      <c r="BI179" s="62">
        <f ca="1">AVERAGE(OFFSET($BH$3,0,0,'Données projet'!$E$11+1,1))-AVERAGE(OFFSET($H$3,0,0,'Données projet'!$E$11+1,1))</f>
        <v>320.67081032419122</v>
      </c>
      <c r="BJ179" s="62">
        <f t="shared" si="146"/>
        <v>290.51177680335746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4.2074498014830368E-2</v>
      </c>
      <c r="BR179" s="23">
        <f>EXP(-LN(2)/2)*BR178+(1-EXP(-LN(2)/2))/(LN(2)/2)*BL179*BO179*VLOOKUP('Données projet'!$B$11,Paramètres!$A$1:$I$89,3,0)*0.475*44/12</f>
        <v>1.1404992996202215E-21</v>
      </c>
      <c r="BS179" s="24">
        <f t="shared" si="169"/>
        <v>4.2074498014830368E-2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-1.1527845344971866E-13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587.74247372331615</v>
      </c>
      <c r="CE179" s="62">
        <f t="shared" si="148"/>
        <v>306.61893266146666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5.4092197387944907E-14</v>
      </c>
      <c r="CV179" s="14">
        <f t="shared" si="173"/>
        <v>8.7287050538073676E-13</v>
      </c>
      <c r="CW179" s="22">
        <f t="shared" si="174"/>
        <v>1.6144600406554537E-12</v>
      </c>
      <c r="CX179" s="62">
        <f t="shared" si="122"/>
        <v>293.33333333333491</v>
      </c>
      <c r="CY179" s="62">
        <f ca="1">AVERAGE(OFFSET($CX$3,0,0,'Données projet'!$E$13+1,1))-AVERAGE(OFFSET($H$3,0,0,'Données projet'!$E$13+1,1))</f>
        <v>406.24139966722936</v>
      </c>
      <c r="CZ179" s="62">
        <f t="shared" si="150"/>
        <v>295.95724296920577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6.7984728957526396E-14</v>
      </c>
      <c r="DQ179" s="14">
        <f t="shared" si="176"/>
        <v>1.0682447123141398E-12</v>
      </c>
      <c r="DR179" s="22">
        <f t="shared" si="177"/>
        <v>1.978932943548152E-12</v>
      </c>
      <c r="DS179" s="62">
        <f t="shared" si="125"/>
        <v>293.3333333333353</v>
      </c>
      <c r="DT179" s="62">
        <f ca="1">AVERAGE(OFFSET($DS$3,0,0,'Données projet'!$E$14+1,1))-AVERAGE(OFFSET($H$3,0,0,'Données projet'!$E$14+1,1))</f>
        <v>356.42779334565381</v>
      </c>
      <c r="DU179" s="62">
        <f t="shared" si="152"/>
        <v>320.06572891923685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6.9361137832860215E-2</v>
      </c>
      <c r="EC179" s="23">
        <f>EXP(-LN(2)/2)*EC178+(1-EXP(-LN(2)/2))/(LN(2)/2)*DW179*DZ179*VLOOKUP('Données projet'!$B$14,Paramètres!$A$1:$I$89,3,0)*0.475*44/12</f>
        <v>1.7978891568323839E-21</v>
      </c>
      <c r="ED179" s="24">
        <f t="shared" si="178"/>
        <v>6.9361137832860215E-2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-5.6843418860808015E-14</v>
      </c>
      <c r="FF179" s="18">
        <f>FE179*VLOOKUP('Données projet'!$B$16,Paramètres!$A$1:$I$89,3,0)*VLOOKUP('Données projet'!$B$16,Paramètres!$A$1:$I$89,5,0)</f>
        <v>-4.5224624045658861E-14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370.59298168107364</v>
      </c>
      <c r="FK179" s="62">
        <f t="shared" si="156"/>
        <v>404.61777090709171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-1.0995790944434703E-13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562.69380557620775</v>
      </c>
      <c r="GF179" s="62">
        <f t="shared" si="158"/>
        <v>294.45557293177131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>
        <f>GU179*VLOOKUP('Données projet'!$B$18,Paramètres!$A$1:$I$89,3,0)*VLOOKUP('Données projet'!$B$18,Paramètres!$A$1:$I$89,5,0)</f>
        <v>0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363.53487081291541</v>
      </c>
      <c r="HA179" s="62">
        <f t="shared" si="160"/>
        <v>308.1559670593121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529.25712986118265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-9.5769792096689348E-14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495.77338291316386</v>
      </c>
      <c r="AO180" s="62">
        <f t="shared" si="144"/>
        <v>261.95434270986397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1.1380052455933766E-13</v>
      </c>
      <c r="BF180" s="14">
        <f t="shared" si="167"/>
        <v>1.6840738663456724E-12</v>
      </c>
      <c r="BG180" s="22">
        <f t="shared" si="168"/>
        <v>3.1312978974928925E-12</v>
      </c>
      <c r="BH180" s="62">
        <f t="shared" si="116"/>
        <v>293.33333333333644</v>
      </c>
      <c r="BI180" s="62">
        <f ca="1">AVERAGE(OFFSET($BH$3,0,0,'Données projet'!$E$11+1,1))-AVERAGE(OFFSET($H$3,0,0,'Données projet'!$E$11+1,1))</f>
        <v>320.67081032419122</v>
      </c>
      <c r="BJ180" s="62">
        <f t="shared" si="146"/>
        <v>290.51177680335746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4.092396865401314E-2</v>
      </c>
      <c r="BR180" s="23">
        <f>EXP(-LN(2)/2)*BR179+(1-EXP(-LN(2)/2))/(LN(2)/2)*BL180*BO180*VLOOKUP('Données projet'!$B$11,Paramètres!$A$1:$I$89,3,0)*0.475*44/12</f>
        <v>8.0645478869996666E-22</v>
      </c>
      <c r="BS180" s="24">
        <f t="shared" si="169"/>
        <v>4.092396865401314E-2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-1.1527845344971866E-13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587.74247372331615</v>
      </c>
      <c r="CE180" s="62">
        <f t="shared" si="148"/>
        <v>306.61893266146666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5.4092197387944907E-14</v>
      </c>
      <c r="CV180" s="14">
        <f t="shared" si="173"/>
        <v>8.7287050538073676E-13</v>
      </c>
      <c r="CW180" s="22">
        <f t="shared" si="174"/>
        <v>1.6144600406554537E-12</v>
      </c>
      <c r="CX180" s="62">
        <f t="shared" si="122"/>
        <v>293.33333333333491</v>
      </c>
      <c r="CY180" s="62">
        <f ca="1">AVERAGE(OFFSET($CX$3,0,0,'Données projet'!$E$13+1,1))-AVERAGE(OFFSET($H$3,0,0,'Données projet'!$E$13+1,1))</f>
        <v>406.24139966722936</v>
      </c>
      <c r="CZ180" s="62">
        <f t="shared" si="150"/>
        <v>295.95724296920577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6.7984728957526396E-14</v>
      </c>
      <c r="DQ180" s="14">
        <f t="shared" si="176"/>
        <v>1.0682447123141398E-12</v>
      </c>
      <c r="DR180" s="22">
        <f t="shared" si="177"/>
        <v>1.978932943548152E-12</v>
      </c>
      <c r="DS180" s="62">
        <f t="shared" si="125"/>
        <v>293.3333333333353</v>
      </c>
      <c r="DT180" s="62">
        <f ca="1">AVERAGE(OFFSET($DS$3,0,0,'Données projet'!$E$14+1,1))-AVERAGE(OFFSET($H$3,0,0,'Données projet'!$E$14+1,1))</f>
        <v>356.42779334565381</v>
      </c>
      <c r="DU180" s="62">
        <f t="shared" si="152"/>
        <v>320.06572891923685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6.7464453871276947E-2</v>
      </c>
      <c r="EC180" s="23">
        <f>EXP(-LN(2)/2)*EC179+(1-EXP(-LN(2)/2))/(LN(2)/2)*DW180*DZ180*VLOOKUP('Données projet'!$B$14,Paramètres!$A$1:$I$89,3,0)*0.475*44/12</f>
        <v>1.271299614617943E-21</v>
      </c>
      <c r="ED180" s="24">
        <f t="shared" si="178"/>
        <v>6.7464453871276947E-2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-5.6843418860808015E-14</v>
      </c>
      <c r="FF180" s="18">
        <f>FE180*VLOOKUP('Données projet'!$B$16,Paramètres!$A$1:$I$89,3,0)*VLOOKUP('Données projet'!$B$16,Paramètres!$A$1:$I$89,5,0)</f>
        <v>-4.5224624045658861E-14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370.59298168107364</v>
      </c>
      <c r="FK180" s="62">
        <f t="shared" si="156"/>
        <v>404.61777090709171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-1.0995790944434703E-13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562.69380557620775</v>
      </c>
      <c r="GF180" s="62">
        <f t="shared" si="158"/>
        <v>294.45557293177131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>
        <f>GU180*VLOOKUP('Données projet'!$B$18,Paramètres!$A$1:$I$89,3,0)*VLOOKUP('Données projet'!$B$18,Paramètres!$A$1:$I$89,5,0)</f>
        <v>0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363.53487081291541</v>
      </c>
      <c r="HA180" s="62">
        <f t="shared" si="160"/>
        <v>308.1559670593121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529.25712986118265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-9.5769792096689348E-14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495.77338291316386</v>
      </c>
      <c r="AO181" s="62">
        <f t="shared" si="144"/>
        <v>261.95434270986397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1.1380052455933766E-13</v>
      </c>
      <c r="BF181" s="14">
        <f t="shared" si="167"/>
        <v>1.6840738663456724E-12</v>
      </c>
      <c r="BG181" s="22">
        <f t="shared" si="168"/>
        <v>3.1312978974928925E-12</v>
      </c>
      <c r="BH181" s="62">
        <f t="shared" si="116"/>
        <v>293.33333333333644</v>
      </c>
      <c r="BI181" s="62">
        <f ca="1">AVERAGE(OFFSET($BH$3,0,0,'Données projet'!$E$11+1,1))-AVERAGE(OFFSET($H$3,0,0,'Données projet'!$E$11+1,1))</f>
        <v>320.67081032419122</v>
      </c>
      <c r="BJ181" s="62">
        <f t="shared" si="146"/>
        <v>290.51177680335746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3.980490057907117E-2</v>
      </c>
      <c r="BR181" s="23">
        <f>EXP(-LN(2)/2)*BR180+(1-EXP(-LN(2)/2))/(LN(2)/2)*BL181*BO181*VLOOKUP('Données projet'!$B$11,Paramètres!$A$1:$I$89,3,0)*0.475*44/12</f>
        <v>5.7024964981011074E-22</v>
      </c>
      <c r="BS181" s="24">
        <f t="shared" si="169"/>
        <v>3.980490057907117E-2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-1.1527845344971866E-13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587.74247372331615</v>
      </c>
      <c r="CE181" s="62">
        <f t="shared" si="148"/>
        <v>306.61893266146666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5.4092197387944907E-14</v>
      </c>
      <c r="CV181" s="14">
        <f t="shared" si="173"/>
        <v>8.7287050538073676E-13</v>
      </c>
      <c r="CW181" s="22">
        <f t="shared" si="174"/>
        <v>1.6144600406554537E-12</v>
      </c>
      <c r="CX181" s="62">
        <f t="shared" si="122"/>
        <v>293.33333333333491</v>
      </c>
      <c r="CY181" s="62">
        <f ca="1">AVERAGE(OFFSET($CX$3,0,0,'Données projet'!$E$13+1,1))-AVERAGE(OFFSET($H$3,0,0,'Données projet'!$E$13+1,1))</f>
        <v>406.24139966722936</v>
      </c>
      <c r="CZ181" s="62">
        <f t="shared" si="150"/>
        <v>295.95724296920577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6.7984728957526396E-14</v>
      </c>
      <c r="DQ181" s="14">
        <f t="shared" si="176"/>
        <v>1.0682447123141398E-12</v>
      </c>
      <c r="DR181" s="22">
        <f t="shared" si="177"/>
        <v>1.978932943548152E-12</v>
      </c>
      <c r="DS181" s="62">
        <f t="shared" si="125"/>
        <v>293.3333333333353</v>
      </c>
      <c r="DT181" s="62">
        <f ca="1">AVERAGE(OFFSET($DS$3,0,0,'Données projet'!$E$14+1,1))-AVERAGE(OFFSET($H$3,0,0,'Données projet'!$E$14+1,1))</f>
        <v>356.42779334565381</v>
      </c>
      <c r="DU181" s="62">
        <f t="shared" si="152"/>
        <v>320.06572891923685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6.5619634832365437E-2</v>
      </c>
      <c r="EC181" s="23">
        <f>EXP(-LN(2)/2)*EC180+(1-EXP(-LN(2)/2))/(LN(2)/2)*DW181*DZ181*VLOOKUP('Données projet'!$B$14,Paramètres!$A$1:$I$89,3,0)*0.475*44/12</f>
        <v>8.9894457841619197E-22</v>
      </c>
      <c r="ED181" s="24">
        <f t="shared" si="178"/>
        <v>6.5619634832365437E-2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-5.6843418860808015E-14</v>
      </c>
      <c r="FF181" s="18">
        <f>FE181*VLOOKUP('Données projet'!$B$16,Paramètres!$A$1:$I$89,3,0)*VLOOKUP('Données projet'!$B$16,Paramètres!$A$1:$I$89,5,0)</f>
        <v>-4.5224624045658861E-14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370.59298168107364</v>
      </c>
      <c r="FK181" s="62">
        <f t="shared" si="156"/>
        <v>404.61777090709171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-1.0995790944434703E-13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562.69380557620775</v>
      </c>
      <c r="GF181" s="62">
        <f t="shared" si="158"/>
        <v>294.45557293177131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>
        <f>GU181*VLOOKUP('Données projet'!$B$18,Paramètres!$A$1:$I$89,3,0)*VLOOKUP('Données projet'!$B$18,Paramètres!$A$1:$I$89,5,0)</f>
        <v>0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363.53487081291541</v>
      </c>
      <c r="HA181" s="62">
        <f t="shared" si="160"/>
        <v>308.1559670593121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529.25712986118265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-9.5769792096689348E-14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495.77338291316386</v>
      </c>
      <c r="AO182" s="62">
        <f t="shared" si="144"/>
        <v>261.95434270986397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1.1380052455933766E-13</v>
      </c>
      <c r="BF182" s="14">
        <f t="shared" si="167"/>
        <v>1.6840738663456724E-12</v>
      </c>
      <c r="BG182" s="22">
        <f t="shared" si="168"/>
        <v>3.1312978974928925E-12</v>
      </c>
      <c r="BH182" s="62">
        <f t="shared" si="116"/>
        <v>293.33333333333644</v>
      </c>
      <c r="BI182" s="62">
        <f ca="1">AVERAGE(OFFSET($BH$3,0,0,'Données projet'!$E$11+1,1))-AVERAGE(OFFSET($H$3,0,0,'Données projet'!$E$11+1,1))</f>
        <v>320.67081032419122</v>
      </c>
      <c r="BJ182" s="62">
        <f t="shared" si="146"/>
        <v>290.51177680335746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3.8716433479487722E-2</v>
      </c>
      <c r="BR182" s="23">
        <f>EXP(-LN(2)/2)*BR181+(1-EXP(-LN(2)/2))/(LN(2)/2)*BL182*BO182*VLOOKUP('Données projet'!$B$11,Paramètres!$A$1:$I$89,3,0)*0.475*44/12</f>
        <v>4.0322739434998333E-22</v>
      </c>
      <c r="BS182" s="24">
        <f t="shared" si="169"/>
        <v>3.8716433479487722E-2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-1.1527845344971866E-13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587.74247372331615</v>
      </c>
      <c r="CE182" s="62">
        <f t="shared" si="148"/>
        <v>306.61893266146666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5.4092197387944907E-14</v>
      </c>
      <c r="CV182" s="14">
        <f t="shared" si="173"/>
        <v>8.7287050538073676E-13</v>
      </c>
      <c r="CW182" s="22">
        <f t="shared" si="174"/>
        <v>1.6144600406554537E-12</v>
      </c>
      <c r="CX182" s="62">
        <f t="shared" si="122"/>
        <v>293.33333333333491</v>
      </c>
      <c r="CY182" s="62">
        <f ca="1">AVERAGE(OFFSET($CX$3,0,0,'Données projet'!$E$13+1,1))-AVERAGE(OFFSET($H$3,0,0,'Données projet'!$E$13+1,1))</f>
        <v>406.24139966722936</v>
      </c>
      <c r="CZ182" s="62">
        <f t="shared" si="150"/>
        <v>295.95724296920577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6.7984728957526396E-14</v>
      </c>
      <c r="DQ182" s="14">
        <f t="shared" si="176"/>
        <v>1.0682447123141398E-12</v>
      </c>
      <c r="DR182" s="22">
        <f t="shared" si="177"/>
        <v>1.978932943548152E-12</v>
      </c>
      <c r="DS182" s="62">
        <f t="shared" si="125"/>
        <v>293.3333333333353</v>
      </c>
      <c r="DT182" s="62">
        <f ca="1">AVERAGE(OFFSET($DS$3,0,0,'Données projet'!$E$14+1,1))-AVERAGE(OFFSET($H$3,0,0,'Données projet'!$E$14+1,1))</f>
        <v>356.42779334565381</v>
      </c>
      <c r="DU182" s="62">
        <f t="shared" si="152"/>
        <v>320.06572891923685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6.3825262467087779E-2</v>
      </c>
      <c r="EC182" s="23">
        <f>EXP(-LN(2)/2)*EC181+(1-EXP(-LN(2)/2))/(LN(2)/2)*DW182*DZ182*VLOOKUP('Données projet'!$B$14,Paramètres!$A$1:$I$89,3,0)*0.475*44/12</f>
        <v>6.3564980730897148E-22</v>
      </c>
      <c r="ED182" s="24">
        <f t="shared" si="178"/>
        <v>6.3825262467087779E-2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-5.6843418860808015E-14</v>
      </c>
      <c r="FF182" s="18">
        <f>FE182*VLOOKUP('Données projet'!$B$16,Paramètres!$A$1:$I$89,3,0)*VLOOKUP('Données projet'!$B$16,Paramètres!$A$1:$I$89,5,0)</f>
        <v>-4.5224624045658861E-14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370.59298168107364</v>
      </c>
      <c r="FK182" s="62">
        <f t="shared" si="156"/>
        <v>404.61777090709171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-1.0995790944434703E-13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562.69380557620775</v>
      </c>
      <c r="GF182" s="62">
        <f t="shared" si="158"/>
        <v>294.45557293177131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>
        <f>GU182*VLOOKUP('Données projet'!$B$18,Paramètres!$A$1:$I$89,3,0)*VLOOKUP('Données projet'!$B$18,Paramètres!$A$1:$I$89,5,0)</f>
        <v>0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363.53487081291541</v>
      </c>
      <c r="HA182" s="62">
        <f t="shared" si="160"/>
        <v>308.1559670593121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529.25712986118265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-9.5769792096689348E-14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495.77338291316386</v>
      </c>
      <c r="AO183" s="62">
        <f t="shared" si="144"/>
        <v>261.95434270986397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1.1380052455933766E-13</v>
      </c>
      <c r="BF183" s="14">
        <f t="shared" si="167"/>
        <v>1.6840738663456724E-12</v>
      </c>
      <c r="BG183" s="22">
        <f t="shared" si="168"/>
        <v>3.1312978974928925E-12</v>
      </c>
      <c r="BH183" s="62">
        <f t="shared" si="116"/>
        <v>293.33333333333644</v>
      </c>
      <c r="BI183" s="62">
        <f ca="1">AVERAGE(OFFSET($BH$3,0,0,'Données projet'!$E$11+1,1))-AVERAGE(OFFSET($H$3,0,0,'Données projet'!$E$11+1,1))</f>
        <v>320.67081032419122</v>
      </c>
      <c r="BJ183" s="62">
        <f t="shared" si="146"/>
        <v>290.51177680335746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3.7657730569982381E-2</v>
      </c>
      <c r="BR183" s="23">
        <f>EXP(-LN(2)/2)*BR182+(1-EXP(-LN(2)/2))/(LN(2)/2)*BL183*BO183*VLOOKUP('Données projet'!$B$11,Paramètres!$A$1:$I$89,3,0)*0.475*44/12</f>
        <v>2.8512482490505537E-22</v>
      </c>
      <c r="BS183" s="24">
        <f t="shared" si="169"/>
        <v>3.7657730569982381E-2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-1.1527845344971866E-13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587.74247372331615</v>
      </c>
      <c r="CE183" s="62">
        <f t="shared" si="148"/>
        <v>306.61893266146666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5.4092197387944907E-14</v>
      </c>
      <c r="CV183" s="14">
        <f t="shared" si="173"/>
        <v>8.7287050538073676E-13</v>
      </c>
      <c r="CW183" s="22">
        <f t="shared" si="174"/>
        <v>1.6144600406554537E-12</v>
      </c>
      <c r="CX183" s="62">
        <f t="shared" si="122"/>
        <v>293.33333333333491</v>
      </c>
      <c r="CY183" s="62">
        <f ca="1">AVERAGE(OFFSET($CX$3,0,0,'Données projet'!$E$13+1,1))-AVERAGE(OFFSET($H$3,0,0,'Données projet'!$E$13+1,1))</f>
        <v>406.24139966722936</v>
      </c>
      <c r="CZ183" s="62">
        <f t="shared" si="150"/>
        <v>295.95724296920577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6.7984728957526396E-14</v>
      </c>
      <c r="DQ183" s="14">
        <f t="shared" si="176"/>
        <v>1.0682447123141398E-12</v>
      </c>
      <c r="DR183" s="22">
        <f t="shared" si="177"/>
        <v>1.978932943548152E-12</v>
      </c>
      <c r="DS183" s="62">
        <f t="shared" si="125"/>
        <v>293.3333333333353</v>
      </c>
      <c r="DT183" s="62">
        <f ca="1">AVERAGE(OFFSET($DS$3,0,0,'Données projet'!$E$14+1,1))-AVERAGE(OFFSET($H$3,0,0,'Données projet'!$E$14+1,1))</f>
        <v>356.42779334565381</v>
      </c>
      <c r="DU183" s="62">
        <f t="shared" si="152"/>
        <v>320.06572891923685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6.2079957308500584E-2</v>
      </c>
      <c r="EC183" s="23">
        <f>EXP(-LN(2)/2)*EC182+(1-EXP(-LN(2)/2))/(LN(2)/2)*DW183*DZ183*VLOOKUP('Données projet'!$B$14,Paramètres!$A$1:$I$89,3,0)*0.475*44/12</f>
        <v>4.4947228920809599E-22</v>
      </c>
      <c r="ED183" s="24">
        <f t="shared" si="178"/>
        <v>6.2079957308500584E-2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-5.6843418860808015E-14</v>
      </c>
      <c r="FF183" s="18">
        <f>FE183*VLOOKUP('Données projet'!$B$16,Paramètres!$A$1:$I$89,3,0)*VLOOKUP('Données projet'!$B$16,Paramètres!$A$1:$I$89,5,0)</f>
        <v>-4.5224624045658861E-14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370.59298168107364</v>
      </c>
      <c r="FK183" s="62">
        <f t="shared" si="156"/>
        <v>404.61777090709171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-1.0995790944434703E-13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562.69380557620775</v>
      </c>
      <c r="GF183" s="62">
        <f t="shared" si="158"/>
        <v>294.45557293177131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>
        <f>GU183*VLOOKUP('Données projet'!$B$18,Paramètres!$A$1:$I$89,3,0)*VLOOKUP('Données projet'!$B$18,Paramètres!$A$1:$I$89,5,0)</f>
        <v>0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363.53487081291541</v>
      </c>
      <c r="HA183" s="62">
        <f t="shared" si="160"/>
        <v>308.1559670593121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529.25712986118265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-9.5769792096689348E-14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495.77338291316386</v>
      </c>
      <c r="AO184" s="62">
        <f t="shared" si="144"/>
        <v>261.95434270986397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1.1380052455933766E-13</v>
      </c>
      <c r="BF184" s="14">
        <f t="shared" si="167"/>
        <v>1.6840738663456724E-12</v>
      </c>
      <c r="BG184" s="22">
        <f t="shared" si="168"/>
        <v>3.1312978974928925E-12</v>
      </c>
      <c r="BH184" s="62">
        <f t="shared" si="116"/>
        <v>293.33333333333644</v>
      </c>
      <c r="BI184" s="62">
        <f ca="1">AVERAGE(OFFSET($BH$3,0,0,'Données projet'!$E$11+1,1))-AVERAGE(OFFSET($H$3,0,0,'Données projet'!$E$11+1,1))</f>
        <v>320.67081032419122</v>
      </c>
      <c r="BJ184" s="62">
        <f t="shared" si="146"/>
        <v>290.51177680335746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3.6627977947212231E-2</v>
      </c>
      <c r="BR184" s="23">
        <f>EXP(-LN(2)/2)*BR183+(1-EXP(-LN(2)/2))/(LN(2)/2)*BL184*BO184*VLOOKUP('Données projet'!$B$11,Paramètres!$A$1:$I$89,3,0)*0.475*44/12</f>
        <v>2.0161369717499166E-22</v>
      </c>
      <c r="BS184" s="24">
        <f t="shared" si="169"/>
        <v>3.6627977947212231E-2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-1.1527845344971866E-13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587.74247372331615</v>
      </c>
      <c r="CE184" s="62">
        <f t="shared" si="148"/>
        <v>306.61893266146666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5.4092197387944907E-14</v>
      </c>
      <c r="CV184" s="14">
        <f t="shared" si="173"/>
        <v>8.7287050538073676E-13</v>
      </c>
      <c r="CW184" s="22">
        <f t="shared" si="174"/>
        <v>1.6144600406554537E-12</v>
      </c>
      <c r="CX184" s="62">
        <f t="shared" si="122"/>
        <v>293.33333333333491</v>
      </c>
      <c r="CY184" s="62">
        <f ca="1">AVERAGE(OFFSET($CX$3,0,0,'Données projet'!$E$13+1,1))-AVERAGE(OFFSET($H$3,0,0,'Données projet'!$E$13+1,1))</f>
        <v>406.24139966722936</v>
      </c>
      <c r="CZ184" s="62">
        <f t="shared" si="150"/>
        <v>295.95724296920577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6.7984728957526396E-14</v>
      </c>
      <c r="DQ184" s="14">
        <f t="shared" si="176"/>
        <v>1.0682447123141398E-12</v>
      </c>
      <c r="DR184" s="22">
        <f t="shared" si="177"/>
        <v>1.978932943548152E-12</v>
      </c>
      <c r="DS184" s="62">
        <f t="shared" si="125"/>
        <v>293.3333333333353</v>
      </c>
      <c r="DT184" s="62">
        <f ca="1">AVERAGE(OFFSET($DS$3,0,0,'Données projet'!$E$14+1,1))-AVERAGE(OFFSET($H$3,0,0,'Données projet'!$E$14+1,1))</f>
        <v>356.42779334565381</v>
      </c>
      <c r="DU184" s="62">
        <f t="shared" si="152"/>
        <v>320.06572891923685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6.0382377611256567E-2</v>
      </c>
      <c r="EC184" s="23">
        <f>EXP(-LN(2)/2)*EC183+(1-EXP(-LN(2)/2))/(LN(2)/2)*DW184*DZ184*VLOOKUP('Données projet'!$B$14,Paramètres!$A$1:$I$89,3,0)*0.475*44/12</f>
        <v>3.1782490365448574E-22</v>
      </c>
      <c r="ED184" s="24">
        <f t="shared" si="178"/>
        <v>6.0382377611256567E-2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-5.6843418860808015E-14</v>
      </c>
      <c r="FF184" s="18">
        <f>FE184*VLOOKUP('Données projet'!$B$16,Paramètres!$A$1:$I$89,3,0)*VLOOKUP('Données projet'!$B$16,Paramètres!$A$1:$I$89,5,0)</f>
        <v>-4.5224624045658861E-14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370.59298168107364</v>
      </c>
      <c r="FK184" s="62">
        <f t="shared" si="156"/>
        <v>404.61777090709171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-1.0995790944434703E-13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562.69380557620775</v>
      </c>
      <c r="GF184" s="62">
        <f t="shared" si="158"/>
        <v>294.45557293177131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>
        <f>GU184*VLOOKUP('Données projet'!$B$18,Paramètres!$A$1:$I$89,3,0)*VLOOKUP('Données projet'!$B$18,Paramètres!$A$1:$I$89,5,0)</f>
        <v>0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363.53487081291541</v>
      </c>
      <c r="HA184" s="62">
        <f t="shared" si="160"/>
        <v>308.1559670593121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529.25712986118265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-9.5769792096689348E-14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495.77338291316386</v>
      </c>
      <c r="AO185" s="62">
        <f t="shared" si="144"/>
        <v>261.95434270986397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1.1380052455933766E-13</v>
      </c>
      <c r="BF185" s="14">
        <f t="shared" si="167"/>
        <v>1.6840738663456724E-12</v>
      </c>
      <c r="BG185" s="22">
        <f t="shared" si="168"/>
        <v>3.1312978974928925E-12</v>
      </c>
      <c r="BH185" s="62">
        <f t="shared" si="116"/>
        <v>293.33333333333644</v>
      </c>
      <c r="BI185" s="62">
        <f ca="1">AVERAGE(OFFSET($BH$3,0,0,'Données projet'!$E$11+1,1))-AVERAGE(OFFSET($H$3,0,0,'Données projet'!$E$11+1,1))</f>
        <v>320.67081032419122</v>
      </c>
      <c r="BJ185" s="62">
        <f t="shared" si="146"/>
        <v>290.51177680335746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3.5626383964064069E-2</v>
      </c>
      <c r="BR185" s="23">
        <f>EXP(-LN(2)/2)*BR184+(1-EXP(-LN(2)/2))/(LN(2)/2)*BL185*BO185*VLOOKUP('Données projet'!$B$11,Paramètres!$A$1:$I$89,3,0)*0.475*44/12</f>
        <v>1.4256241245252768E-22</v>
      </c>
      <c r="BS185" s="24">
        <f t="shared" si="169"/>
        <v>3.5626383964064069E-2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-1.1527845344971866E-13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587.74247372331615</v>
      </c>
      <c r="CE185" s="62">
        <f t="shared" si="148"/>
        <v>306.61893266146666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5.4092197387944907E-14</v>
      </c>
      <c r="CV185" s="14">
        <f t="shared" si="173"/>
        <v>8.7287050538073676E-13</v>
      </c>
      <c r="CW185" s="22">
        <f t="shared" si="174"/>
        <v>1.6144600406554537E-12</v>
      </c>
      <c r="CX185" s="62">
        <f t="shared" si="122"/>
        <v>293.33333333333491</v>
      </c>
      <c r="CY185" s="62">
        <f ca="1">AVERAGE(OFFSET($CX$3,0,0,'Données projet'!$E$13+1,1))-AVERAGE(OFFSET($H$3,0,0,'Données projet'!$E$13+1,1))</f>
        <v>406.24139966722936</v>
      </c>
      <c r="CZ185" s="62">
        <f t="shared" si="150"/>
        <v>295.95724296920577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6.7984728957526396E-14</v>
      </c>
      <c r="DQ185" s="14">
        <f t="shared" si="176"/>
        <v>1.0682447123141398E-12</v>
      </c>
      <c r="DR185" s="22">
        <f t="shared" si="177"/>
        <v>1.978932943548152E-12</v>
      </c>
      <c r="DS185" s="62">
        <f t="shared" si="125"/>
        <v>293.3333333333353</v>
      </c>
      <c r="DT185" s="62">
        <f ca="1">AVERAGE(OFFSET($DS$3,0,0,'Données projet'!$E$14+1,1))-AVERAGE(OFFSET($H$3,0,0,'Données projet'!$E$14+1,1))</f>
        <v>356.42779334565381</v>
      </c>
      <c r="DU185" s="62">
        <f t="shared" si="152"/>
        <v>320.06572891923685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5.873121832010552E-2</v>
      </c>
      <c r="EC185" s="23">
        <f>EXP(-LN(2)/2)*EC184+(1-EXP(-LN(2)/2))/(LN(2)/2)*DW185*DZ185*VLOOKUP('Données projet'!$B$14,Paramètres!$A$1:$I$89,3,0)*0.475*44/12</f>
        <v>2.2473614460404799E-22</v>
      </c>
      <c r="ED185" s="24">
        <f t="shared" si="178"/>
        <v>5.873121832010552E-2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-5.6843418860808015E-14</v>
      </c>
      <c r="FF185" s="18">
        <f>FE185*VLOOKUP('Données projet'!$B$16,Paramètres!$A$1:$I$89,3,0)*VLOOKUP('Données projet'!$B$16,Paramètres!$A$1:$I$89,5,0)</f>
        <v>-4.5224624045658861E-14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370.59298168107364</v>
      </c>
      <c r="FK185" s="62">
        <f t="shared" si="156"/>
        <v>404.61777090709171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-1.0995790944434703E-13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562.69380557620775</v>
      </c>
      <c r="GF185" s="62">
        <f t="shared" si="158"/>
        <v>294.45557293177131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>
        <f>GU185*VLOOKUP('Données projet'!$B$18,Paramètres!$A$1:$I$89,3,0)*VLOOKUP('Données projet'!$B$18,Paramètres!$A$1:$I$89,5,0)</f>
        <v>0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363.53487081291541</v>
      </c>
      <c r="HA185" s="62">
        <f t="shared" si="160"/>
        <v>308.1559670593121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529.25712986118265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-9.5769792096689348E-14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495.77338291316386</v>
      </c>
      <c r="AO186" s="62">
        <f t="shared" si="144"/>
        <v>261.95434270986397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1.1380052455933766E-13</v>
      </c>
      <c r="BF186" s="14">
        <f t="shared" si="167"/>
        <v>1.6840738663456724E-12</v>
      </c>
      <c r="BG186" s="22">
        <f t="shared" si="168"/>
        <v>3.1312978974928925E-12</v>
      </c>
      <c r="BH186" s="62">
        <f t="shared" si="116"/>
        <v>293.33333333333644</v>
      </c>
      <c r="BI186" s="62">
        <f ca="1">AVERAGE(OFFSET($BH$3,0,0,'Données projet'!$E$11+1,1))-AVERAGE(OFFSET($H$3,0,0,'Données projet'!$E$11+1,1))</f>
        <v>320.67081032419122</v>
      </c>
      <c r="BJ186" s="62">
        <f t="shared" si="146"/>
        <v>290.51177680335746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3.4652178621056628E-2</v>
      </c>
      <c r="BR186" s="23">
        <f>EXP(-LN(2)/2)*BR185+(1-EXP(-LN(2)/2))/(LN(2)/2)*BL186*BO186*VLOOKUP('Données projet'!$B$11,Paramètres!$A$1:$I$89,3,0)*0.475*44/12</f>
        <v>1.0080684858749583E-22</v>
      </c>
      <c r="BS186" s="24">
        <f t="shared" si="169"/>
        <v>3.4652178621056628E-2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-1.1527845344971866E-13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587.74247372331615</v>
      </c>
      <c r="CE186" s="62">
        <f t="shared" si="148"/>
        <v>306.61893266146666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5.4092197387944907E-14</v>
      </c>
      <c r="CV186" s="14">
        <f t="shared" si="173"/>
        <v>8.7287050538073676E-13</v>
      </c>
      <c r="CW186" s="22">
        <f t="shared" si="174"/>
        <v>1.6144600406554537E-12</v>
      </c>
      <c r="CX186" s="62">
        <f t="shared" si="122"/>
        <v>293.33333333333491</v>
      </c>
      <c r="CY186" s="62">
        <f ca="1">AVERAGE(OFFSET($CX$3,0,0,'Données projet'!$E$13+1,1))-AVERAGE(OFFSET($H$3,0,0,'Données projet'!$E$13+1,1))</f>
        <v>406.24139966722936</v>
      </c>
      <c r="CZ186" s="62">
        <f t="shared" si="150"/>
        <v>295.95724296920577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6.7984728957526396E-14</v>
      </c>
      <c r="DQ186" s="14">
        <f t="shared" si="176"/>
        <v>1.0682447123141398E-12</v>
      </c>
      <c r="DR186" s="22">
        <f t="shared" si="177"/>
        <v>1.978932943548152E-12</v>
      </c>
      <c r="DS186" s="62">
        <f t="shared" si="125"/>
        <v>293.3333333333353</v>
      </c>
      <c r="DT186" s="62">
        <f ca="1">AVERAGE(OFFSET($DS$3,0,0,'Données projet'!$E$14+1,1))-AVERAGE(OFFSET($H$3,0,0,'Données projet'!$E$14+1,1))</f>
        <v>356.42779334565381</v>
      </c>
      <c r="DU186" s="62">
        <f t="shared" si="152"/>
        <v>320.06572891923685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5.7125210066601692E-2</v>
      </c>
      <c r="EC186" s="23">
        <f>EXP(-LN(2)/2)*EC185+(1-EXP(-LN(2)/2))/(LN(2)/2)*DW186*DZ186*VLOOKUP('Données projet'!$B$14,Paramètres!$A$1:$I$89,3,0)*0.475*44/12</f>
        <v>1.5891245182724287E-22</v>
      </c>
      <c r="ED186" s="24">
        <f t="shared" si="178"/>
        <v>5.7125210066601692E-2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-5.6843418860808015E-14</v>
      </c>
      <c r="FF186" s="18">
        <f>FE186*VLOOKUP('Données projet'!$B$16,Paramètres!$A$1:$I$89,3,0)*VLOOKUP('Données projet'!$B$16,Paramètres!$A$1:$I$89,5,0)</f>
        <v>-4.5224624045658861E-14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370.59298168107364</v>
      </c>
      <c r="FK186" s="62">
        <f t="shared" si="156"/>
        <v>404.61777090709171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-1.0995790944434703E-13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562.69380557620775</v>
      </c>
      <c r="GF186" s="62">
        <f t="shared" si="158"/>
        <v>294.45557293177131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>
        <f>GU186*VLOOKUP('Données projet'!$B$18,Paramètres!$A$1:$I$89,3,0)*VLOOKUP('Données projet'!$B$18,Paramètres!$A$1:$I$89,5,0)</f>
        <v>0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363.53487081291541</v>
      </c>
      <c r="HA186" s="62">
        <f t="shared" si="160"/>
        <v>308.1559670593121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529.25712986118265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-9.5769792096689348E-14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495.77338291316386</v>
      </c>
      <c r="AO187" s="62">
        <f t="shared" si="144"/>
        <v>261.95434270986397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1.1380052455933766E-13</v>
      </c>
      <c r="BF187" s="14">
        <f t="shared" si="167"/>
        <v>1.6840738663456724E-12</v>
      </c>
      <c r="BG187" s="22">
        <f t="shared" si="168"/>
        <v>3.1312978974928925E-12</v>
      </c>
      <c r="BH187" s="62">
        <f t="shared" si="116"/>
        <v>293.33333333333644</v>
      </c>
      <c r="BI187" s="62">
        <f ca="1">AVERAGE(OFFSET($BH$3,0,0,'Données projet'!$E$11+1,1))-AVERAGE(OFFSET($H$3,0,0,'Données projet'!$E$11+1,1))</f>
        <v>320.67081032419122</v>
      </c>
      <c r="BJ187" s="62">
        <f t="shared" si="146"/>
        <v>290.51177680335746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3.3704612974384957E-2</v>
      </c>
      <c r="BR187" s="23">
        <f>EXP(-LN(2)/2)*BR186+(1-EXP(-LN(2)/2))/(LN(2)/2)*BL187*BO187*VLOOKUP('Données projet'!$B$11,Paramètres!$A$1:$I$89,3,0)*0.475*44/12</f>
        <v>7.1281206226263842E-23</v>
      </c>
      <c r="BS187" s="24">
        <f t="shared" si="169"/>
        <v>3.3704612974384957E-2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-1.1527845344971866E-13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587.74247372331615</v>
      </c>
      <c r="CE187" s="62">
        <f t="shared" si="148"/>
        <v>306.61893266146666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5.4092197387944907E-14</v>
      </c>
      <c r="CV187" s="14">
        <f t="shared" si="173"/>
        <v>8.7287050538073676E-13</v>
      </c>
      <c r="CW187" s="22">
        <f t="shared" si="174"/>
        <v>1.6144600406554537E-12</v>
      </c>
      <c r="CX187" s="62">
        <f t="shared" si="122"/>
        <v>293.33333333333491</v>
      </c>
      <c r="CY187" s="62">
        <f ca="1">AVERAGE(OFFSET($CX$3,0,0,'Données projet'!$E$13+1,1))-AVERAGE(OFFSET($H$3,0,0,'Données projet'!$E$13+1,1))</f>
        <v>406.24139966722936</v>
      </c>
      <c r="CZ187" s="62">
        <f t="shared" si="150"/>
        <v>295.95724296920577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6.7984728957526396E-14</v>
      </c>
      <c r="DQ187" s="14">
        <f t="shared" si="176"/>
        <v>1.0682447123141398E-12</v>
      </c>
      <c r="DR187" s="22">
        <f t="shared" si="177"/>
        <v>1.978932943548152E-12</v>
      </c>
      <c r="DS187" s="62">
        <f t="shared" si="125"/>
        <v>293.3333333333353</v>
      </c>
      <c r="DT187" s="62">
        <f ca="1">AVERAGE(OFFSET($DS$3,0,0,'Données projet'!$E$14+1,1))-AVERAGE(OFFSET($H$3,0,0,'Données projet'!$E$14+1,1))</f>
        <v>356.42779334565381</v>
      </c>
      <c r="DU187" s="62">
        <f t="shared" si="152"/>
        <v>320.06572891923685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5.5563118193246233E-2</v>
      </c>
      <c r="EC187" s="23">
        <f>EXP(-LN(2)/2)*EC186+(1-EXP(-LN(2)/2))/(LN(2)/2)*DW187*DZ187*VLOOKUP('Données projet'!$B$14,Paramètres!$A$1:$I$89,3,0)*0.475*44/12</f>
        <v>1.12368072302024E-22</v>
      </c>
      <c r="ED187" s="24">
        <f t="shared" si="178"/>
        <v>5.5563118193246233E-2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-5.6843418860808015E-14</v>
      </c>
      <c r="FF187" s="18">
        <f>FE187*VLOOKUP('Données projet'!$B$16,Paramètres!$A$1:$I$89,3,0)*VLOOKUP('Données projet'!$B$16,Paramètres!$A$1:$I$89,5,0)</f>
        <v>-4.5224624045658861E-14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370.59298168107364</v>
      </c>
      <c r="FK187" s="62">
        <f t="shared" si="156"/>
        <v>404.61777090709171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-1.0995790944434703E-13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562.69380557620775</v>
      </c>
      <c r="GF187" s="62">
        <f t="shared" si="158"/>
        <v>294.45557293177131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>
        <f>GU187*VLOOKUP('Données projet'!$B$18,Paramètres!$A$1:$I$89,3,0)*VLOOKUP('Données projet'!$B$18,Paramètres!$A$1:$I$89,5,0)</f>
        <v>0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363.53487081291541</v>
      </c>
      <c r="HA187" s="62">
        <f t="shared" si="160"/>
        <v>308.1559670593121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529.25712986118265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-9.5769792096689348E-14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495.77338291316386</v>
      </c>
      <c r="AO188" s="62">
        <f t="shared" si="144"/>
        <v>261.95434270986397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1.1380052455933766E-13</v>
      </c>
      <c r="BF188" s="14">
        <f t="shared" si="167"/>
        <v>1.6840738663456724E-12</v>
      </c>
      <c r="BG188" s="22">
        <f t="shared" si="168"/>
        <v>3.1312978974928925E-12</v>
      </c>
      <c r="BH188" s="62">
        <f t="shared" si="116"/>
        <v>293.33333333333644</v>
      </c>
      <c r="BI188" s="62">
        <f ca="1">AVERAGE(OFFSET($BH$3,0,0,'Données projet'!$E$11+1,1))-AVERAGE(OFFSET($H$3,0,0,'Données projet'!$E$11+1,1))</f>
        <v>320.67081032419122</v>
      </c>
      <c r="BJ188" s="62">
        <f t="shared" si="146"/>
        <v>290.51177680335746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3.2782958560151836E-2</v>
      </c>
      <c r="BR188" s="23">
        <f>EXP(-LN(2)/2)*BR187+(1-EXP(-LN(2)/2))/(LN(2)/2)*BL188*BO188*VLOOKUP('Données projet'!$B$11,Paramètres!$A$1:$I$89,3,0)*0.475*44/12</f>
        <v>5.0403424293747916E-23</v>
      </c>
      <c r="BS188" s="24">
        <f t="shared" si="169"/>
        <v>3.2782958560151836E-2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-1.1527845344971866E-13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587.74247372331615</v>
      </c>
      <c r="CE188" s="62">
        <f t="shared" si="148"/>
        <v>306.61893266146666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5.4092197387944907E-14</v>
      </c>
      <c r="CV188" s="14">
        <f t="shared" si="173"/>
        <v>8.7287050538073676E-13</v>
      </c>
      <c r="CW188" s="22">
        <f t="shared" si="174"/>
        <v>1.6144600406554537E-12</v>
      </c>
      <c r="CX188" s="62">
        <f t="shared" si="122"/>
        <v>293.33333333333491</v>
      </c>
      <c r="CY188" s="62">
        <f ca="1">AVERAGE(OFFSET($CX$3,0,0,'Données projet'!$E$13+1,1))-AVERAGE(OFFSET($H$3,0,0,'Données projet'!$E$13+1,1))</f>
        <v>406.24139966722936</v>
      </c>
      <c r="CZ188" s="62">
        <f t="shared" si="150"/>
        <v>295.95724296920577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6.7984728957526396E-14</v>
      </c>
      <c r="DQ188" s="14">
        <f t="shared" si="176"/>
        <v>1.0682447123141398E-12</v>
      </c>
      <c r="DR188" s="22">
        <f t="shared" si="177"/>
        <v>1.978932943548152E-12</v>
      </c>
      <c r="DS188" s="62">
        <f t="shared" si="125"/>
        <v>293.3333333333353</v>
      </c>
      <c r="DT188" s="62">
        <f ca="1">AVERAGE(OFFSET($DS$3,0,0,'Données projet'!$E$14+1,1))-AVERAGE(OFFSET($H$3,0,0,'Données projet'!$E$14+1,1))</f>
        <v>356.42779334565381</v>
      </c>
      <c r="DU188" s="62">
        <f t="shared" si="152"/>
        <v>320.06572891923685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5.4043741804314517E-2</v>
      </c>
      <c r="EC188" s="23">
        <f>EXP(-LN(2)/2)*EC187+(1-EXP(-LN(2)/2))/(LN(2)/2)*DW188*DZ188*VLOOKUP('Données projet'!$B$14,Paramètres!$A$1:$I$89,3,0)*0.475*44/12</f>
        <v>7.9456225913621435E-23</v>
      </c>
      <c r="ED188" s="24">
        <f t="shared" si="178"/>
        <v>5.4043741804314517E-2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-5.6843418860808015E-14</v>
      </c>
      <c r="FF188" s="18">
        <f>FE188*VLOOKUP('Données projet'!$B$16,Paramètres!$A$1:$I$89,3,0)*VLOOKUP('Données projet'!$B$16,Paramètres!$A$1:$I$89,5,0)</f>
        <v>-4.5224624045658861E-14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370.59298168107364</v>
      </c>
      <c r="FK188" s="62">
        <f t="shared" si="156"/>
        <v>404.61777090709171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-1.0995790944434703E-13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562.69380557620775</v>
      </c>
      <c r="GF188" s="62">
        <f t="shared" si="158"/>
        <v>294.45557293177131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>
        <f>GU188*VLOOKUP('Données projet'!$B$18,Paramètres!$A$1:$I$89,3,0)*VLOOKUP('Données projet'!$B$18,Paramètres!$A$1:$I$89,5,0)</f>
        <v>0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363.53487081291541</v>
      </c>
      <c r="HA188" s="62">
        <f t="shared" si="160"/>
        <v>308.1559670593121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529.25712986118265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-9.5769792096689348E-14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495.77338291316386</v>
      </c>
      <c r="AO189" s="62">
        <f t="shared" si="144"/>
        <v>261.95434270986397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1.1380052455933766E-13</v>
      </c>
      <c r="BF189" s="14">
        <f t="shared" si="167"/>
        <v>1.6840738663456724E-12</v>
      </c>
      <c r="BG189" s="22">
        <f t="shared" si="168"/>
        <v>3.1312978974928925E-12</v>
      </c>
      <c r="BH189" s="62">
        <f t="shared" si="116"/>
        <v>293.33333333333644</v>
      </c>
      <c r="BI189" s="62">
        <f ca="1">AVERAGE(OFFSET($BH$3,0,0,'Données projet'!$E$11+1,1))-AVERAGE(OFFSET($H$3,0,0,'Données projet'!$E$11+1,1))</f>
        <v>320.67081032419122</v>
      </c>
      <c r="BJ189" s="62">
        <f t="shared" si="146"/>
        <v>290.51177680335746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3.1886506834343617E-2</v>
      </c>
      <c r="BR189" s="23">
        <f>EXP(-LN(2)/2)*BR188+(1-EXP(-LN(2)/2))/(LN(2)/2)*BL189*BO189*VLOOKUP('Données projet'!$B$11,Paramètres!$A$1:$I$89,3,0)*0.475*44/12</f>
        <v>3.5640603113131921E-23</v>
      </c>
      <c r="BS189" s="24">
        <f t="shared" si="169"/>
        <v>3.1886506834343617E-2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-1.1527845344971866E-13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587.74247372331615</v>
      </c>
      <c r="CE189" s="62">
        <f t="shared" si="148"/>
        <v>306.61893266146666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5.4092197387944907E-14</v>
      </c>
      <c r="CV189" s="14">
        <f t="shared" si="173"/>
        <v>8.7287050538073676E-13</v>
      </c>
      <c r="CW189" s="22">
        <f t="shared" si="174"/>
        <v>1.6144600406554537E-12</v>
      </c>
      <c r="CX189" s="62">
        <f t="shared" si="122"/>
        <v>293.33333333333491</v>
      </c>
      <c r="CY189" s="62">
        <f ca="1">AVERAGE(OFFSET($CX$3,0,0,'Données projet'!$E$13+1,1))-AVERAGE(OFFSET($H$3,0,0,'Données projet'!$E$13+1,1))</f>
        <v>406.24139966722936</v>
      </c>
      <c r="CZ189" s="62">
        <f t="shared" si="150"/>
        <v>295.95724296920577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6.7984728957526396E-14</v>
      </c>
      <c r="DQ189" s="14">
        <f t="shared" si="176"/>
        <v>1.0682447123141398E-12</v>
      </c>
      <c r="DR189" s="22">
        <f t="shared" si="177"/>
        <v>1.978932943548152E-12</v>
      </c>
      <c r="DS189" s="62">
        <f t="shared" si="125"/>
        <v>293.3333333333353</v>
      </c>
      <c r="DT189" s="62">
        <f ca="1">AVERAGE(OFFSET($DS$3,0,0,'Données projet'!$E$14+1,1))-AVERAGE(OFFSET($H$3,0,0,'Données projet'!$E$14+1,1))</f>
        <v>356.42779334565381</v>
      </c>
      <c r="DU189" s="62">
        <f t="shared" si="152"/>
        <v>320.06572891923685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5.2565912842638673E-2</v>
      </c>
      <c r="EC189" s="23">
        <f>EXP(-LN(2)/2)*EC188+(1-EXP(-LN(2)/2))/(LN(2)/2)*DW189*DZ189*VLOOKUP('Données projet'!$B$14,Paramètres!$A$1:$I$89,3,0)*0.475*44/12</f>
        <v>5.6184036151011998E-23</v>
      </c>
      <c r="ED189" s="24">
        <f t="shared" si="178"/>
        <v>5.2565912842638673E-2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-5.6843418860808015E-14</v>
      </c>
      <c r="FF189" s="18">
        <f>FE189*VLOOKUP('Données projet'!$B$16,Paramètres!$A$1:$I$89,3,0)*VLOOKUP('Données projet'!$B$16,Paramètres!$A$1:$I$89,5,0)</f>
        <v>-4.5224624045658861E-14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370.59298168107364</v>
      </c>
      <c r="FK189" s="62">
        <f t="shared" si="156"/>
        <v>404.61777090709171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-1.0995790944434703E-13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562.69380557620775</v>
      </c>
      <c r="GF189" s="62">
        <f t="shared" si="158"/>
        <v>294.45557293177131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>
        <f>GU189*VLOOKUP('Données projet'!$B$18,Paramètres!$A$1:$I$89,3,0)*VLOOKUP('Données projet'!$B$18,Paramètres!$A$1:$I$89,5,0)</f>
        <v>0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363.53487081291541</v>
      </c>
      <c r="HA189" s="62">
        <f t="shared" si="160"/>
        <v>308.1559670593121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529.25712986118265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-9.5769792096689348E-14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495.77338291316386</v>
      </c>
      <c r="AO190" s="62">
        <f t="shared" si="144"/>
        <v>261.95434270986397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1.1380052455933766E-13</v>
      </c>
      <c r="BF190" s="14">
        <f t="shared" si="167"/>
        <v>1.6840738663456724E-12</v>
      </c>
      <c r="BG190" s="22">
        <f t="shared" si="168"/>
        <v>3.1312978974928925E-12</v>
      </c>
      <c r="BH190" s="62">
        <f t="shared" si="116"/>
        <v>293.33333333333644</v>
      </c>
      <c r="BI190" s="62">
        <f ca="1">AVERAGE(OFFSET($BH$3,0,0,'Données projet'!$E$11+1,1))-AVERAGE(OFFSET($H$3,0,0,'Données projet'!$E$11+1,1))</f>
        <v>320.67081032419122</v>
      </c>
      <c r="BJ190" s="62">
        <f t="shared" si="146"/>
        <v>290.51177680335746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3.1014568628119975E-2</v>
      </c>
      <c r="BR190" s="23">
        <f>EXP(-LN(2)/2)*BR189+(1-EXP(-LN(2)/2))/(LN(2)/2)*BL190*BO190*VLOOKUP('Données projet'!$B$11,Paramètres!$A$1:$I$89,3,0)*0.475*44/12</f>
        <v>2.5201712146873958E-23</v>
      </c>
      <c r="BS190" s="24">
        <f t="shared" si="169"/>
        <v>3.1014568628119975E-2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-1.1527845344971866E-13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587.74247372331615</v>
      </c>
      <c r="CE190" s="62">
        <f t="shared" si="148"/>
        <v>306.61893266146666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5.4092197387944907E-14</v>
      </c>
      <c r="CV190" s="14">
        <f t="shared" si="173"/>
        <v>8.7287050538073676E-13</v>
      </c>
      <c r="CW190" s="22">
        <f t="shared" si="174"/>
        <v>1.6144600406554537E-12</v>
      </c>
      <c r="CX190" s="62">
        <f t="shared" si="122"/>
        <v>293.33333333333491</v>
      </c>
      <c r="CY190" s="62">
        <f ca="1">AVERAGE(OFFSET($CX$3,0,0,'Données projet'!$E$13+1,1))-AVERAGE(OFFSET($H$3,0,0,'Données projet'!$E$13+1,1))</f>
        <v>406.24139966722936</v>
      </c>
      <c r="CZ190" s="62">
        <f t="shared" si="150"/>
        <v>295.95724296920577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6.7984728957526396E-14</v>
      </c>
      <c r="DQ190" s="14">
        <f t="shared" si="176"/>
        <v>1.0682447123141398E-12</v>
      </c>
      <c r="DR190" s="22">
        <f t="shared" si="177"/>
        <v>1.978932943548152E-12</v>
      </c>
      <c r="DS190" s="62">
        <f t="shared" si="125"/>
        <v>293.3333333333353</v>
      </c>
      <c r="DT190" s="62">
        <f ca="1">AVERAGE(OFFSET($DS$3,0,0,'Données projet'!$E$14+1,1))-AVERAGE(OFFSET($H$3,0,0,'Données projet'!$E$14+1,1))</f>
        <v>356.42779334565381</v>
      </c>
      <c r="DU190" s="62">
        <f t="shared" si="152"/>
        <v>320.06572891923685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5.1128495191635502E-2</v>
      </c>
      <c r="EC190" s="23">
        <f>EXP(-LN(2)/2)*EC189+(1-EXP(-LN(2)/2))/(LN(2)/2)*DW190*DZ190*VLOOKUP('Données projet'!$B$14,Paramètres!$A$1:$I$89,3,0)*0.475*44/12</f>
        <v>3.9728112956810717E-23</v>
      </c>
      <c r="ED190" s="24">
        <f t="shared" si="178"/>
        <v>5.1128495191635502E-2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-5.6843418860808015E-14</v>
      </c>
      <c r="FF190" s="18">
        <f>FE190*VLOOKUP('Données projet'!$B$16,Paramètres!$A$1:$I$89,3,0)*VLOOKUP('Données projet'!$B$16,Paramètres!$A$1:$I$89,5,0)</f>
        <v>-4.5224624045658861E-14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370.59298168107364</v>
      </c>
      <c r="FK190" s="62">
        <f t="shared" si="156"/>
        <v>404.61777090709171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-1.0995790944434703E-13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562.69380557620775</v>
      </c>
      <c r="GF190" s="62">
        <f t="shared" si="158"/>
        <v>294.45557293177131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>
        <f>GU190*VLOOKUP('Données projet'!$B$18,Paramètres!$A$1:$I$89,3,0)*VLOOKUP('Données projet'!$B$18,Paramètres!$A$1:$I$89,5,0)</f>
        <v>0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363.53487081291541</v>
      </c>
      <c r="HA190" s="62">
        <f t="shared" si="160"/>
        <v>308.1559670593121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529.25712986118265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-9.5769792096689348E-14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495.77338291316386</v>
      </c>
      <c r="AO191" s="62">
        <f t="shared" si="144"/>
        <v>261.95434270986397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1.1380052455933766E-13</v>
      </c>
      <c r="BF191" s="14">
        <f t="shared" si="167"/>
        <v>1.6840738663456724E-12</v>
      </c>
      <c r="BG191" s="22">
        <f t="shared" si="168"/>
        <v>3.1312978974928925E-12</v>
      </c>
      <c r="BH191" s="62">
        <f t="shared" si="116"/>
        <v>293.33333333333644</v>
      </c>
      <c r="BI191" s="62">
        <f ca="1">AVERAGE(OFFSET($BH$3,0,0,'Données projet'!$E$11+1,1))-AVERAGE(OFFSET($H$3,0,0,'Données projet'!$E$11+1,1))</f>
        <v>320.67081032419122</v>
      </c>
      <c r="BJ191" s="62">
        <f t="shared" si="146"/>
        <v>290.51177680335746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3.0166473617998756E-2</v>
      </c>
      <c r="BR191" s="23">
        <f>EXP(-LN(2)/2)*BR190+(1-EXP(-LN(2)/2))/(LN(2)/2)*BL191*BO191*VLOOKUP('Données projet'!$B$11,Paramètres!$A$1:$I$89,3,0)*0.475*44/12</f>
        <v>1.782030155656596E-23</v>
      </c>
      <c r="BS191" s="24">
        <f t="shared" si="169"/>
        <v>3.0166473617998756E-2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-1.1527845344971866E-13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587.74247372331615</v>
      </c>
      <c r="CE191" s="62">
        <f t="shared" si="148"/>
        <v>306.61893266146666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5.4092197387944907E-14</v>
      </c>
      <c r="CV191" s="14">
        <f t="shared" si="173"/>
        <v>8.7287050538073676E-13</v>
      </c>
      <c r="CW191" s="22">
        <f t="shared" si="174"/>
        <v>1.6144600406554537E-12</v>
      </c>
      <c r="CX191" s="62">
        <f t="shared" si="122"/>
        <v>293.33333333333491</v>
      </c>
      <c r="CY191" s="62">
        <f ca="1">AVERAGE(OFFSET($CX$3,0,0,'Données projet'!$E$13+1,1))-AVERAGE(OFFSET($H$3,0,0,'Données projet'!$E$13+1,1))</f>
        <v>406.24139966722936</v>
      </c>
      <c r="CZ191" s="62">
        <f t="shared" si="150"/>
        <v>295.95724296920577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6.7984728957526396E-14</v>
      </c>
      <c r="DQ191" s="14">
        <f t="shared" si="176"/>
        <v>1.0682447123141398E-12</v>
      </c>
      <c r="DR191" s="22">
        <f t="shared" si="177"/>
        <v>1.978932943548152E-12</v>
      </c>
      <c r="DS191" s="62">
        <f t="shared" si="125"/>
        <v>293.3333333333353</v>
      </c>
      <c r="DT191" s="62">
        <f ca="1">AVERAGE(OFFSET($DS$3,0,0,'Données projet'!$E$14+1,1))-AVERAGE(OFFSET($H$3,0,0,'Données projet'!$E$14+1,1))</f>
        <v>356.42779334565381</v>
      </c>
      <c r="DU191" s="62">
        <f t="shared" si="152"/>
        <v>320.06572891923685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4.9730383801889523E-2</v>
      </c>
      <c r="EC191" s="23">
        <f>EXP(-LN(2)/2)*EC190+(1-EXP(-LN(2)/2))/(LN(2)/2)*DW191*DZ191*VLOOKUP('Données projet'!$B$14,Paramètres!$A$1:$I$89,3,0)*0.475*44/12</f>
        <v>2.8092018075505999E-23</v>
      </c>
      <c r="ED191" s="24">
        <f t="shared" si="178"/>
        <v>4.9730383801889523E-2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-5.6843418860808015E-14</v>
      </c>
      <c r="FF191" s="18">
        <f>FE191*VLOOKUP('Données projet'!$B$16,Paramètres!$A$1:$I$89,3,0)*VLOOKUP('Données projet'!$B$16,Paramètres!$A$1:$I$89,5,0)</f>
        <v>-4.5224624045658861E-14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370.59298168107364</v>
      </c>
      <c r="FK191" s="62">
        <f t="shared" si="156"/>
        <v>404.61777090709171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-1.0995790944434703E-13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562.69380557620775</v>
      </c>
      <c r="GF191" s="62">
        <f t="shared" si="158"/>
        <v>294.45557293177131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>
        <f>GU191*VLOOKUP('Données projet'!$B$18,Paramètres!$A$1:$I$89,3,0)*VLOOKUP('Données projet'!$B$18,Paramètres!$A$1:$I$89,5,0)</f>
        <v>0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363.53487081291541</v>
      </c>
      <c r="HA191" s="62">
        <f t="shared" si="160"/>
        <v>308.1559670593121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529.25712986118265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-9.5769792096689348E-14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495.77338291316386</v>
      </c>
      <c r="AO192" s="62">
        <f t="shared" si="144"/>
        <v>261.95434270986397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1.1380052455933766E-13</v>
      </c>
      <c r="BF192" s="14">
        <f t="shared" si="167"/>
        <v>1.6840738663456724E-12</v>
      </c>
      <c r="BG192" s="22">
        <f t="shared" si="168"/>
        <v>3.1312978974928925E-12</v>
      </c>
      <c r="BH192" s="62">
        <f t="shared" si="116"/>
        <v>293.33333333333644</v>
      </c>
      <c r="BI192" s="62">
        <f ca="1">AVERAGE(OFFSET($BH$3,0,0,'Données projet'!$E$11+1,1))-AVERAGE(OFFSET($H$3,0,0,'Données projet'!$E$11+1,1))</f>
        <v>320.67081032419122</v>
      </c>
      <c r="BJ192" s="62">
        <f t="shared" si="146"/>
        <v>290.51177680335746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2.9341569810528677E-2</v>
      </c>
      <c r="BR192" s="23">
        <f>EXP(-LN(2)/2)*BR191+(1-EXP(-LN(2)/2))/(LN(2)/2)*BL192*BO192*VLOOKUP('Données projet'!$B$11,Paramètres!$A$1:$I$89,3,0)*0.475*44/12</f>
        <v>1.2600856073436979E-23</v>
      </c>
      <c r="BS192" s="24">
        <f t="shared" si="169"/>
        <v>2.9341569810528677E-2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-1.1527845344971866E-13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587.74247372331615</v>
      </c>
      <c r="CE192" s="62">
        <f t="shared" si="148"/>
        <v>306.61893266146666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5.4092197387944907E-14</v>
      </c>
      <c r="CV192" s="14">
        <f t="shared" si="173"/>
        <v>8.7287050538073676E-13</v>
      </c>
      <c r="CW192" s="22">
        <f t="shared" si="174"/>
        <v>1.6144600406554537E-12</v>
      </c>
      <c r="CX192" s="62">
        <f t="shared" si="122"/>
        <v>293.33333333333491</v>
      </c>
      <c r="CY192" s="62">
        <f ca="1">AVERAGE(OFFSET($CX$3,0,0,'Données projet'!$E$13+1,1))-AVERAGE(OFFSET($H$3,0,0,'Données projet'!$E$13+1,1))</f>
        <v>406.24139966722936</v>
      </c>
      <c r="CZ192" s="62">
        <f t="shared" si="150"/>
        <v>295.95724296920577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6.7984728957526396E-14</v>
      </c>
      <c r="DQ192" s="14">
        <f t="shared" si="176"/>
        <v>1.0682447123141398E-12</v>
      </c>
      <c r="DR192" s="22">
        <f t="shared" si="177"/>
        <v>1.978932943548152E-12</v>
      </c>
      <c r="DS192" s="62">
        <f t="shared" si="125"/>
        <v>293.3333333333353</v>
      </c>
      <c r="DT192" s="62">
        <f ca="1">AVERAGE(OFFSET($DS$3,0,0,'Données projet'!$E$14+1,1))-AVERAGE(OFFSET($H$3,0,0,'Données projet'!$E$14+1,1))</f>
        <v>356.42779334565381</v>
      </c>
      <c r="DU192" s="62">
        <f t="shared" si="152"/>
        <v>320.06572891923685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4.837050384161963E-2</v>
      </c>
      <c r="EC192" s="23">
        <f>EXP(-LN(2)/2)*EC191+(1-EXP(-LN(2)/2))/(LN(2)/2)*DW192*DZ192*VLOOKUP('Données projet'!$B$14,Paramètres!$A$1:$I$89,3,0)*0.475*44/12</f>
        <v>1.9864056478405359E-23</v>
      </c>
      <c r="ED192" s="24">
        <f t="shared" si="178"/>
        <v>4.837050384161963E-2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-5.6843418860808015E-14</v>
      </c>
      <c r="FF192" s="18">
        <f>FE192*VLOOKUP('Données projet'!$B$16,Paramètres!$A$1:$I$89,3,0)*VLOOKUP('Données projet'!$B$16,Paramètres!$A$1:$I$89,5,0)</f>
        <v>-4.5224624045658861E-14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370.59298168107364</v>
      </c>
      <c r="FK192" s="62">
        <f t="shared" si="156"/>
        <v>404.61777090709171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-1.0995790944434703E-13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562.69380557620775</v>
      </c>
      <c r="GF192" s="62">
        <f t="shared" si="158"/>
        <v>294.45557293177131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>
        <f>GU192*VLOOKUP('Données projet'!$B$18,Paramètres!$A$1:$I$89,3,0)*VLOOKUP('Données projet'!$B$18,Paramètres!$A$1:$I$89,5,0)</f>
        <v>0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363.53487081291541</v>
      </c>
      <c r="HA192" s="62">
        <f t="shared" si="160"/>
        <v>308.1559670593121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529.25712986118265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-9.5769792096689348E-14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495.77338291316386</v>
      </c>
      <c r="AO193" s="62">
        <f t="shared" si="144"/>
        <v>261.95434270986397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1.1380052455933766E-13</v>
      </c>
      <c r="BF193" s="14">
        <f t="shared" si="167"/>
        <v>1.6840738663456724E-12</v>
      </c>
      <c r="BG193" s="22">
        <f t="shared" si="168"/>
        <v>3.1312978974928925E-12</v>
      </c>
      <c r="BH193" s="62">
        <f t="shared" si="116"/>
        <v>293.33333333333644</v>
      </c>
      <c r="BI193" s="62">
        <f ca="1">AVERAGE(OFFSET($BH$3,0,0,'Données projet'!$E$11+1,1))-AVERAGE(OFFSET($H$3,0,0,'Données projet'!$E$11+1,1))</f>
        <v>320.67081032419122</v>
      </c>
      <c r="BJ193" s="62">
        <f t="shared" si="146"/>
        <v>290.51177680335746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2.8539223041053673E-2</v>
      </c>
      <c r="BR193" s="23">
        <f>EXP(-LN(2)/2)*BR192+(1-EXP(-LN(2)/2))/(LN(2)/2)*BL193*BO193*VLOOKUP('Données projet'!$B$11,Paramètres!$A$1:$I$89,3,0)*0.475*44/12</f>
        <v>8.9101507782829802E-24</v>
      </c>
      <c r="BS193" s="24">
        <f t="shared" si="169"/>
        <v>2.8539223041053673E-2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-1.1527845344971866E-13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587.74247372331615</v>
      </c>
      <c r="CE193" s="62">
        <f t="shared" si="148"/>
        <v>306.61893266146666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5.4092197387944907E-14</v>
      </c>
      <c r="CV193" s="14">
        <f t="shared" si="173"/>
        <v>8.7287050538073676E-13</v>
      </c>
      <c r="CW193" s="22">
        <f t="shared" si="174"/>
        <v>1.6144600406554537E-12</v>
      </c>
      <c r="CX193" s="62">
        <f t="shared" si="122"/>
        <v>293.33333333333491</v>
      </c>
      <c r="CY193" s="62">
        <f ca="1">AVERAGE(OFFSET($CX$3,0,0,'Données projet'!$E$13+1,1))-AVERAGE(OFFSET($H$3,0,0,'Données projet'!$E$13+1,1))</f>
        <v>406.24139966722936</v>
      </c>
      <c r="CZ193" s="62">
        <f t="shared" si="150"/>
        <v>295.95724296920577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6.7984728957526396E-14</v>
      </c>
      <c r="DQ193" s="14">
        <f t="shared" si="176"/>
        <v>1.0682447123141398E-12</v>
      </c>
      <c r="DR193" s="22">
        <f t="shared" si="177"/>
        <v>1.978932943548152E-12</v>
      </c>
      <c r="DS193" s="62">
        <f t="shared" si="125"/>
        <v>293.3333333333353</v>
      </c>
      <c r="DT193" s="62">
        <f ca="1">AVERAGE(OFFSET($DS$3,0,0,'Données projet'!$E$14+1,1))-AVERAGE(OFFSET($H$3,0,0,'Données projet'!$E$14+1,1))</f>
        <v>356.42779334565381</v>
      </c>
      <c r="DU193" s="62">
        <f t="shared" si="152"/>
        <v>320.06572891923685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4.7047809870376295E-2</v>
      </c>
      <c r="EC193" s="23">
        <f>EXP(-LN(2)/2)*EC192+(1-EXP(-LN(2)/2))/(LN(2)/2)*DW193*DZ193*VLOOKUP('Données projet'!$B$14,Paramètres!$A$1:$I$89,3,0)*0.475*44/12</f>
        <v>1.4046009037753E-23</v>
      </c>
      <c r="ED193" s="24">
        <f t="shared" si="178"/>
        <v>4.7047809870376295E-2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-5.6843418860808015E-14</v>
      </c>
      <c r="FF193" s="18">
        <f>FE193*VLOOKUP('Données projet'!$B$16,Paramètres!$A$1:$I$89,3,0)*VLOOKUP('Données projet'!$B$16,Paramètres!$A$1:$I$89,5,0)</f>
        <v>-4.5224624045658861E-14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370.59298168107364</v>
      </c>
      <c r="FK193" s="62">
        <f t="shared" si="156"/>
        <v>404.61777090709171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-1.0995790944434703E-13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562.69380557620775</v>
      </c>
      <c r="GF193" s="62">
        <f t="shared" si="158"/>
        <v>294.45557293177131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>
        <f>GU193*VLOOKUP('Données projet'!$B$18,Paramètres!$A$1:$I$89,3,0)*VLOOKUP('Données projet'!$B$18,Paramètres!$A$1:$I$89,5,0)</f>
        <v>0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363.53487081291541</v>
      </c>
      <c r="HA193" s="62">
        <f t="shared" si="160"/>
        <v>308.1559670593121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529.25712986118265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-9.5769792096689348E-14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495.77338291316386</v>
      </c>
      <c r="AO194" s="62">
        <f t="shared" si="144"/>
        <v>261.95434270986397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1.1380052455933766E-13</v>
      </c>
      <c r="BF194" s="14">
        <f t="shared" si="167"/>
        <v>1.6840738663456724E-12</v>
      </c>
      <c r="BG194" s="22">
        <f t="shared" si="168"/>
        <v>3.1312978974928925E-12</v>
      </c>
      <c r="BH194" s="62">
        <f t="shared" si="116"/>
        <v>293.33333333333644</v>
      </c>
      <c r="BI194" s="62">
        <f ca="1">AVERAGE(OFFSET($BH$3,0,0,'Données projet'!$E$11+1,1))-AVERAGE(OFFSET($H$3,0,0,'Données projet'!$E$11+1,1))</f>
        <v>320.67081032419122</v>
      </c>
      <c r="BJ194" s="62">
        <f t="shared" si="146"/>
        <v>290.51177680335746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2.7758816486183547E-2</v>
      </c>
      <c r="BR194" s="23">
        <f>EXP(-LN(2)/2)*BR193+(1-EXP(-LN(2)/2))/(LN(2)/2)*BL194*BO194*VLOOKUP('Données projet'!$B$11,Paramètres!$A$1:$I$89,3,0)*0.475*44/12</f>
        <v>6.3004280367184895E-24</v>
      </c>
      <c r="BS194" s="24">
        <f t="shared" si="169"/>
        <v>2.7758816486183547E-2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-1.1527845344971866E-13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587.74247372331615</v>
      </c>
      <c r="CE194" s="62">
        <f t="shared" si="148"/>
        <v>306.61893266146666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5.4092197387944907E-14</v>
      </c>
      <c r="CV194" s="14">
        <f t="shared" si="173"/>
        <v>8.7287050538073676E-13</v>
      </c>
      <c r="CW194" s="22">
        <f t="shared" si="174"/>
        <v>1.6144600406554537E-12</v>
      </c>
      <c r="CX194" s="62">
        <f t="shared" si="122"/>
        <v>293.33333333333491</v>
      </c>
      <c r="CY194" s="62">
        <f ca="1">AVERAGE(OFFSET($CX$3,0,0,'Données projet'!$E$13+1,1))-AVERAGE(OFFSET($H$3,0,0,'Données projet'!$E$13+1,1))</f>
        <v>406.24139966722936</v>
      </c>
      <c r="CZ194" s="62">
        <f t="shared" si="150"/>
        <v>295.95724296920577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6.7984728957526396E-14</v>
      </c>
      <c r="DQ194" s="14">
        <f t="shared" si="176"/>
        <v>1.0682447123141398E-12</v>
      </c>
      <c r="DR194" s="22">
        <f t="shared" si="177"/>
        <v>1.978932943548152E-12</v>
      </c>
      <c r="DS194" s="62">
        <f t="shared" si="125"/>
        <v>293.3333333333353</v>
      </c>
      <c r="DT194" s="62">
        <f ca="1">AVERAGE(OFFSET($DS$3,0,0,'Données projet'!$E$14+1,1))-AVERAGE(OFFSET($H$3,0,0,'Données projet'!$E$14+1,1))</f>
        <v>356.42779334565381</v>
      </c>
      <c r="DU194" s="62">
        <f t="shared" si="152"/>
        <v>320.06572891923685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4.5761285035334061E-2</v>
      </c>
      <c r="EC194" s="23">
        <f>EXP(-LN(2)/2)*EC193+(1-EXP(-LN(2)/2))/(LN(2)/2)*DW194*DZ194*VLOOKUP('Données projet'!$B$14,Paramètres!$A$1:$I$89,3,0)*0.475*44/12</f>
        <v>9.9320282392026793E-24</v>
      </c>
      <c r="ED194" s="24">
        <f t="shared" si="178"/>
        <v>4.5761285035334061E-2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-5.6843418860808015E-14</v>
      </c>
      <c r="FF194" s="18">
        <f>FE194*VLOOKUP('Données projet'!$B$16,Paramètres!$A$1:$I$89,3,0)*VLOOKUP('Données projet'!$B$16,Paramètres!$A$1:$I$89,5,0)</f>
        <v>-4.5224624045658861E-14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370.59298168107364</v>
      </c>
      <c r="FK194" s="62">
        <f t="shared" si="156"/>
        <v>404.61777090709171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-1.0995790944434703E-13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562.69380557620775</v>
      </c>
      <c r="GF194" s="62">
        <f t="shared" si="158"/>
        <v>294.45557293177131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>
        <f>GU194*VLOOKUP('Données projet'!$B$18,Paramètres!$A$1:$I$89,3,0)*VLOOKUP('Données projet'!$B$18,Paramètres!$A$1:$I$89,5,0)</f>
        <v>0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363.53487081291541</v>
      </c>
      <c r="HA194" s="62">
        <f t="shared" si="160"/>
        <v>308.1559670593121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529.25712986118265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-9.5769792096689348E-14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495.77338291316386</v>
      </c>
      <c r="AO195" s="62">
        <f t="shared" si="144"/>
        <v>261.95434270986397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1.1380052455933766E-13</v>
      </c>
      <c r="BF195" s="14">
        <f t="shared" si="167"/>
        <v>1.6840738663456724E-12</v>
      </c>
      <c r="BG195" s="22">
        <f t="shared" si="168"/>
        <v>3.1312978974928925E-12</v>
      </c>
      <c r="BH195" s="62">
        <f t="shared" si="116"/>
        <v>293.33333333333644</v>
      </c>
      <c r="BI195" s="62">
        <f ca="1">AVERAGE(OFFSET($BH$3,0,0,'Données projet'!$E$11+1,1))-AVERAGE(OFFSET($H$3,0,0,'Données projet'!$E$11+1,1))</f>
        <v>320.67081032419122</v>
      </c>
      <c r="BJ195" s="62">
        <f t="shared" si="146"/>
        <v>290.51177680335746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2.6999750189596144E-2</v>
      </c>
      <c r="BR195" s="23">
        <f>EXP(-LN(2)/2)*BR194+(1-EXP(-LN(2)/2))/(LN(2)/2)*BL195*BO195*VLOOKUP('Données projet'!$B$11,Paramètres!$A$1:$I$89,3,0)*0.475*44/12</f>
        <v>4.4550753891414901E-24</v>
      </c>
      <c r="BS195" s="24">
        <f t="shared" si="169"/>
        <v>2.6999750189596144E-2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-1.1527845344971866E-13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587.74247372331615</v>
      </c>
      <c r="CE195" s="62">
        <f t="shared" si="148"/>
        <v>306.61893266146666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5.4092197387944907E-14</v>
      </c>
      <c r="CV195" s="14">
        <f t="shared" si="173"/>
        <v>8.7287050538073676E-13</v>
      </c>
      <c r="CW195" s="22">
        <f t="shared" si="174"/>
        <v>1.6144600406554537E-12</v>
      </c>
      <c r="CX195" s="62">
        <f t="shared" si="122"/>
        <v>293.33333333333491</v>
      </c>
      <c r="CY195" s="62">
        <f ca="1">AVERAGE(OFFSET($CX$3,0,0,'Données projet'!$E$13+1,1))-AVERAGE(OFFSET($H$3,0,0,'Données projet'!$E$13+1,1))</f>
        <v>406.24139966722936</v>
      </c>
      <c r="CZ195" s="62">
        <f t="shared" si="150"/>
        <v>295.95724296920577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6.7984728957526396E-14</v>
      </c>
      <c r="DQ195" s="14">
        <f t="shared" si="176"/>
        <v>1.0682447123141398E-12</v>
      </c>
      <c r="DR195" s="22">
        <f t="shared" si="177"/>
        <v>1.978932943548152E-12</v>
      </c>
      <c r="DS195" s="62">
        <f t="shared" si="125"/>
        <v>293.3333333333353</v>
      </c>
      <c r="DT195" s="62">
        <f ca="1">AVERAGE(OFFSET($DS$3,0,0,'Données projet'!$E$14+1,1))-AVERAGE(OFFSET($H$3,0,0,'Données projet'!$E$14+1,1))</f>
        <v>356.42779334565381</v>
      </c>
      <c r="DU195" s="62">
        <f t="shared" si="152"/>
        <v>320.06572891923685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4.4509940289561463E-2</v>
      </c>
      <c r="EC195" s="23">
        <f>EXP(-LN(2)/2)*EC194+(1-EXP(-LN(2)/2))/(LN(2)/2)*DW195*DZ195*VLOOKUP('Données projet'!$B$14,Paramètres!$A$1:$I$89,3,0)*0.475*44/12</f>
        <v>7.0230045188764998E-24</v>
      </c>
      <c r="ED195" s="24">
        <f t="shared" si="178"/>
        <v>4.4509940289561463E-2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-5.6843418860808015E-14</v>
      </c>
      <c r="FF195" s="18">
        <f>FE195*VLOOKUP('Données projet'!$B$16,Paramètres!$A$1:$I$89,3,0)*VLOOKUP('Données projet'!$B$16,Paramètres!$A$1:$I$89,5,0)</f>
        <v>-4.5224624045658861E-14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370.59298168107364</v>
      </c>
      <c r="FK195" s="62">
        <f t="shared" si="156"/>
        <v>404.61777090709171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-1.0995790944434703E-13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562.69380557620775</v>
      </c>
      <c r="GF195" s="62">
        <f t="shared" si="158"/>
        <v>294.45557293177131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>
        <f>GU195*VLOOKUP('Données projet'!$B$18,Paramètres!$A$1:$I$89,3,0)*VLOOKUP('Données projet'!$B$18,Paramètres!$A$1:$I$89,5,0)</f>
        <v>0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363.53487081291541</v>
      </c>
      <c r="HA195" s="62">
        <f t="shared" si="160"/>
        <v>308.1559670593121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529.25712986118265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-9.5769792096689348E-14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495.77338291316386</v>
      </c>
      <c r="AO196" s="62">
        <f t="shared" si="144"/>
        <v>261.95434270986397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1.1380052455933766E-13</v>
      </c>
      <c r="BF196" s="14">
        <f t="shared" si="167"/>
        <v>1.6840738663456724E-12</v>
      </c>
      <c r="BG196" s="22">
        <f t="shared" si="168"/>
        <v>3.1312978974928925E-12</v>
      </c>
      <c r="BH196" s="62">
        <f t="shared" ref="BH196:BH203" si="194">BG196+(AY196+AZ196)*44/12</f>
        <v>293.33333333333644</v>
      </c>
      <c r="BI196" s="62">
        <f ca="1">AVERAGE(OFFSET($BH$3,0,0,'Données projet'!$E$11+1,1))-AVERAGE(OFFSET($H$3,0,0,'Données projet'!$E$11+1,1))</f>
        <v>320.67081032419122</v>
      </c>
      <c r="BJ196" s="62">
        <f t="shared" si="146"/>
        <v>290.51177680335746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2.6261440600806485E-2</v>
      </c>
      <c r="BR196" s="23">
        <f>EXP(-LN(2)/2)*BR195+(1-EXP(-LN(2)/2))/(LN(2)/2)*BL196*BO196*VLOOKUP('Données projet'!$B$11,Paramètres!$A$1:$I$89,3,0)*0.475*44/12</f>
        <v>3.1502140183592448E-24</v>
      </c>
      <c r="BS196" s="24">
        <f t="shared" si="169"/>
        <v>2.6261440600806485E-2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-1.1527845344971866E-13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587.74247372331615</v>
      </c>
      <c r="CE196" s="62">
        <f t="shared" si="148"/>
        <v>306.61893266146666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5.4092197387944907E-14</v>
      </c>
      <c r="CV196" s="14">
        <f t="shared" si="173"/>
        <v>8.7287050538073676E-13</v>
      </c>
      <c r="CW196" s="22">
        <f t="shared" si="174"/>
        <v>1.6144600406554537E-12</v>
      </c>
      <c r="CX196" s="62">
        <f t="shared" ref="CX196:CX203" si="196">CW196+(CO196+CP196)*44/12</f>
        <v>293.33333333333491</v>
      </c>
      <c r="CY196" s="62">
        <f ca="1">AVERAGE(OFFSET($CX$3,0,0,'Données projet'!$E$13+1,1))-AVERAGE(OFFSET($H$3,0,0,'Données projet'!$E$13+1,1))</f>
        <v>406.24139966722936</v>
      </c>
      <c r="CZ196" s="62">
        <f t="shared" si="150"/>
        <v>295.95724296920577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6.7984728957526396E-14</v>
      </c>
      <c r="DQ196" s="14">
        <f t="shared" si="176"/>
        <v>1.0682447123141398E-12</v>
      </c>
      <c r="DR196" s="22">
        <f t="shared" si="177"/>
        <v>1.978932943548152E-12</v>
      </c>
      <c r="DS196" s="62">
        <f t="shared" ref="DS196:DS203" si="197">DR196+(DJ196+DK196)*44/12</f>
        <v>293.3333333333353</v>
      </c>
      <c r="DT196" s="62">
        <f ca="1">AVERAGE(OFFSET($DS$3,0,0,'Données projet'!$E$14+1,1))-AVERAGE(OFFSET($H$3,0,0,'Données projet'!$E$14+1,1))</f>
        <v>356.42779334565381</v>
      </c>
      <c r="DU196" s="62">
        <f t="shared" si="152"/>
        <v>320.06572891923685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4.3292813631667371E-2</v>
      </c>
      <c r="EC196" s="23">
        <f>EXP(-LN(2)/2)*EC195+(1-EXP(-LN(2)/2))/(LN(2)/2)*DW196*DZ196*VLOOKUP('Données projet'!$B$14,Paramètres!$A$1:$I$89,3,0)*0.475*44/12</f>
        <v>4.9660141196013397E-24</v>
      </c>
      <c r="ED196" s="24">
        <f t="shared" si="178"/>
        <v>4.3292813631667371E-2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-5.6843418860808015E-14</v>
      </c>
      <c r="FF196" s="18">
        <f>FE196*VLOOKUP('Données projet'!$B$16,Paramètres!$A$1:$I$89,3,0)*VLOOKUP('Données projet'!$B$16,Paramètres!$A$1:$I$89,5,0)</f>
        <v>-4.5224624045658861E-14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370.59298168107364</v>
      </c>
      <c r="FK196" s="62">
        <f t="shared" si="156"/>
        <v>404.61777090709171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-1.0995790944434703E-13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562.69380557620775</v>
      </c>
      <c r="GF196" s="62">
        <f t="shared" si="158"/>
        <v>294.45557293177131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>
        <f>GU196*VLOOKUP('Données projet'!$B$18,Paramètres!$A$1:$I$89,3,0)*VLOOKUP('Données projet'!$B$18,Paramètres!$A$1:$I$89,5,0)</f>
        <v>0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363.53487081291541</v>
      </c>
      <c r="HA196" s="62">
        <f t="shared" si="160"/>
        <v>308.1559670593121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529.25712986118265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-9.5769792096689348E-14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495.77338291316386</v>
      </c>
      <c r="AO197" s="62">
        <f t="shared" ref="AO197:AO203" si="205">$AO$3</f>
        <v>261.95434270986397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1.1380052455933766E-13</v>
      </c>
      <c r="BF197" s="14">
        <f t="shared" si="167"/>
        <v>1.6840738663456724E-12</v>
      </c>
      <c r="BG197" s="22">
        <f t="shared" si="168"/>
        <v>3.1312978974928925E-12</v>
      </c>
      <c r="BH197" s="62">
        <f t="shared" si="194"/>
        <v>293.33333333333644</v>
      </c>
      <c r="BI197" s="62">
        <f ca="1">AVERAGE(OFFSET($BH$3,0,0,'Données projet'!$E$11+1,1))-AVERAGE(OFFSET($H$3,0,0,'Données projet'!$E$11+1,1))</f>
        <v>320.67081032419122</v>
      </c>
      <c r="BJ197" s="62">
        <f t="shared" ref="BJ197:BJ203" si="206">$BJ$3</f>
        <v>290.51177680335746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2.5543320126548291E-2</v>
      </c>
      <c r="BR197" s="23">
        <f>EXP(-LN(2)/2)*BR196+(1-EXP(-LN(2)/2))/(LN(2)/2)*BL197*BO197*VLOOKUP('Données projet'!$B$11,Paramètres!$A$1:$I$89,3,0)*0.475*44/12</f>
        <v>2.2275376945707451E-24</v>
      </c>
      <c r="BS197" s="24">
        <f t="shared" si="169"/>
        <v>2.5543320126548291E-2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-1.1527845344971866E-13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587.74247372331615</v>
      </c>
      <c r="CE197" s="62">
        <f t="shared" ref="CE197:CE203" si="207">$CE$3</f>
        <v>306.61893266146666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5.4092197387944907E-14</v>
      </c>
      <c r="CV197" s="14">
        <f t="shared" si="173"/>
        <v>8.7287050538073676E-13</v>
      </c>
      <c r="CW197" s="22">
        <f t="shared" si="174"/>
        <v>1.6144600406554537E-12</v>
      </c>
      <c r="CX197" s="62">
        <f t="shared" si="196"/>
        <v>293.33333333333491</v>
      </c>
      <c r="CY197" s="62">
        <f ca="1">AVERAGE(OFFSET($CX$3,0,0,'Données projet'!$E$13+1,1))-AVERAGE(OFFSET($H$3,0,0,'Données projet'!$E$13+1,1))</f>
        <v>406.24139966722936</v>
      </c>
      <c r="CZ197" s="62">
        <f t="shared" ref="CZ197:CZ203" si="208">$CZ$3</f>
        <v>295.95724296920577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6.7984728957526396E-14</v>
      </c>
      <c r="DQ197" s="14">
        <f t="shared" si="176"/>
        <v>1.0682447123141398E-12</v>
      </c>
      <c r="DR197" s="22">
        <f t="shared" si="177"/>
        <v>1.978932943548152E-12</v>
      </c>
      <c r="DS197" s="62">
        <f t="shared" si="197"/>
        <v>293.3333333333353</v>
      </c>
      <c r="DT197" s="62">
        <f ca="1">AVERAGE(OFFSET($DS$3,0,0,'Données projet'!$E$14+1,1))-AVERAGE(OFFSET($H$3,0,0,'Données projet'!$E$14+1,1))</f>
        <v>356.42779334565381</v>
      </c>
      <c r="DU197" s="62">
        <f t="shared" ref="DU197:DU203" si="209">$DU$3</f>
        <v>320.06572891923685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4.2108969366239306E-2</v>
      </c>
      <c r="EC197" s="23">
        <f>EXP(-LN(2)/2)*EC196+(1-EXP(-LN(2)/2))/(LN(2)/2)*DW197*DZ197*VLOOKUP('Données projet'!$B$14,Paramètres!$A$1:$I$89,3,0)*0.475*44/12</f>
        <v>3.5115022594382499E-24</v>
      </c>
      <c r="ED197" s="24">
        <f t="shared" si="178"/>
        <v>4.2108969366239306E-2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-5.6843418860808015E-14</v>
      </c>
      <c r="FF197" s="18">
        <f>FE197*VLOOKUP('Données projet'!$B$16,Paramètres!$A$1:$I$89,3,0)*VLOOKUP('Données projet'!$B$16,Paramètres!$A$1:$I$89,5,0)</f>
        <v>-4.5224624045658861E-14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370.59298168107364</v>
      </c>
      <c r="FK197" s="62">
        <f t="shared" ref="FK197:FK203" si="211">$FK$3</f>
        <v>404.61777090709171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-1.0995790944434703E-13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562.69380557620775</v>
      </c>
      <c r="GF197" s="62">
        <f t="shared" ref="GF197:GF203" si="212">$GF$3</f>
        <v>294.45557293177131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>
        <f>GU197*VLOOKUP('Données projet'!$B$18,Paramètres!$A$1:$I$89,3,0)*VLOOKUP('Données projet'!$B$18,Paramètres!$A$1:$I$89,5,0)</f>
        <v>0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363.53487081291541</v>
      </c>
      <c r="HA197" s="62">
        <f t="shared" ref="HA197:HA203" si="213">$HA$3</f>
        <v>308.1559670593121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529.25712986118265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-9.5769792096689348E-14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495.77338291316386</v>
      </c>
      <c r="AO198" s="62">
        <f t="shared" si="205"/>
        <v>261.95434270986397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1.1380052455933766E-13</v>
      </c>
      <c r="BF198" s="14">
        <f t="shared" si="167"/>
        <v>1.6840738663456724E-12</v>
      </c>
      <c r="BG198" s="22">
        <f t="shared" si="168"/>
        <v>3.1312978974928925E-12</v>
      </c>
      <c r="BH198" s="62">
        <f t="shared" si="194"/>
        <v>293.33333333333644</v>
      </c>
      <c r="BI198" s="62">
        <f ca="1">AVERAGE(OFFSET($BH$3,0,0,'Données projet'!$E$11+1,1))-AVERAGE(OFFSET($H$3,0,0,'Données projet'!$E$11+1,1))</f>
        <v>320.67081032419122</v>
      </c>
      <c r="BJ198" s="62">
        <f t="shared" si="206"/>
        <v>290.51177680335746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2.4844836694423004E-2</v>
      </c>
      <c r="BR198" s="23">
        <f>EXP(-LN(2)/2)*BR197+(1-EXP(-LN(2)/2))/(LN(2)/2)*BL198*BO198*VLOOKUP('Données projet'!$B$11,Paramètres!$A$1:$I$89,3,0)*0.475*44/12</f>
        <v>1.5751070091796224E-24</v>
      </c>
      <c r="BS198" s="24">
        <f t="shared" si="169"/>
        <v>2.4844836694423004E-2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-1.1527845344971866E-13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587.74247372331615</v>
      </c>
      <c r="CE198" s="62">
        <f t="shared" si="207"/>
        <v>306.61893266146666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5.4092197387944907E-14</v>
      </c>
      <c r="CV198" s="14">
        <f t="shared" si="173"/>
        <v>8.7287050538073676E-13</v>
      </c>
      <c r="CW198" s="22">
        <f t="shared" si="174"/>
        <v>1.6144600406554537E-12</v>
      </c>
      <c r="CX198" s="62">
        <f t="shared" si="196"/>
        <v>293.33333333333491</v>
      </c>
      <c r="CY198" s="62">
        <f ca="1">AVERAGE(OFFSET($CX$3,0,0,'Données projet'!$E$13+1,1))-AVERAGE(OFFSET($H$3,0,0,'Données projet'!$E$13+1,1))</f>
        <v>406.24139966722936</v>
      </c>
      <c r="CZ198" s="62">
        <f t="shared" si="208"/>
        <v>295.95724296920577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6.7984728957526396E-14</v>
      </c>
      <c r="DQ198" s="14">
        <f t="shared" si="176"/>
        <v>1.0682447123141398E-12</v>
      </c>
      <c r="DR198" s="22">
        <f t="shared" si="177"/>
        <v>1.978932943548152E-12</v>
      </c>
      <c r="DS198" s="62">
        <f t="shared" si="197"/>
        <v>293.3333333333353</v>
      </c>
      <c r="DT198" s="62">
        <f ca="1">AVERAGE(OFFSET($DS$3,0,0,'Données projet'!$E$14+1,1))-AVERAGE(OFFSET($H$3,0,0,'Données projet'!$E$14+1,1))</f>
        <v>356.42779334565381</v>
      </c>
      <c r="DU198" s="62">
        <f t="shared" si="209"/>
        <v>320.06572891923685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4.0957497384505034E-2</v>
      </c>
      <c r="EC198" s="23">
        <f>EXP(-LN(2)/2)*EC197+(1-EXP(-LN(2)/2))/(LN(2)/2)*DW198*DZ198*VLOOKUP('Données projet'!$B$14,Paramètres!$A$1:$I$89,3,0)*0.475*44/12</f>
        <v>2.4830070598006698E-24</v>
      </c>
      <c r="ED198" s="24">
        <f t="shared" si="178"/>
        <v>4.0957497384505034E-2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-5.6843418860808015E-14</v>
      </c>
      <c r="FF198" s="18">
        <f>FE198*VLOOKUP('Données projet'!$B$16,Paramètres!$A$1:$I$89,3,0)*VLOOKUP('Données projet'!$B$16,Paramètres!$A$1:$I$89,5,0)</f>
        <v>-4.5224624045658861E-14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370.59298168107364</v>
      </c>
      <c r="FK198" s="62">
        <f t="shared" si="211"/>
        <v>404.61777090709171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-1.0995790944434703E-13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562.69380557620775</v>
      </c>
      <c r="GF198" s="62">
        <f t="shared" si="212"/>
        <v>294.45557293177131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>
        <f>GU198*VLOOKUP('Données projet'!$B$18,Paramètres!$A$1:$I$89,3,0)*VLOOKUP('Données projet'!$B$18,Paramètres!$A$1:$I$89,5,0)</f>
        <v>0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363.53487081291541</v>
      </c>
      <c r="HA198" s="62">
        <f t="shared" si="213"/>
        <v>308.1559670593121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529.25712986118265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-9.5769792096689348E-14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495.77338291316386</v>
      </c>
      <c r="AO199" s="62">
        <f t="shared" si="205"/>
        <v>261.95434270986397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1.1380052455933766E-13</v>
      </c>
      <c r="BF199" s="14">
        <f t="shared" si="167"/>
        <v>1.6840738663456724E-12</v>
      </c>
      <c r="BG199" s="22">
        <f t="shared" si="168"/>
        <v>3.1312978974928925E-12</v>
      </c>
      <c r="BH199" s="62">
        <f t="shared" si="194"/>
        <v>293.33333333333644</v>
      </c>
      <c r="BI199" s="62">
        <f ca="1">AVERAGE(OFFSET($BH$3,0,0,'Données projet'!$E$11+1,1))-AVERAGE(OFFSET($H$3,0,0,'Données projet'!$E$11+1,1))</f>
        <v>320.67081032419122</v>
      </c>
      <c r="BJ199" s="62">
        <f t="shared" si="206"/>
        <v>290.51177680335746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2.4165453328480829E-2</v>
      </c>
      <c r="BR199" s="23">
        <f>EXP(-LN(2)/2)*BR198+(1-EXP(-LN(2)/2))/(LN(2)/2)*BL199*BO199*VLOOKUP('Données projet'!$B$11,Paramètres!$A$1:$I$89,3,0)*0.475*44/12</f>
        <v>1.1137688472853725E-24</v>
      </c>
      <c r="BS199" s="24">
        <f t="shared" si="169"/>
        <v>2.4165453328480829E-2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-1.1527845344971866E-13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587.74247372331615</v>
      </c>
      <c r="CE199" s="62">
        <f t="shared" si="207"/>
        <v>306.61893266146666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5.4092197387944907E-14</v>
      </c>
      <c r="CV199" s="14">
        <f t="shared" si="173"/>
        <v>8.7287050538073676E-13</v>
      </c>
      <c r="CW199" s="22">
        <f t="shared" si="174"/>
        <v>1.6144600406554537E-12</v>
      </c>
      <c r="CX199" s="62">
        <f t="shared" si="196"/>
        <v>293.33333333333491</v>
      </c>
      <c r="CY199" s="62">
        <f ca="1">AVERAGE(OFFSET($CX$3,0,0,'Données projet'!$E$13+1,1))-AVERAGE(OFFSET($H$3,0,0,'Données projet'!$E$13+1,1))</f>
        <v>406.24139966722936</v>
      </c>
      <c r="CZ199" s="62">
        <f t="shared" si="208"/>
        <v>295.95724296920577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6.7984728957526396E-14</v>
      </c>
      <c r="DQ199" s="14">
        <f t="shared" si="176"/>
        <v>1.0682447123141398E-12</v>
      </c>
      <c r="DR199" s="22">
        <f t="shared" si="177"/>
        <v>1.978932943548152E-12</v>
      </c>
      <c r="DS199" s="62">
        <f t="shared" si="197"/>
        <v>293.3333333333353</v>
      </c>
      <c r="DT199" s="62">
        <f ca="1">AVERAGE(OFFSET($DS$3,0,0,'Données projet'!$E$14+1,1))-AVERAGE(OFFSET($H$3,0,0,'Données projet'!$E$14+1,1))</f>
        <v>356.42779334565381</v>
      </c>
      <c r="DU199" s="62">
        <f t="shared" si="209"/>
        <v>320.06572891923685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3.9837512464664569E-2</v>
      </c>
      <c r="EC199" s="23">
        <f>EXP(-LN(2)/2)*EC198+(1-EXP(-LN(2)/2))/(LN(2)/2)*DW199*DZ199*VLOOKUP('Données projet'!$B$14,Paramètres!$A$1:$I$89,3,0)*0.475*44/12</f>
        <v>1.7557511297191249E-24</v>
      </c>
      <c r="ED199" s="24">
        <f t="shared" si="178"/>
        <v>3.9837512464664569E-2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-5.6843418860808015E-14</v>
      </c>
      <c r="FF199" s="18">
        <f>FE199*VLOOKUP('Données projet'!$B$16,Paramètres!$A$1:$I$89,3,0)*VLOOKUP('Données projet'!$B$16,Paramètres!$A$1:$I$89,5,0)</f>
        <v>-4.5224624045658861E-14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370.59298168107364</v>
      </c>
      <c r="FK199" s="62">
        <f t="shared" si="211"/>
        <v>404.61777090709171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-1.0995790944434703E-13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562.69380557620775</v>
      </c>
      <c r="GF199" s="62">
        <f t="shared" si="212"/>
        <v>294.45557293177131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>
        <f>GU199*VLOOKUP('Données projet'!$B$18,Paramètres!$A$1:$I$89,3,0)*VLOOKUP('Données projet'!$B$18,Paramètres!$A$1:$I$89,5,0)</f>
        <v>0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363.53487081291541</v>
      </c>
      <c r="HA199" s="62">
        <f t="shared" si="213"/>
        <v>308.1559670593121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529.25712986118265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-9.5769792096689348E-14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495.77338291316386</v>
      </c>
      <c r="AO200" s="62">
        <f t="shared" si="205"/>
        <v>261.95434270986397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1.1380052455933766E-13</v>
      </c>
      <c r="BF200" s="14">
        <f t="shared" si="167"/>
        <v>1.6840738663456724E-12</v>
      </c>
      <c r="BG200" s="22">
        <f t="shared" si="168"/>
        <v>3.1312978974928925E-12</v>
      </c>
      <c r="BH200" s="62">
        <f t="shared" si="194"/>
        <v>293.33333333333644</v>
      </c>
      <c r="BI200" s="62">
        <f ca="1">AVERAGE(OFFSET($BH$3,0,0,'Données projet'!$E$11+1,1))-AVERAGE(OFFSET($H$3,0,0,'Données projet'!$E$11+1,1))</f>
        <v>320.67081032419122</v>
      </c>
      <c r="BJ200" s="62">
        <f t="shared" si="206"/>
        <v>290.51177680335746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2.350464773640756E-2</v>
      </c>
      <c r="BR200" s="23">
        <f>EXP(-LN(2)/2)*BR199+(1-EXP(-LN(2)/2))/(LN(2)/2)*BL200*BO200*VLOOKUP('Données projet'!$B$11,Paramètres!$A$1:$I$89,3,0)*0.475*44/12</f>
        <v>7.8755350458981119E-25</v>
      </c>
      <c r="BS200" s="24">
        <f t="shared" si="169"/>
        <v>2.350464773640756E-2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-1.1527845344971866E-13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587.74247372331615</v>
      </c>
      <c r="CE200" s="62">
        <f t="shared" si="207"/>
        <v>306.61893266146666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5.4092197387944907E-14</v>
      </c>
      <c r="CV200" s="14">
        <f t="shared" si="173"/>
        <v>8.7287050538073676E-13</v>
      </c>
      <c r="CW200" s="22">
        <f t="shared" si="174"/>
        <v>1.6144600406554537E-12</v>
      </c>
      <c r="CX200" s="62">
        <f t="shared" si="196"/>
        <v>293.33333333333491</v>
      </c>
      <c r="CY200" s="62">
        <f ca="1">AVERAGE(OFFSET($CX$3,0,0,'Données projet'!$E$13+1,1))-AVERAGE(OFFSET($H$3,0,0,'Données projet'!$E$13+1,1))</f>
        <v>406.24139966722936</v>
      </c>
      <c r="CZ200" s="62">
        <f t="shared" si="208"/>
        <v>295.95724296920577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6.7984728957526396E-14</v>
      </c>
      <c r="DQ200" s="14">
        <f t="shared" si="176"/>
        <v>1.0682447123141398E-12</v>
      </c>
      <c r="DR200" s="22">
        <f t="shared" si="177"/>
        <v>1.978932943548152E-12</v>
      </c>
      <c r="DS200" s="62">
        <f t="shared" si="197"/>
        <v>293.3333333333353</v>
      </c>
      <c r="DT200" s="62">
        <f ca="1">AVERAGE(OFFSET($DS$3,0,0,'Données projet'!$E$14+1,1))-AVERAGE(OFFSET($H$3,0,0,'Données projet'!$E$14+1,1))</f>
        <v>356.42779334565381</v>
      </c>
      <c r="DU200" s="62">
        <f t="shared" si="209"/>
        <v>320.06572891923685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3.8748153591354584E-2</v>
      </c>
      <c r="EC200" s="23">
        <f>EXP(-LN(2)/2)*EC199+(1-EXP(-LN(2)/2))/(LN(2)/2)*DW200*DZ200*VLOOKUP('Données projet'!$B$14,Paramètres!$A$1:$I$89,3,0)*0.475*44/12</f>
        <v>1.2415035299003349E-24</v>
      </c>
      <c r="ED200" s="24">
        <f t="shared" si="178"/>
        <v>3.8748153591354584E-2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-5.6843418860808015E-14</v>
      </c>
      <c r="FF200" s="18">
        <f>FE200*VLOOKUP('Données projet'!$B$16,Paramètres!$A$1:$I$89,3,0)*VLOOKUP('Données projet'!$B$16,Paramètres!$A$1:$I$89,5,0)</f>
        <v>-4.5224624045658861E-14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370.59298168107364</v>
      </c>
      <c r="FK200" s="62">
        <f t="shared" si="211"/>
        <v>404.61777090709171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-1.0995790944434703E-13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562.69380557620775</v>
      </c>
      <c r="GF200" s="62">
        <f t="shared" si="212"/>
        <v>294.45557293177131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>
        <f>GU200*VLOOKUP('Données projet'!$B$18,Paramètres!$A$1:$I$89,3,0)*VLOOKUP('Données projet'!$B$18,Paramètres!$A$1:$I$89,5,0)</f>
        <v>0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363.53487081291541</v>
      </c>
      <c r="HA200" s="62">
        <f t="shared" si="213"/>
        <v>308.1559670593121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529.25712986118265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-9.5769792096689348E-14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495.77338291316386</v>
      </c>
      <c r="AO201" s="62">
        <f t="shared" si="205"/>
        <v>261.95434270986397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1.1380052455933766E-13</v>
      </c>
      <c r="BF201" s="14">
        <f t="shared" si="167"/>
        <v>1.6840738663456724E-12</v>
      </c>
      <c r="BG201" s="22">
        <f t="shared" si="168"/>
        <v>3.1312978974928925E-12</v>
      </c>
      <c r="BH201" s="62">
        <f t="shared" si="194"/>
        <v>293.33333333333644</v>
      </c>
      <c r="BI201" s="62">
        <f ca="1">AVERAGE(OFFSET($BH$3,0,0,'Données projet'!$E$11+1,1))-AVERAGE(OFFSET($H$3,0,0,'Données projet'!$E$11+1,1))</f>
        <v>320.67081032419122</v>
      </c>
      <c r="BJ201" s="62">
        <f t="shared" si="206"/>
        <v>290.51177680335746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2.2861911907999792E-2</v>
      </c>
      <c r="BR201" s="23">
        <f>EXP(-LN(2)/2)*BR200+(1-EXP(-LN(2)/2))/(LN(2)/2)*BL201*BO201*VLOOKUP('Données projet'!$B$11,Paramètres!$A$1:$I$89,3,0)*0.475*44/12</f>
        <v>5.5688442364268626E-25</v>
      </c>
      <c r="BS201" s="24">
        <f t="shared" si="169"/>
        <v>2.2861911907999792E-2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-1.1527845344971866E-13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587.74247372331615</v>
      </c>
      <c r="CE201" s="62">
        <f t="shared" si="207"/>
        <v>306.61893266146666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5.4092197387944907E-14</v>
      </c>
      <c r="CV201" s="14">
        <f t="shared" si="173"/>
        <v>8.7287050538073676E-13</v>
      </c>
      <c r="CW201" s="22">
        <f t="shared" si="174"/>
        <v>1.6144600406554537E-12</v>
      </c>
      <c r="CX201" s="62">
        <f t="shared" si="196"/>
        <v>293.33333333333491</v>
      </c>
      <c r="CY201" s="62">
        <f ca="1">AVERAGE(OFFSET($CX$3,0,0,'Données projet'!$E$13+1,1))-AVERAGE(OFFSET($H$3,0,0,'Données projet'!$E$13+1,1))</f>
        <v>406.24139966722936</v>
      </c>
      <c r="CZ201" s="62">
        <f t="shared" si="208"/>
        <v>295.95724296920577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6.7984728957526396E-14</v>
      </c>
      <c r="DQ201" s="14">
        <f t="shared" si="176"/>
        <v>1.0682447123141398E-12</v>
      </c>
      <c r="DR201" s="22">
        <f t="shared" si="177"/>
        <v>1.978932943548152E-12</v>
      </c>
      <c r="DS201" s="62">
        <f t="shared" si="197"/>
        <v>293.3333333333353</v>
      </c>
      <c r="DT201" s="62">
        <f ca="1">AVERAGE(OFFSET($DS$3,0,0,'Données projet'!$E$14+1,1))-AVERAGE(OFFSET($H$3,0,0,'Données projet'!$E$14+1,1))</f>
        <v>356.42779334565381</v>
      </c>
      <c r="DU201" s="62">
        <f t="shared" si="209"/>
        <v>320.06572891923685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3.7688583293722155E-2</v>
      </c>
      <c r="EC201" s="23">
        <f>EXP(-LN(2)/2)*EC200+(1-EXP(-LN(2)/2))/(LN(2)/2)*DW201*DZ201*VLOOKUP('Données projet'!$B$14,Paramètres!$A$1:$I$89,3,0)*0.475*44/12</f>
        <v>8.7787556485956247E-25</v>
      </c>
      <c r="ED201" s="24">
        <f t="shared" si="178"/>
        <v>3.7688583293722155E-2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-5.6843418860808015E-14</v>
      </c>
      <c r="FF201" s="18">
        <f>FE201*VLOOKUP('Données projet'!$B$16,Paramètres!$A$1:$I$89,3,0)*VLOOKUP('Données projet'!$B$16,Paramètres!$A$1:$I$89,5,0)</f>
        <v>-4.5224624045658861E-14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370.59298168107364</v>
      </c>
      <c r="FK201" s="62">
        <f t="shared" si="211"/>
        <v>404.61777090709171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-1.0995790944434703E-13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562.69380557620775</v>
      </c>
      <c r="GF201" s="62">
        <f t="shared" si="212"/>
        <v>294.45557293177131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>
        <f>GU201*VLOOKUP('Données projet'!$B$18,Paramètres!$A$1:$I$89,3,0)*VLOOKUP('Données projet'!$B$18,Paramètres!$A$1:$I$89,5,0)</f>
        <v>0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363.53487081291541</v>
      </c>
      <c r="HA201" s="62">
        <f t="shared" si="213"/>
        <v>308.1559670593121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529.25712986118265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-9.5769792096689348E-14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495.77338291316386</v>
      </c>
      <c r="AO202" s="62">
        <f t="shared" si="205"/>
        <v>261.95434270986397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1.1380052455933766E-13</v>
      </c>
      <c r="BF202" s="14">
        <f t="shared" si="167"/>
        <v>1.6840738663456724E-12</v>
      </c>
      <c r="BG202" s="22">
        <f t="shared" si="168"/>
        <v>3.1312978974928925E-12</v>
      </c>
      <c r="BH202" s="62">
        <f t="shared" si="194"/>
        <v>293.33333333333644</v>
      </c>
      <c r="BI202" s="62">
        <f ca="1">AVERAGE(OFFSET($BH$3,0,0,'Données projet'!$E$11+1,1))-AVERAGE(OFFSET($H$3,0,0,'Données projet'!$E$11+1,1))</f>
        <v>320.67081032419122</v>
      </c>
      <c r="BJ202" s="62">
        <f t="shared" si="206"/>
        <v>290.51177680335746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2.2236751724619842E-2</v>
      </c>
      <c r="BR202" s="23">
        <f>EXP(-LN(2)/2)*BR201+(1-EXP(-LN(2)/2))/(LN(2)/2)*BL202*BO202*VLOOKUP('Données projet'!$B$11,Paramètres!$A$1:$I$89,3,0)*0.475*44/12</f>
        <v>3.9377675229490559E-25</v>
      </c>
      <c r="BS202" s="24">
        <f t="shared" si="169"/>
        <v>2.2236751724619842E-2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-1.1527845344971866E-13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587.74247372331615</v>
      </c>
      <c r="CE202" s="62">
        <f t="shared" si="207"/>
        <v>306.61893266146666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5.4092197387944907E-14</v>
      </c>
      <c r="CV202" s="14">
        <f t="shared" si="173"/>
        <v>8.7287050538073676E-13</v>
      </c>
      <c r="CW202" s="22">
        <f t="shared" si="174"/>
        <v>1.6144600406554537E-12</v>
      </c>
      <c r="CX202" s="62">
        <f t="shared" si="196"/>
        <v>293.33333333333491</v>
      </c>
      <c r="CY202" s="62">
        <f ca="1">AVERAGE(OFFSET($CX$3,0,0,'Données projet'!$E$13+1,1))-AVERAGE(OFFSET($H$3,0,0,'Données projet'!$E$13+1,1))</f>
        <v>406.24139966722936</v>
      </c>
      <c r="CZ202" s="62">
        <f t="shared" si="208"/>
        <v>295.95724296920577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6.7984728957526396E-14</v>
      </c>
      <c r="DQ202" s="14">
        <f t="shared" si="176"/>
        <v>1.0682447123141398E-12</v>
      </c>
      <c r="DR202" s="22">
        <f t="shared" si="177"/>
        <v>1.978932943548152E-12</v>
      </c>
      <c r="DS202" s="62">
        <f t="shared" si="197"/>
        <v>293.3333333333353</v>
      </c>
      <c r="DT202" s="62">
        <f ca="1">AVERAGE(OFFSET($DS$3,0,0,'Données projet'!$E$14+1,1))-AVERAGE(OFFSET($H$3,0,0,'Données projet'!$E$14+1,1))</f>
        <v>356.42779334565381</v>
      </c>
      <c r="DU202" s="62">
        <f t="shared" si="209"/>
        <v>320.06572891923685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3.6657987001598863E-2</v>
      </c>
      <c r="EC202" s="23">
        <f>EXP(-LN(2)/2)*EC201+(1-EXP(-LN(2)/2))/(LN(2)/2)*DW202*DZ202*VLOOKUP('Données projet'!$B$14,Paramètres!$A$1:$I$89,3,0)*0.475*44/12</f>
        <v>6.2075176495016746E-25</v>
      </c>
      <c r="ED202" s="24">
        <f t="shared" si="178"/>
        <v>3.6657987001598863E-2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-5.6843418860808015E-14</v>
      </c>
      <c r="FF202" s="18">
        <f>FE202*VLOOKUP('Données projet'!$B$16,Paramètres!$A$1:$I$89,3,0)*VLOOKUP('Données projet'!$B$16,Paramètres!$A$1:$I$89,5,0)</f>
        <v>-4.5224624045658861E-14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370.59298168107364</v>
      </c>
      <c r="FK202" s="62">
        <f t="shared" si="211"/>
        <v>404.61777090709171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-1.0995790944434703E-13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562.69380557620775</v>
      </c>
      <c r="GF202" s="62">
        <f t="shared" si="212"/>
        <v>294.45557293177131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>
        <f>GU202*VLOOKUP('Données projet'!$B$18,Paramètres!$A$1:$I$89,3,0)*VLOOKUP('Données projet'!$B$18,Paramètres!$A$1:$I$89,5,0)</f>
        <v>0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363.53487081291541</v>
      </c>
      <c r="HA202" s="62">
        <f t="shared" si="213"/>
        <v>308.1559670593121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529.25712986118265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-9.5769792096689348E-14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495.77338291316386</v>
      </c>
      <c r="AO203" s="62">
        <f t="shared" si="205"/>
        <v>261.95434270986397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1.1380052455933766E-13</v>
      </c>
      <c r="BF203" s="14">
        <f t="shared" si="167"/>
        <v>1.6840738663456724E-12</v>
      </c>
      <c r="BG203" s="22">
        <f t="shared" si="168"/>
        <v>3.1312978974928925E-12</v>
      </c>
      <c r="BH203" s="62">
        <f t="shared" si="194"/>
        <v>293.33333333333644</v>
      </c>
      <c r="BI203" s="62">
        <f ca="1">AVERAGE(OFFSET($BH$3,0,0,'Données projet'!$E$11+1,1))-AVERAGE(OFFSET($H$3,0,0,'Données projet'!$E$11+1,1))</f>
        <v>320.67081032419122</v>
      </c>
      <c r="BJ203" s="62">
        <f t="shared" si="206"/>
        <v>290.51177680335746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2.1628686579330161E-2</v>
      </c>
      <c r="BR203" s="23">
        <f>EXP(-LN(2)/2)*BR202+(1-EXP(-LN(2)/2))/(LN(2)/2)*BL203*BO203*VLOOKUP('Données projet'!$B$11,Paramètres!$A$1:$I$89,3,0)*0.475*44/12</f>
        <v>2.7844221182134313E-25</v>
      </c>
      <c r="BS203" s="24">
        <f t="shared" si="169"/>
        <v>2.1628686579330161E-2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-1.1527845344971866E-13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587.74247372331615</v>
      </c>
      <c r="CE203" s="62">
        <f t="shared" si="207"/>
        <v>306.61893266146666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5.4092197387944907E-14</v>
      </c>
      <c r="CV203" s="14">
        <f t="shared" si="173"/>
        <v>8.7287050538073676E-13</v>
      </c>
      <c r="CW203" s="22">
        <f t="shared" si="174"/>
        <v>1.6144600406554537E-12</v>
      </c>
      <c r="CX203" s="62">
        <f t="shared" si="196"/>
        <v>293.33333333333491</v>
      </c>
      <c r="CY203" s="62">
        <f ca="1">AVERAGE(OFFSET($CX$3,0,0,'Données projet'!$E$13+1,1))-AVERAGE(OFFSET($H$3,0,0,'Données projet'!$E$13+1,1))</f>
        <v>406.24139966722936</v>
      </c>
      <c r="CZ203" s="62">
        <f t="shared" si="208"/>
        <v>295.95724296920577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6.7984728957526396E-14</v>
      </c>
      <c r="DQ203" s="14">
        <f t="shared" si="176"/>
        <v>1.0682447123141398E-12</v>
      </c>
      <c r="DR203" s="22">
        <f t="shared" si="177"/>
        <v>1.978932943548152E-12</v>
      </c>
      <c r="DS203" s="62">
        <f t="shared" si="197"/>
        <v>293.3333333333353</v>
      </c>
      <c r="DT203" s="62">
        <f ca="1">AVERAGE(OFFSET($DS$3,0,0,'Données projet'!$E$14+1,1))-AVERAGE(OFFSET($H$3,0,0,'Données projet'!$E$14+1,1))</f>
        <v>356.42779334565381</v>
      </c>
      <c r="DU203" s="62">
        <f t="shared" si="209"/>
        <v>320.06572891923685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3.5655572419280392E-2</v>
      </c>
      <c r="EC203" s="23">
        <f>EXP(-LN(2)/2)*EC202+(1-EXP(-LN(2)/2))/(LN(2)/2)*DW203*DZ203*VLOOKUP('Données projet'!$B$14,Paramètres!$A$1:$I$89,3,0)*0.475*44/12</f>
        <v>4.3893778242978124E-25</v>
      </c>
      <c r="ED203" s="24">
        <f t="shared" si="178"/>
        <v>3.5655572419280392E-2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-5.6843418860808015E-14</v>
      </c>
      <c r="FF203" s="18">
        <f>FE203*VLOOKUP('Données projet'!$B$16,Paramètres!$A$1:$I$89,3,0)*VLOOKUP('Données projet'!$B$16,Paramètres!$A$1:$I$89,5,0)</f>
        <v>-4.5224624045658861E-14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370.59298168107364</v>
      </c>
      <c r="FK203" s="62">
        <f t="shared" si="211"/>
        <v>404.61777090709171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-1.0995790944434703E-13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562.69380557620775</v>
      </c>
      <c r="GF203" s="62">
        <f t="shared" si="212"/>
        <v>294.45557293177131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>
        <f>GU203*VLOOKUP('Données projet'!$B$18,Paramètres!$A$1:$I$89,3,0)*VLOOKUP('Données projet'!$B$18,Paramètres!$A$1:$I$89,5,0)</f>
        <v>0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363.53487081291541</v>
      </c>
      <c r="HA203" s="62">
        <f t="shared" si="213"/>
        <v>308.1559670593121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1.2392705892426346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1.2392705892426346</v>
      </c>
      <c r="BA205" s="87">
        <f>EXP(LN('Données projet'!B88)/'Données projet'!A88)</f>
        <v>1.3147987949303508</v>
      </c>
      <c r="BV205" s="87">
        <f>EXP(LN('Données projet'!B114)/'Données projet'!A114)</f>
        <v>1.2392705892426346</v>
      </c>
      <c r="CQ205" s="87">
        <f>EXP(LN('Données projet'!B140)/'Données projet'!A140)</f>
        <v>1.2934226882877784</v>
      </c>
      <c r="DL205" s="87">
        <f>EXP(LN('Données projet'!B166)/'Données projet'!A166)</f>
        <v>1.3136742413466562</v>
      </c>
      <c r="EG205" s="87" t="e">
        <f>EXP(LN('Données projet'!B192)/'Données projet'!A192)</f>
        <v>#NUM!</v>
      </c>
      <c r="FB205" s="87">
        <f>EXP(LN('Données projet'!B218)/'Données projet'!A218)</f>
        <v>1.2721323532877689</v>
      </c>
      <c r="FW205" s="87">
        <f>EXP(LN('Données projet'!B244)/'Données projet'!A244)</f>
        <v>1.2392705892426346</v>
      </c>
      <c r="GR205" s="87">
        <f>EXP(LN('Données projet'!B270)/'Données projet'!A270)</f>
        <v>1.4172437739267318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3" zoomScale="90" zoomScaleNormal="90" workbookViewId="0">
      <selection activeCell="K27" sqref="K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0.44290000000000002</v>
      </c>
      <c r="C6" s="154">
        <f ca="1">IF(OR('Données projet'!B9="",'Données projet'!C9="",'Données projet'!C9=0%),0,Calculateur!S3)</f>
        <v>529.25712986118265</v>
      </c>
      <c r="D6" s="154">
        <f>IF(OR('Données projet'!B9="",'Données projet'!C9="",'Données projet'!C9=0%),0,Calculateur!T3)</f>
        <v>278.21741231699929</v>
      </c>
      <c r="E6" s="154">
        <f ca="1">MIN(C6,D6)</f>
        <v>278.21741231699929</v>
      </c>
      <c r="F6" s="154">
        <f ca="1">E6*B6</f>
        <v>123.22249191519899</v>
      </c>
      <c r="G6" s="154">
        <f ca="1">F6*(100%-'Données projet'!$C$24)*(100%-'Données projet'!$C$25)*(100%-'Données projet'!$C$26)*(100%-'Données projet'!$C$27)</f>
        <v>110.90024272367909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3.7646500000000001</v>
      </c>
      <c r="K6" s="158">
        <f>J6*(100%-'Données projet'!$C$24)*(100%-'Données projet'!$C$25)*(100%-'Données projet'!$C$26)*(100%-'Données projet'!$C$27)</f>
        <v>3.388185</v>
      </c>
      <c r="L6" s="159">
        <f ca="1">G6+I6+K6</f>
        <v>114.28842772367909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pédonculé</v>
      </c>
      <c r="B7" s="161">
        <f>'Données projet'!D10</f>
        <v>0.26986000000000004</v>
      </c>
      <c r="C7" s="154">
        <f ca="1">IF(OR('Données projet'!B10="",'Données projet'!C10="",'Données projet'!C10=0%),0,Calculateur!AN3)</f>
        <v>495.77338291316386</v>
      </c>
      <c r="D7" s="154">
        <f>IF(OR('Données projet'!B10="",'Données projet'!C10="",'Données projet'!C10=0%),0,Calculateur!AO3)</f>
        <v>261.95434270986397</v>
      </c>
      <c r="E7" s="154">
        <f t="shared" ref="E7:E15" ca="1" si="0">MIN(C7,D7)</f>
        <v>261.95434270986397</v>
      </c>
      <c r="F7" s="154">
        <f t="shared" ref="F7:F15" ca="1" si="1">E7*B7</f>
        <v>70.690998923683907</v>
      </c>
      <c r="G7" s="154">
        <f ca="1">F7*(100%-'Données projet'!$C$24)*(100%-'Données projet'!$C$25)*(100%-'Données projet'!$C$26)*(100%-'Données projet'!$C$27)</f>
        <v>63.621899031315515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2.2938100000000006</v>
      </c>
      <c r="K7" s="158">
        <f>J7*(100%-'Données projet'!$C$24)*(100%-'Données projet'!$C$25)*(100%-'Données projet'!$C$26)*(100%-'Données projet'!$C$27)</f>
        <v>2.0644290000000005</v>
      </c>
      <c r="L7" s="159">
        <f t="shared" ref="L7:L15" ca="1" si="2">G7+I7+K7</f>
        <v>65.686328031315512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sylvestre</v>
      </c>
      <c r="B8" s="161">
        <f>'Données projet'!D11</f>
        <v>0.18128</v>
      </c>
      <c r="C8" s="154">
        <f ca="1">IF(OR('Données projet'!B11="",'Données projet'!C11="",'Données projet'!C11=0%),0,Calculateur!BI3)</f>
        <v>320.67081032419122</v>
      </c>
      <c r="D8" s="154">
        <f>IF(OR('Données projet'!B11="",'Données projet'!C11="",'Données projet'!C11=0%),0,Calculateur!BJ3)</f>
        <v>290.51177680335746</v>
      </c>
      <c r="E8" s="154">
        <f t="shared" ca="1" si="0"/>
        <v>290.51177680335746</v>
      </c>
      <c r="F8" s="154">
        <f t="shared" ca="1" si="1"/>
        <v>52.663974898912642</v>
      </c>
      <c r="G8" s="154">
        <f ca="1">F8*(100%-'Données projet'!$C$24)*(100%-'Données projet'!$C$25)*(100%-'Données projet'!$C$26)*(100%-'Données projet'!$C$27)</f>
        <v>47.39757740902138</v>
      </c>
      <c r="H8" s="162">
        <f>IF(OR('Données projet'!B11="",'Données projet'!C11="",'Données projet'!C11=0%),0,AVERAGE(Calculateur!$BS$3:$BS$33)*B8)</f>
        <v>0.41910132666768218</v>
      </c>
      <c r="I8" s="156">
        <f>H8*(100%-'Données projet'!$C$24)*(100%-'Données projet'!$C$25)*(100%-'Données projet'!$C$26)*(100%-'Données projet'!$C$27)</f>
        <v>0.377191194000914</v>
      </c>
      <c r="J8" s="157">
        <f>IF(OR('Données projet'!B11="",'Données projet'!C11="",'Données projet'!C11=0%),0,SUM(Calculateur!$BL$3:$BL$33)*VLOOKUP('Données projet'!$B$11,Paramètres!$A$1:$I$89,9,0)*B8)</f>
        <v>9.7360049599999989</v>
      </c>
      <c r="K8" s="158">
        <f>J8*(100%-'Données projet'!$C$24)*(100%-'Données projet'!$C$25)*(100%-'Données projet'!$C$26)*(100%-'Données projet'!$C$27)</f>
        <v>8.7624044639999994</v>
      </c>
      <c r="L8" s="159">
        <f t="shared" ca="1" si="2"/>
        <v>56.537173067022295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pubescent</v>
      </c>
      <c r="B9" s="161">
        <f>'Données projet'!D12</f>
        <v>0.17510000000000001</v>
      </c>
      <c r="C9" s="154">
        <f ca="1">IF(OR('Données projet'!B12="",'Données projet'!C12="",'Données projet'!C12=0%),0,Calculateur!CD3)</f>
        <v>587.74247372331615</v>
      </c>
      <c r="D9" s="154">
        <f>IF(OR('Données projet'!B12="",'Données projet'!C12="",'Données projet'!C12=0%),0,Calculateur!CE3)</f>
        <v>306.61893266146666</v>
      </c>
      <c r="E9" s="154">
        <f t="shared" ca="1" si="0"/>
        <v>306.61893266146666</v>
      </c>
      <c r="F9" s="154">
        <f t="shared" ca="1" si="1"/>
        <v>53.688975109022813</v>
      </c>
      <c r="G9" s="154">
        <f ca="1">F9*(100%-'Données projet'!$C$24)*(100%-'Données projet'!$C$25)*(100%-'Données projet'!$C$26)*(100%-'Données projet'!$C$27)</f>
        <v>48.320077598120534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1.4883500000000001</v>
      </c>
      <c r="K9" s="158">
        <f>J9*(100%-'Données projet'!$C$24)*(100%-'Données projet'!$C$25)*(100%-'Données projet'!$C$26)*(100%-'Données projet'!$C$27)</f>
        <v>1.339515</v>
      </c>
      <c r="L9" s="159">
        <f t="shared" ca="1" si="2"/>
        <v>49.659592598120533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Charme</v>
      </c>
      <c r="B10" s="161">
        <f>'Données projet'!D13</f>
        <v>0.17510000000000001</v>
      </c>
      <c r="C10" s="154">
        <f ca="1">IF(OR('Données projet'!B13="",'Données projet'!C13="",'Données projet'!C13=0%),0,Calculateur!CY3)</f>
        <v>406.24139966722936</v>
      </c>
      <c r="D10" s="154">
        <f>IF(OR('Données projet'!B13="",'Données projet'!C13="",'Données projet'!C13=0%),0,Calculateur!CZ3)</f>
        <v>295.95724296920577</v>
      </c>
      <c r="E10" s="154">
        <f t="shared" ca="1" si="0"/>
        <v>295.95724296920577</v>
      </c>
      <c r="F10" s="154">
        <f t="shared" ca="1" si="1"/>
        <v>51.822113243907928</v>
      </c>
      <c r="G10" s="154">
        <f ca="1">F10*(100%-'Données projet'!$C$24)*(100%-'Données projet'!$C$25)*(100%-'Données projet'!$C$26)*(100%-'Données projet'!$C$27)</f>
        <v>46.639901919517136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1.5714102564102566</v>
      </c>
      <c r="K10" s="158">
        <f>J10*(100%-'Données projet'!$C$24)*(100%-'Données projet'!$C$25)*(100%-'Données projet'!$C$26)*(100%-'Données projet'!$C$27)</f>
        <v>1.4142692307692308</v>
      </c>
      <c r="L10" s="159">
        <f t="shared" ca="1" si="2"/>
        <v>48.054171150286365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Pin laricio</v>
      </c>
      <c r="B11" s="161">
        <f>'Données projet'!D14</f>
        <v>0.26162000000000002</v>
      </c>
      <c r="C11" s="154">
        <f ca="1">IF(OR('Données projet'!B14="",'Données projet'!C14="",'Données projet'!C14=0%),0,Calculateur!DT3)</f>
        <v>356.42779334565381</v>
      </c>
      <c r="D11" s="154">
        <f>IF(OR('Données projet'!B14="",'Données projet'!C14="",'Données projet'!C14=0%),0,Calculateur!DU3)</f>
        <v>320.06572891923685</v>
      </c>
      <c r="E11" s="154">
        <f t="shared" ca="1" si="0"/>
        <v>320.06572891923685</v>
      </c>
      <c r="F11" s="154">
        <f t="shared" ca="1" si="1"/>
        <v>83.735595999850744</v>
      </c>
      <c r="G11" s="154">
        <f ca="1">F11*(100%-'Données projet'!$C$24)*(100%-'Données projet'!$C$25)*(100%-'Données projet'!$C$26)*(100%-'Données projet'!$C$27)</f>
        <v>75.362036399865673</v>
      </c>
      <c r="H11" s="162">
        <f>IF(OR('Données projet'!B14="",'Données projet'!C14="",'Données projet'!C14=0%),0,AVERAGE(Calculateur!$ED$3:$ED$33)*B11)</f>
        <v>0.69936187347069001</v>
      </c>
      <c r="I11" s="156">
        <f>H11*(100%-'Données projet'!$C$24)*(100%-'Données projet'!$C$25)*(100%-'Données projet'!$C$26)*(100%-'Données projet'!$C$27)</f>
        <v>0.62942568612362104</v>
      </c>
      <c r="J11" s="157">
        <f>IF(OR('Données projet'!B14="",'Données projet'!C14="",'Données projet'!C14=0%),0,SUM(Calculateur!$DW$3:$DW$33)*VLOOKUP('Données projet'!$B$14,Paramètres!$A$1:$I$89,9,0)*B11)</f>
        <v>16.067110555384616</v>
      </c>
      <c r="K11" s="158">
        <f>J11*(100%-'Données projet'!$C$24)*(100%-'Données projet'!$C$25)*(100%-'Données projet'!$C$26)*(100%-'Données projet'!$C$27)</f>
        <v>14.460399499846154</v>
      </c>
      <c r="L11" s="159">
        <f t="shared" ca="1" si="2"/>
        <v>90.451861585835445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Erable sycomore</v>
      </c>
      <c r="B13" s="161">
        <f>'Données projet'!D16</f>
        <v>0.25956000000000001</v>
      </c>
      <c r="C13" s="154">
        <f ca="1">IF(OR('Données projet'!B16="",'Données projet'!C16="",'Données projet'!C16=0%),0,Calculateur!FJ3)</f>
        <v>370.59298168107364</v>
      </c>
      <c r="D13" s="154">
        <f>IF(OR('Données projet'!B16="",'Données projet'!C16="",'Données projet'!C16=0%),0,Calculateur!FK3)</f>
        <v>404.61777090709171</v>
      </c>
      <c r="E13" s="154">
        <f t="shared" ca="1" si="0"/>
        <v>370.59298168107364</v>
      </c>
      <c r="F13" s="154">
        <f t="shared" ca="1" si="1"/>
        <v>96.19111432513948</v>
      </c>
      <c r="G13" s="154">
        <f ca="1">F13*(100%-'Données projet'!$C$24)*(100%-'Données projet'!$C$25)*(100%-'Données projet'!$C$26)*(100%-'Données projet'!$C$27)</f>
        <v>86.572002892625534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8.8574850000000005</v>
      </c>
      <c r="K13" s="158">
        <f>J13*(100%-'Données projet'!$C$24)*(100%-'Données projet'!$C$25)*(100%-'Données projet'!$C$26)*(100%-'Données projet'!$C$27)</f>
        <v>7.9717365000000004</v>
      </c>
      <c r="L13" s="159">
        <f t="shared" ca="1" si="2"/>
        <v>94.54373939262554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Alisier torminal</v>
      </c>
      <c r="B14" s="161">
        <f>'Données projet'!D17</f>
        <v>0.17304000000000003</v>
      </c>
      <c r="C14" s="154">
        <f ca="1">IF(OR('Données projet'!B17="",'Données projet'!C17="",'Données projet'!C17=0%),0,Calculateur!GE3)</f>
        <v>562.69380557620775</v>
      </c>
      <c r="D14" s="154">
        <f>IF(OR('Données projet'!B17="",'Données projet'!C17="",'Données projet'!C17=0%),0,Calculateur!GF3)</f>
        <v>294.45557293177131</v>
      </c>
      <c r="E14" s="154">
        <f t="shared" ca="1" si="0"/>
        <v>294.45557293177131</v>
      </c>
      <c r="F14" s="154">
        <f t="shared" ca="1" si="1"/>
        <v>50.952592340113718</v>
      </c>
      <c r="G14" s="154">
        <f ca="1">F14*(100%-'Données projet'!$C$24)*(100%-'Données projet'!$C$25)*(100%-'Données projet'!$C$26)*(100%-'Données projet'!$C$27)</f>
        <v>45.857333106102345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1.4708400000000001</v>
      </c>
      <c r="K14" s="158">
        <f>J14*(100%-'Données projet'!$C$24)*(100%-'Données projet'!$C$25)*(100%-'Données projet'!$C$26)*(100%-'Données projet'!$C$27)</f>
        <v>1.3237560000000002</v>
      </c>
      <c r="L14" s="159">
        <f t="shared" ca="1" si="2"/>
        <v>47.181089106102348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Tilleul</v>
      </c>
      <c r="B15" s="164">
        <f>'Données projet'!D18</f>
        <v>8.6520000000000014E-2</v>
      </c>
      <c r="C15" s="165">
        <f ca="1">IF(OR('Données projet'!B18="",'Données projet'!C18="",'Données projet'!C18=0%),0,Calculateur!GZ3)</f>
        <v>363.53487081291541</v>
      </c>
      <c r="D15" s="165">
        <f>IF(OR('Données projet'!B18="",'Données projet'!C18="",'Données projet'!C18=0%),0,Calculateur!HA3)</f>
        <v>308.1559670593121</v>
      </c>
      <c r="E15" s="165">
        <f t="shared" ca="1" si="0"/>
        <v>308.1559670593121</v>
      </c>
      <c r="F15" s="166">
        <f t="shared" ca="1" si="1"/>
        <v>26.661654269971688</v>
      </c>
      <c r="G15" s="166">
        <f ca="1">F15*(100%-'Données projet'!$C$24)*(100%-'Données projet'!$C$25)*(100%-'Données projet'!$C$26)*(100%-'Données projet'!$C$27)</f>
        <v>23.99548884297452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1.6915769230769233</v>
      </c>
      <c r="K15" s="170">
        <f>J15*(100%-'Données projet'!$C$24)*(100%-'Données projet'!$C$25)*(100%-'Données projet'!$C$26)*(100%-'Données projet'!$C$27)</f>
        <v>1.522419230769231</v>
      </c>
      <c r="L15" s="171">
        <f t="shared" ca="1" si="2"/>
        <v>25.517908073743751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3"/>
      <c r="B16" s="230"/>
      <c r="C16" s="231"/>
      <c r="D16" s="25"/>
      <c r="E16" s="25"/>
      <c r="F16" s="172">
        <f t="shared" ref="F16:L16" ca="1" si="3">SUM(F6:F15)</f>
        <v>609.62951102580189</v>
      </c>
      <c r="G16" s="173">
        <f t="shared" ca="1" si="3"/>
        <v>548.66655992322171</v>
      </c>
      <c r="H16" s="174">
        <f t="shared" si="3"/>
        <v>1.1184632001383723</v>
      </c>
      <c r="I16" s="174">
        <f t="shared" si="3"/>
        <v>1.006616880124535</v>
      </c>
      <c r="J16" s="175">
        <f t="shared" si="3"/>
        <v>46.941237694871795</v>
      </c>
      <c r="K16" s="175">
        <f t="shared" si="3"/>
        <v>42.247113925384618</v>
      </c>
      <c r="L16" s="176">
        <f t="shared" ca="1" si="3"/>
        <v>591.92029072873095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3"/>
      <c r="B17" s="230"/>
      <c r="C17" s="231"/>
      <c r="D17" s="228"/>
      <c r="E17" s="228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3"/>
      <c r="B18" s="230"/>
      <c r="C18" s="231"/>
      <c r="D18" s="228"/>
      <c r="E18" s="228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pédonculé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sylvestre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pubescent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Charme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Pin laricio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Erable sycomore</v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Alisier torminal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Tilleul</v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13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88">
        <f>'Données projet'!D9</f>
        <v>0.44290000000000002</v>
      </c>
      <c r="V10" s="187">
        <f>U10*T10</f>
        <v>380.36969589894426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pédonculé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745.68779920433803</v>
      </c>
      <c r="U11" s="188">
        <f>'Données projet'!D10</f>
        <v>0.26986000000000004</v>
      </c>
      <c r="V11" s="187">
        <f>U11*T11</f>
        <v>201.23130949328271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Pin sylvestre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1505.1943610040244</v>
      </c>
      <c r="U12" s="188">
        <f>'Données projet'!D11</f>
        <v>0.18128</v>
      </c>
      <c r="V12" s="187">
        <f t="shared" ref="V12:V19" si="0">U12*T12</f>
        <v>272.8616337628095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Chêne pubescent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858.81620207483456</v>
      </c>
      <c r="U13" s="188">
        <f>'Données projet'!D12</f>
        <v>0.17510000000000001</v>
      </c>
      <c r="V13" s="187">
        <f t="shared" si="0"/>
        <v>150.37871698330355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Charme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509.58934385645489</v>
      </c>
      <c r="U14" s="188">
        <f>'Données projet'!D13</f>
        <v>0.17510000000000001</v>
      </c>
      <c r="V14" s="187">
        <f t="shared" si="0"/>
        <v>89.229094109265247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8"/>
      <c r="G15" s="340" t="s">
        <v>318</v>
      </c>
      <c r="H15" s="201">
        <v>0</v>
      </c>
      <c r="I15" s="202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Pin laricio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1784.4774752555127</v>
      </c>
      <c r="U15" s="188">
        <f>'Données projet'!D14</f>
        <v>0.26162000000000002</v>
      </c>
      <c r="V15" s="187">
        <f t="shared" si="0"/>
        <v>466.85499707634727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40"/>
      <c r="H16" s="201"/>
      <c r="I16" s="202"/>
      <c r="J16" s="213"/>
      <c r="K16" s="222"/>
      <c r="L16" s="336" t="s">
        <v>254</v>
      </c>
      <c r="M16" s="337"/>
      <c r="N16" s="2"/>
      <c r="O16" s="25"/>
      <c r="P16" s="25"/>
      <c r="Q16" s="262"/>
      <c r="R16" s="25"/>
      <c r="S16" s="183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40"/>
      <c r="J17" s="213"/>
      <c r="K17" s="222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>Erable sycomore</v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2094.3643226198092</v>
      </c>
      <c r="U17" s="188">
        <f>'Données projet'!D16</f>
        <v>0.25956000000000001</v>
      </c>
      <c r="V17" s="187">
        <f t="shared" si="0"/>
        <v>543.61320357919772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40"/>
      <c r="J18" s="213"/>
      <c r="K18" s="222"/>
      <c r="L18" s="294" t="s">
        <v>255</v>
      </c>
      <c r="M18" s="296"/>
      <c r="N18" s="203"/>
      <c r="O18" s="25"/>
      <c r="P18" s="25"/>
      <c r="Q18" s="262"/>
      <c r="R18" s="25"/>
      <c r="S18" s="183" t="str">
        <f>B262</f>
        <v>Alisier torminal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858.81620207483456</v>
      </c>
      <c r="U18" s="188">
        <f>'Données projet'!D17</f>
        <v>0.17304000000000003</v>
      </c>
      <c r="V18" s="187">
        <f t="shared" si="0"/>
        <v>148.60955560702939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40"/>
      <c r="H19" s="229" t="s">
        <v>178</v>
      </c>
      <c r="I19" s="229" t="s">
        <v>287</v>
      </c>
      <c r="J19" s="257"/>
      <c r="K19" s="181"/>
      <c r="L19" s="336" t="s">
        <v>288</v>
      </c>
      <c r="M19" s="337"/>
      <c r="N19" s="189">
        <f>N17*N18</f>
        <v>0</v>
      </c>
      <c r="O19" s="25"/>
      <c r="P19" s="5"/>
      <c r="Q19" s="263"/>
      <c r="R19" s="5"/>
      <c r="S19" s="183" t="str">
        <f>B293</f>
        <v>Tilleul</v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721.52809522880659</v>
      </c>
      <c r="U19" s="188">
        <f>'Données projet'!D18</f>
        <v>8.6520000000000014E-2</v>
      </c>
      <c r="V19" s="187">
        <f t="shared" si="0"/>
        <v>62.426610799196354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40"/>
      <c r="H20" s="201">
        <v>0</v>
      </c>
      <c r="I20" s="202">
        <v>16527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8"/>
      <c r="H23" s="201"/>
      <c r="I23" s="202"/>
      <c r="K23" s="222"/>
      <c r="L23" s="338" t="s">
        <v>260</v>
      </c>
      <c r="M23" s="338"/>
      <c r="N23" s="338"/>
      <c r="O23" s="25"/>
      <c r="P23" s="25"/>
      <c r="Q23" s="262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-31730.045182690628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1">B24*C24</f>
        <v>340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1"/>
        <v>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35">
        <f ca="1">T23-T24</f>
        <v>-31730.045182690628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10</v>
      </c>
      <c r="D26" s="192">
        <f t="shared" si="1"/>
        <v>560</v>
      </c>
      <c r="E26" s="204"/>
      <c r="F26" s="261"/>
      <c r="G26" s="256"/>
      <c r="H26" s="201"/>
      <c r="I26" s="202"/>
      <c r="K26" s="222"/>
      <c r="L26" s="322" t="s">
        <v>258</v>
      </c>
      <c r="M26" s="323"/>
      <c r="N26" s="323"/>
      <c r="O26" s="323"/>
      <c r="P26" s="324"/>
      <c r="Q26" s="262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1"/>
        <v>0</v>
      </c>
      <c r="E27" s="204"/>
      <c r="F27" s="261"/>
      <c r="G27" s="256"/>
      <c r="H27" s="201"/>
      <c r="I27" s="202"/>
      <c r="K27" s="222"/>
      <c r="L27" s="325"/>
      <c r="M27" s="326"/>
      <c r="N27" s="326"/>
      <c r="O27" s="326"/>
      <c r="P27" s="327"/>
      <c r="Q27" s="262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10</v>
      </c>
      <c r="D28" s="192">
        <f t="shared" si="1"/>
        <v>560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1"/>
        <v>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20</v>
      </c>
      <c r="D30" s="192">
        <f t="shared" si="1"/>
        <v>1120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1"/>
        <v>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30</v>
      </c>
      <c r="D32" s="192">
        <f t="shared" si="1"/>
        <v>1680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1"/>
        <v>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40</v>
      </c>
      <c r="D34" s="192">
        <f t="shared" si="1"/>
        <v>2240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2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1"/>
        <v>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2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84</v>
      </c>
      <c r="C36" s="204">
        <v>50</v>
      </c>
      <c r="D36" s="192">
        <f t="shared" si="1"/>
        <v>4200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0</v>
      </c>
      <c r="C37" s="204"/>
      <c r="D37" s="192">
        <f t="shared" si="1"/>
        <v>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106</v>
      </c>
      <c r="C38" s="204">
        <v>70</v>
      </c>
      <c r="D38" s="192">
        <f t="shared" si="1"/>
        <v>7420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0</v>
      </c>
      <c r="C39" s="204"/>
      <c r="D39" s="192">
        <f t="shared" si="1"/>
        <v>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91</v>
      </c>
      <c r="C40" s="204">
        <v>100</v>
      </c>
      <c r="D40" s="192">
        <f t="shared" si="1"/>
        <v>9100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0</v>
      </c>
      <c r="C41" s="204"/>
      <c r="D41" s="192">
        <f t="shared" si="1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376</v>
      </c>
      <c r="C42" s="204">
        <v>200</v>
      </c>
      <c r="D42" s="192">
        <f t="shared" si="1"/>
        <v>75200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pédonculé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2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2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2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2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2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2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2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34</v>
      </c>
      <c r="C55" s="204">
        <v>10</v>
      </c>
      <c r="D55" s="189">
        <f t="shared" ref="D55:D73" si="3">B55*C55</f>
        <v>340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2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0</v>
      </c>
      <c r="C56" s="204"/>
      <c r="D56" s="189">
        <f t="shared" si="3"/>
        <v>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2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56</v>
      </c>
      <c r="C57" s="204">
        <v>10</v>
      </c>
      <c r="D57" s="189">
        <f t="shared" si="3"/>
        <v>560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2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0</v>
      </c>
      <c r="C58" s="204"/>
      <c r="D58" s="189">
        <f t="shared" si="3"/>
        <v>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2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56</v>
      </c>
      <c r="C59" s="204">
        <v>10</v>
      </c>
      <c r="D59" s="189">
        <f t="shared" si="3"/>
        <v>560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2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0</v>
      </c>
      <c r="C60" s="204"/>
      <c r="D60" s="189">
        <f t="shared" si="3"/>
        <v>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2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55</v>
      </c>
      <c r="B61" s="191">
        <f>'Données projet'!D69</f>
        <v>56</v>
      </c>
      <c r="C61" s="204">
        <v>20</v>
      </c>
      <c r="D61" s="189">
        <f t="shared" si="3"/>
        <v>1120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2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0</v>
      </c>
      <c r="C62" s="204"/>
      <c r="D62" s="189">
        <f t="shared" si="3"/>
        <v>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2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65</v>
      </c>
      <c r="B63" s="191">
        <f>'Données projet'!D71</f>
        <v>56</v>
      </c>
      <c r="C63" s="204">
        <v>30</v>
      </c>
      <c r="D63" s="189">
        <f t="shared" si="3"/>
        <v>1680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2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0</v>
      </c>
      <c r="C64" s="204"/>
      <c r="D64" s="189">
        <f t="shared" si="3"/>
        <v>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2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75</v>
      </c>
      <c r="B65" s="191">
        <f>'Données projet'!D73</f>
        <v>56</v>
      </c>
      <c r="C65" s="204">
        <v>40</v>
      </c>
      <c r="D65" s="189">
        <f t="shared" si="3"/>
        <v>2240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4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80</v>
      </c>
      <c r="B66" s="191">
        <f>'Données projet'!D74</f>
        <v>0</v>
      </c>
      <c r="C66" s="204"/>
      <c r="D66" s="189">
        <f t="shared" si="3"/>
        <v>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4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84</v>
      </c>
      <c r="C67" s="204">
        <v>50</v>
      </c>
      <c r="D67" s="189">
        <f t="shared" si="3"/>
        <v>4200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4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100</v>
      </c>
      <c r="B68" s="191">
        <f>'Données projet'!D76</f>
        <v>0</v>
      </c>
      <c r="C68" s="204"/>
      <c r="D68" s="189">
        <f t="shared" si="3"/>
        <v>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4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110</v>
      </c>
      <c r="B69" s="191">
        <f>'Données projet'!D77</f>
        <v>106</v>
      </c>
      <c r="C69" s="204">
        <v>70</v>
      </c>
      <c r="D69" s="189">
        <f t="shared" si="3"/>
        <v>7420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4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120</v>
      </c>
      <c r="B70" s="191">
        <f>'Données projet'!D78</f>
        <v>0</v>
      </c>
      <c r="C70" s="204"/>
      <c r="D70" s="189">
        <f t="shared" si="3"/>
        <v>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4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130</v>
      </c>
      <c r="B71" s="191">
        <f>'Données projet'!D79</f>
        <v>91</v>
      </c>
      <c r="C71" s="204">
        <v>100</v>
      </c>
      <c r="D71" s="189">
        <f t="shared" si="3"/>
        <v>9100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4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140</v>
      </c>
      <c r="B72" s="191">
        <f>'Données projet'!D80</f>
        <v>0</v>
      </c>
      <c r="C72" s="204"/>
      <c r="D72" s="189">
        <f t="shared" si="3"/>
        <v>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4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150</v>
      </c>
      <c r="B73" s="191">
        <f>'Données projet'!D81</f>
        <v>376</v>
      </c>
      <c r="C73" s="204">
        <v>200</v>
      </c>
      <c r="D73" s="189">
        <f t="shared" si="3"/>
        <v>75200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4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4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4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sylvestre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4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4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4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4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4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4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4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4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7">
        <v>5</v>
      </c>
      <c r="B84" s="210" t="s">
        <v>132</v>
      </c>
      <c r="C84" s="209" t="s">
        <v>132</v>
      </c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4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18</v>
      </c>
      <c r="B85" s="191">
        <f>'Données projet'!D88</f>
        <v>52.746153846153838</v>
      </c>
      <c r="C85" s="202">
        <v>10</v>
      </c>
      <c r="D85" s="189">
        <f>B85*C85</f>
        <v>527.46153846153834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4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21</v>
      </c>
      <c r="B86" s="191">
        <f>'Données projet'!D89</f>
        <v>0</v>
      </c>
      <c r="C86" s="202"/>
      <c r="D86" s="189">
        <f t="shared" ref="D86:D104" si="5">B86*C86</f>
        <v>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4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24</v>
      </c>
      <c r="B87" s="191">
        <f>'Données projet'!D90</f>
        <v>36.723076923076924</v>
      </c>
      <c r="C87" s="202">
        <v>10</v>
      </c>
      <c r="D87" s="189">
        <f t="shared" si="5"/>
        <v>367.23076923076923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4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27</v>
      </c>
      <c r="B88" s="191">
        <f>'Données projet'!D91</f>
        <v>0</v>
      </c>
      <c r="C88" s="202"/>
      <c r="D88" s="189">
        <f t="shared" si="5"/>
        <v>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4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30</v>
      </c>
      <c r="B89" s="191">
        <f>'Données projet'!D92</f>
        <v>35.430769230769229</v>
      </c>
      <c r="C89" s="202">
        <v>15</v>
      </c>
      <c r="D89" s="189">
        <f t="shared" si="5"/>
        <v>531.46153846153845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4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33</v>
      </c>
      <c r="B90" s="191">
        <f>'Données projet'!D93</f>
        <v>0</v>
      </c>
      <c r="C90" s="202"/>
      <c r="D90" s="189">
        <f t="shared" si="5"/>
        <v>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4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36</v>
      </c>
      <c r="B91" s="191">
        <f>'Données projet'!D94</f>
        <v>35.084615384615383</v>
      </c>
      <c r="C91" s="202">
        <v>15</v>
      </c>
      <c r="D91" s="189">
        <f t="shared" si="5"/>
        <v>526.26923076923072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4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40</v>
      </c>
      <c r="B92" s="191">
        <f>'Données projet'!D95</f>
        <v>0</v>
      </c>
      <c r="C92" s="202"/>
      <c r="D92" s="189">
        <f t="shared" si="5"/>
        <v>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4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43</v>
      </c>
      <c r="B93" s="191">
        <f>'Données projet'!D96</f>
        <v>43.499999999999993</v>
      </c>
      <c r="C93" s="202">
        <v>20</v>
      </c>
      <c r="D93" s="189">
        <f t="shared" si="5"/>
        <v>869.99999999999989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4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47</v>
      </c>
      <c r="B94" s="191">
        <f>'Données projet'!D97</f>
        <v>0</v>
      </c>
      <c r="C94" s="202"/>
      <c r="D94" s="189">
        <f t="shared" si="5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4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50</v>
      </c>
      <c r="B95" s="191">
        <f>'Données projet'!D98</f>
        <v>43.4</v>
      </c>
      <c r="C95" s="202">
        <v>25</v>
      </c>
      <c r="D95" s="189">
        <f t="shared" si="5"/>
        <v>1085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4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54</v>
      </c>
      <c r="B96" s="191">
        <f>'Données projet'!D99</f>
        <v>0</v>
      </c>
      <c r="C96" s="202"/>
      <c r="D96" s="189">
        <f t="shared" si="5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4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58</v>
      </c>
      <c r="B97" s="191">
        <f>'Données projet'!D100</f>
        <v>45.669230769230765</v>
      </c>
      <c r="C97" s="202">
        <v>30</v>
      </c>
      <c r="D97" s="189">
        <f t="shared" si="5"/>
        <v>1370.0769230769229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6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63</v>
      </c>
      <c r="B98" s="191">
        <f>'Données projet'!D101</f>
        <v>0</v>
      </c>
      <c r="C98" s="202"/>
      <c r="D98" s="189">
        <f t="shared" si="5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6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68</v>
      </c>
      <c r="B99" s="191">
        <f>'Données projet'!D102</f>
        <v>46.069230769230771</v>
      </c>
      <c r="C99" s="202">
        <v>35</v>
      </c>
      <c r="D99" s="189">
        <f t="shared" si="5"/>
        <v>1612.4230769230769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6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73</v>
      </c>
      <c r="B100" s="191">
        <f>'Données projet'!D103</f>
        <v>0</v>
      </c>
      <c r="C100" s="204"/>
      <c r="D100" s="189">
        <f t="shared" si="5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6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78</v>
      </c>
      <c r="B101" s="191">
        <f>'Données projet'!D104</f>
        <v>42.9</v>
      </c>
      <c r="C101" s="204">
        <v>40</v>
      </c>
      <c r="D101" s="189">
        <f t="shared" si="5"/>
        <v>1716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6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83</v>
      </c>
      <c r="B102" s="191">
        <f>'Données projet'!D105</f>
        <v>0</v>
      </c>
      <c r="C102" s="204"/>
      <c r="D102" s="189">
        <f t="shared" si="5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6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88</v>
      </c>
      <c r="B103" s="191">
        <f>'Données projet'!D106</f>
        <v>247.54615384615383</v>
      </c>
      <c r="C103" s="204">
        <v>45</v>
      </c>
      <c r="D103" s="189">
        <f t="shared" si="5"/>
        <v>11139.576923076922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6"/>
        <v>0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91</v>
      </c>
      <c r="B104" s="191">
        <f>'Données projet'!D107</f>
        <v>179.25384615384615</v>
      </c>
      <c r="C104" s="204">
        <v>50</v>
      </c>
      <c r="D104" s="189">
        <f t="shared" si="5"/>
        <v>8962.6923076923085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6"/>
        <v>0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6"/>
        <v>0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6"/>
        <v>0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pubescent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6"/>
        <v>0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6"/>
        <v>0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6"/>
        <v>0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str">
        <f>IF(O109+1&lt;=MIN('Données projet'!$E$9:$E$18),O109+1,"STOP")</f>
        <v>STOP</v>
      </c>
      <c r="P110" s="195" t="e">
        <f t="shared" si="6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6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6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6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6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6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6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34</v>
      </c>
      <c r="C117" s="204">
        <v>10</v>
      </c>
      <c r="D117" s="189">
        <f t="shared" ref="D117:D135" si="7">B117*C117</f>
        <v>340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6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4"/>
      <c r="D118" s="189">
        <f t="shared" si="7"/>
        <v>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6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56</v>
      </c>
      <c r="C119" s="204">
        <v>10</v>
      </c>
      <c r="D119" s="189">
        <f t="shared" si="7"/>
        <v>560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6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4"/>
      <c r="D120" s="189">
        <f t="shared" si="7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6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56</v>
      </c>
      <c r="C121" s="204">
        <v>10</v>
      </c>
      <c r="D121" s="189">
        <f t="shared" si="7"/>
        <v>560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6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4"/>
      <c r="D122" s="189">
        <f t="shared" si="7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6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56</v>
      </c>
      <c r="C123" s="204">
        <v>20</v>
      </c>
      <c r="D123" s="189">
        <f t="shared" si="7"/>
        <v>1120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6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4"/>
      <c r="D124" s="189">
        <f t="shared" si="7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6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56</v>
      </c>
      <c r="C125" s="204">
        <v>30</v>
      </c>
      <c r="D125" s="189">
        <f t="shared" si="7"/>
        <v>1680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6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4"/>
      <c r="D126" s="189">
        <f t="shared" si="7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56</v>
      </c>
      <c r="C127" s="204">
        <v>40</v>
      </c>
      <c r="D127" s="189">
        <f t="shared" si="7"/>
        <v>2240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4"/>
      <c r="D128" s="189">
        <f t="shared" si="7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84</v>
      </c>
      <c r="C129" s="204">
        <v>50</v>
      </c>
      <c r="D129" s="189">
        <f t="shared" si="7"/>
        <v>4200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0</v>
      </c>
      <c r="C130" s="204"/>
      <c r="D130" s="189">
        <f t="shared" si="7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106</v>
      </c>
      <c r="C131" s="204">
        <v>70</v>
      </c>
      <c r="D131" s="189">
        <f t="shared" si="7"/>
        <v>7420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0</v>
      </c>
      <c r="C132" s="204"/>
      <c r="D132" s="189">
        <f t="shared" si="7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91</v>
      </c>
      <c r="C133" s="204">
        <v>100</v>
      </c>
      <c r="D133" s="189">
        <f t="shared" si="7"/>
        <v>9100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0</v>
      </c>
      <c r="C134" s="204"/>
      <c r="D134" s="189">
        <f t="shared" si="7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376</v>
      </c>
      <c r="C135" s="204">
        <v>200</v>
      </c>
      <c r="D135" s="189">
        <f t="shared" si="7"/>
        <v>75200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Charme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7">
        <v>0</v>
      </c>
      <c r="B141" s="210" t="s">
        <v>132</v>
      </c>
      <c r="C141" s="209" t="s">
        <v>132</v>
      </c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8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5">
        <f>'Données projet'!D142</f>
        <v>35.897435897435898</v>
      </c>
      <c r="C149" s="202">
        <v>10</v>
      </c>
      <c r="D149" s="192">
        <f t="shared" si="8"/>
        <v>358.97435897435901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5">
        <f>'Données projet'!D143</f>
        <v>0</v>
      </c>
      <c r="C150" s="202"/>
      <c r="D150" s="192">
        <f t="shared" si="8"/>
        <v>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5">
        <f>'Données projet'!D144</f>
        <v>33.333333333333336</v>
      </c>
      <c r="C151" s="202">
        <v>10</v>
      </c>
      <c r="D151" s="192">
        <f t="shared" si="8"/>
        <v>333.33333333333337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5">
        <f>'Données projet'!D145</f>
        <v>0</v>
      </c>
      <c r="C152" s="202"/>
      <c r="D152" s="192">
        <f t="shared" si="8"/>
        <v>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5">
        <f>'Données projet'!D146</f>
        <v>34.615384615384613</v>
      </c>
      <c r="C153" s="202">
        <v>15</v>
      </c>
      <c r="D153" s="192">
        <f t="shared" si="8"/>
        <v>519.23076923076917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5">
        <f>'Données projet'!D147</f>
        <v>0</v>
      </c>
      <c r="C154" s="202"/>
      <c r="D154" s="192">
        <f t="shared" si="8"/>
        <v>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5">
        <f>'Données projet'!D148</f>
        <v>34.615384615384613</v>
      </c>
      <c r="C155" s="202">
        <v>20</v>
      </c>
      <c r="D155" s="192">
        <f t="shared" si="8"/>
        <v>692.30769230769226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5">
        <f>'Données projet'!D149</f>
        <v>0</v>
      </c>
      <c r="C156" s="202"/>
      <c r="D156" s="192">
        <f t="shared" si="8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5">
        <f>'Données projet'!D150</f>
        <v>32.692307692307693</v>
      </c>
      <c r="C157" s="202">
        <v>20</v>
      </c>
      <c r="D157" s="192">
        <f t="shared" si="8"/>
        <v>653.84615384615381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5">
        <f>'Données projet'!D151</f>
        <v>0</v>
      </c>
      <c r="C158" s="202"/>
      <c r="D158" s="192">
        <f t="shared" si="8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5">
        <f>'Données projet'!D152</f>
        <v>30.769230769230766</v>
      </c>
      <c r="C159" s="202">
        <v>25</v>
      </c>
      <c r="D159" s="192">
        <f t="shared" si="8"/>
        <v>769.23076923076917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5">
        <f>'Données projet'!D153</f>
        <v>0</v>
      </c>
      <c r="C160" s="202"/>
      <c r="D160" s="192">
        <f t="shared" si="8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5">
        <f>'Données projet'!D154</f>
        <v>28.846153846153847</v>
      </c>
      <c r="C161" s="202">
        <v>30</v>
      </c>
      <c r="D161" s="192">
        <f t="shared" si="8"/>
        <v>865.38461538461536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5">
        <f>'Données projet'!D155</f>
        <v>0</v>
      </c>
      <c r="C162" s="204"/>
      <c r="D162" s="192">
        <f t="shared" si="8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5">
        <f>'Données projet'!D156</f>
        <v>27.564102564102562</v>
      </c>
      <c r="C163" s="204">
        <v>35</v>
      </c>
      <c r="D163" s="192">
        <f t="shared" si="8"/>
        <v>964.74358974358972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5">
        <f>'Données projet'!D157</f>
        <v>0</v>
      </c>
      <c r="C164" s="204"/>
      <c r="D164" s="192">
        <f t="shared" si="8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5">
        <f>'Données projet'!D158</f>
        <v>37.820512820512818</v>
      </c>
      <c r="C165" s="204">
        <v>40</v>
      </c>
      <c r="D165" s="192">
        <f t="shared" si="8"/>
        <v>1512.8205128205127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5">
        <f>'Données projet'!D159</f>
        <v>285.89743589743591</v>
      </c>
      <c r="C166" s="204">
        <v>50</v>
      </c>
      <c r="D166" s="192">
        <f t="shared" si="8"/>
        <v>14294.871794871795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Pin laricio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19</v>
      </c>
      <c r="B179" s="191">
        <f>'Données projet'!D167</f>
        <v>46.53846153846154</v>
      </c>
      <c r="C179" s="204">
        <v>10</v>
      </c>
      <c r="D179" s="189">
        <f t="shared" ref="D179:D197" si="9">B179*C179</f>
        <v>465.38461538461542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24</v>
      </c>
      <c r="B180" s="191">
        <f>'Données projet'!D168</f>
        <v>40.41538461538461</v>
      </c>
      <c r="C180" s="204">
        <v>10</v>
      </c>
      <c r="D180" s="189">
        <f t="shared" si="9"/>
        <v>404.15384615384608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30</v>
      </c>
      <c r="B181" s="191">
        <f>'Données projet'!D169</f>
        <v>55.869230769230761</v>
      </c>
      <c r="C181" s="204">
        <v>10</v>
      </c>
      <c r="D181" s="189">
        <f t="shared" si="9"/>
        <v>558.69230769230762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32</v>
      </c>
      <c r="B182" s="191">
        <f>'Données projet'!D170</f>
        <v>0</v>
      </c>
      <c r="C182" s="204"/>
      <c r="D182" s="189">
        <f t="shared" si="9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37</v>
      </c>
      <c r="B183" s="191">
        <f>'Données projet'!D171</f>
        <v>43.623076923076923</v>
      </c>
      <c r="C183" s="204">
        <v>15</v>
      </c>
      <c r="D183" s="189">
        <f t="shared" si="9"/>
        <v>654.34615384615381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41</v>
      </c>
      <c r="B184" s="191">
        <f>'Données projet'!D172</f>
        <v>0</v>
      </c>
      <c r="C184" s="204"/>
      <c r="D184" s="189">
        <f t="shared" si="9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46</v>
      </c>
      <c r="B185" s="191">
        <f>'Données projet'!D173</f>
        <v>72.561538461538461</v>
      </c>
      <c r="C185" s="204">
        <v>20</v>
      </c>
      <c r="D185" s="189">
        <f t="shared" si="9"/>
        <v>1451.2307692307693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50</v>
      </c>
      <c r="B186" s="191">
        <f>'Données projet'!D174</f>
        <v>0</v>
      </c>
      <c r="C186" s="204"/>
      <c r="D186" s="189">
        <f t="shared" si="9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56</v>
      </c>
      <c r="B187" s="191">
        <f>'Données projet'!D175</f>
        <v>60.092307692307692</v>
      </c>
      <c r="C187" s="204">
        <v>25</v>
      </c>
      <c r="D187" s="189">
        <f t="shared" si="9"/>
        <v>1502.3076923076924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59</v>
      </c>
      <c r="B188" s="191">
        <f>'Données projet'!D176</f>
        <v>0</v>
      </c>
      <c r="C188" s="204"/>
      <c r="D188" s="189">
        <f t="shared" si="9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66</v>
      </c>
      <c r="B189" s="191">
        <f>'Données projet'!D177</f>
        <v>68.146153846153851</v>
      </c>
      <c r="C189" s="202">
        <v>30</v>
      </c>
      <c r="D189" s="189">
        <f t="shared" si="9"/>
        <v>2044.3846153846155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68</v>
      </c>
      <c r="B190" s="191">
        <f>'Données projet'!D178</f>
        <v>0</v>
      </c>
      <c r="C190" s="202"/>
      <c r="D190" s="189">
        <f t="shared" si="9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76</v>
      </c>
      <c r="B191" s="191">
        <f>'Données projet'!D179</f>
        <v>520.22307692307686</v>
      </c>
      <c r="C191" s="202">
        <v>40</v>
      </c>
      <c r="D191" s="189">
        <f t="shared" si="9"/>
        <v>20808.923076923074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9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9"/>
        <v>0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9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9"/>
        <v>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9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9"/>
        <v>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0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0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0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0"/>
        <v>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0"/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0"/>
        <v>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0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0"/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0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0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0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0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0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Erable sycomore</v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1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20</v>
      </c>
      <c r="B242" s="191">
        <f>'Données projet'!D220</f>
        <v>66.5</v>
      </c>
      <c r="C242" s="202">
        <v>10</v>
      </c>
      <c r="D242" s="189">
        <f t="shared" si="11"/>
        <v>665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25</v>
      </c>
      <c r="B243" s="191">
        <f>'Données projet'!D221</f>
        <v>0</v>
      </c>
      <c r="C243" s="202"/>
      <c r="D243" s="189">
        <f t="shared" si="11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30</v>
      </c>
      <c r="B244" s="191">
        <f>'Données projet'!D222</f>
        <v>70</v>
      </c>
      <c r="C244" s="202">
        <v>15</v>
      </c>
      <c r="D244" s="189">
        <f t="shared" si="11"/>
        <v>1050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35</v>
      </c>
      <c r="B245" s="191">
        <f>'Données projet'!D223</f>
        <v>0</v>
      </c>
      <c r="C245" s="202"/>
      <c r="D245" s="189">
        <f t="shared" si="11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40</v>
      </c>
      <c r="B246" s="191">
        <f>'Données projet'!D224</f>
        <v>70</v>
      </c>
      <c r="C246" s="202">
        <v>20</v>
      </c>
      <c r="D246" s="189">
        <f t="shared" si="11"/>
        <v>1400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45</v>
      </c>
      <c r="B247" s="191">
        <f>'Données projet'!D225</f>
        <v>0</v>
      </c>
      <c r="C247" s="202"/>
      <c r="D247" s="189">
        <f t="shared" si="11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50</v>
      </c>
      <c r="B248" s="191">
        <f>'Données projet'!D226</f>
        <v>43.099999999999994</v>
      </c>
      <c r="C248" s="202">
        <v>30</v>
      </c>
      <c r="D248" s="189">
        <f t="shared" si="11"/>
        <v>1292.9999999999998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55</v>
      </c>
      <c r="B249" s="191">
        <f>'Données projet'!D227</f>
        <v>0</v>
      </c>
      <c r="C249" s="202"/>
      <c r="D249" s="189">
        <f t="shared" si="11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60</v>
      </c>
      <c r="B250" s="191">
        <f>'Données projet'!D228</f>
        <v>30.2</v>
      </c>
      <c r="C250" s="202">
        <v>40</v>
      </c>
      <c r="D250" s="189">
        <f t="shared" si="11"/>
        <v>1208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65</v>
      </c>
      <c r="B251" s="191">
        <f>'Données projet'!D229</f>
        <v>0</v>
      </c>
      <c r="C251" s="202"/>
      <c r="D251" s="189">
        <f t="shared" si="11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70</v>
      </c>
      <c r="B252" s="191">
        <f>'Données projet'!D230</f>
        <v>25.9</v>
      </c>
      <c r="C252" s="202">
        <v>50</v>
      </c>
      <c r="D252" s="189">
        <f t="shared" si="11"/>
        <v>1295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75</v>
      </c>
      <c r="B253" s="191">
        <f>'Données projet'!D231</f>
        <v>0</v>
      </c>
      <c r="C253" s="202"/>
      <c r="D253" s="189">
        <f t="shared" si="11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80</v>
      </c>
      <c r="B254" s="191">
        <f>'Données projet'!D232</f>
        <v>341.3</v>
      </c>
      <c r="C254" s="204">
        <v>100</v>
      </c>
      <c r="D254" s="189">
        <f t="shared" si="11"/>
        <v>34130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1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1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1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1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1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Alisier torminal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20</v>
      </c>
      <c r="B271" s="191">
        <f>'Données projet'!D244</f>
        <v>0</v>
      </c>
      <c r="C271" s="204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25</v>
      </c>
      <c r="B272" s="191">
        <f>'Données projet'!D245</f>
        <v>34</v>
      </c>
      <c r="C272" s="204">
        <v>10</v>
      </c>
      <c r="D272" s="189">
        <f t="shared" ref="D272:D290" si="12">B272*C272</f>
        <v>340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30</v>
      </c>
      <c r="B273" s="191">
        <f>'Données projet'!D246</f>
        <v>0</v>
      </c>
      <c r="C273" s="204"/>
      <c r="D273" s="189">
        <f t="shared" si="12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35</v>
      </c>
      <c r="B274" s="191">
        <f>'Données projet'!D247</f>
        <v>56</v>
      </c>
      <c r="C274" s="204">
        <v>10</v>
      </c>
      <c r="D274" s="189">
        <f t="shared" si="12"/>
        <v>560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40</v>
      </c>
      <c r="B275" s="191">
        <f>'Données projet'!D248</f>
        <v>0</v>
      </c>
      <c r="C275" s="204"/>
      <c r="D275" s="189">
        <f t="shared" si="12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45</v>
      </c>
      <c r="B276" s="191">
        <f>'Données projet'!D249</f>
        <v>56</v>
      </c>
      <c r="C276" s="204">
        <v>10</v>
      </c>
      <c r="D276" s="189">
        <f t="shared" si="12"/>
        <v>560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50</v>
      </c>
      <c r="B277" s="191">
        <f>'Données projet'!D250</f>
        <v>0</v>
      </c>
      <c r="C277" s="204"/>
      <c r="D277" s="189">
        <f t="shared" si="12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55</v>
      </c>
      <c r="B278" s="191">
        <f>'Données projet'!D251</f>
        <v>56</v>
      </c>
      <c r="C278" s="204">
        <v>20</v>
      </c>
      <c r="D278" s="189">
        <f t="shared" si="12"/>
        <v>1120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60</v>
      </c>
      <c r="B279" s="191">
        <f>'Données projet'!D252</f>
        <v>0</v>
      </c>
      <c r="C279" s="204"/>
      <c r="D279" s="189">
        <f t="shared" si="12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65</v>
      </c>
      <c r="B280" s="191">
        <f>'Données projet'!D253</f>
        <v>56</v>
      </c>
      <c r="C280" s="204">
        <v>30</v>
      </c>
      <c r="D280" s="189">
        <f t="shared" si="12"/>
        <v>1680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70</v>
      </c>
      <c r="B281" s="191">
        <f>'Données projet'!D254</f>
        <v>0</v>
      </c>
      <c r="C281" s="204"/>
      <c r="D281" s="189">
        <f t="shared" si="12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75</v>
      </c>
      <c r="B282" s="191">
        <f>'Données projet'!D255</f>
        <v>56</v>
      </c>
      <c r="C282" s="204">
        <v>40</v>
      </c>
      <c r="D282" s="189">
        <f t="shared" si="12"/>
        <v>2240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80</v>
      </c>
      <c r="B283" s="191">
        <f>'Données projet'!D256</f>
        <v>0</v>
      </c>
      <c r="C283" s="204"/>
      <c r="D283" s="189">
        <f t="shared" si="12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90</v>
      </c>
      <c r="B284" s="191">
        <f>'Données projet'!D257</f>
        <v>84</v>
      </c>
      <c r="C284" s="204">
        <v>50</v>
      </c>
      <c r="D284" s="189">
        <f t="shared" si="12"/>
        <v>4200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100</v>
      </c>
      <c r="B285" s="191">
        <f>'Données projet'!D258</f>
        <v>0</v>
      </c>
      <c r="C285" s="204"/>
      <c r="D285" s="189">
        <f t="shared" si="12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110</v>
      </c>
      <c r="B286" s="191">
        <f>'Données projet'!D259</f>
        <v>106</v>
      </c>
      <c r="C286" s="204">
        <v>70</v>
      </c>
      <c r="D286" s="189">
        <f t="shared" si="12"/>
        <v>7420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120</v>
      </c>
      <c r="B287" s="191">
        <f>'Données projet'!D260</f>
        <v>0</v>
      </c>
      <c r="C287" s="204"/>
      <c r="D287" s="189">
        <f t="shared" si="12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130</v>
      </c>
      <c r="B288" s="191">
        <f>'Données projet'!D261</f>
        <v>91</v>
      </c>
      <c r="C288" s="204">
        <v>100</v>
      </c>
      <c r="D288" s="189">
        <f t="shared" si="12"/>
        <v>9100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140</v>
      </c>
      <c r="B289" s="191">
        <f>'Données projet'!D262</f>
        <v>0</v>
      </c>
      <c r="C289" s="204"/>
      <c r="D289" s="189">
        <f t="shared" si="12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150</v>
      </c>
      <c r="B290" s="191">
        <f>'Données projet'!D263</f>
        <v>376</v>
      </c>
      <c r="C290" s="204">
        <v>200</v>
      </c>
      <c r="D290" s="189">
        <f t="shared" si="12"/>
        <v>75200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>Tilleul</v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10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15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20</v>
      </c>
      <c r="B304" s="191">
        <f>'Données projet'!D272</f>
        <v>39.102564102564102</v>
      </c>
      <c r="C304" s="202">
        <v>10</v>
      </c>
      <c r="D304" s="192">
        <f t="shared" si="13"/>
        <v>391.02564102564099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25</v>
      </c>
      <c r="B305" s="191">
        <f>'Données projet'!D273</f>
        <v>0</v>
      </c>
      <c r="C305" s="202"/>
      <c r="D305" s="192">
        <f t="shared" si="13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30</v>
      </c>
      <c r="B306" s="191">
        <f>'Données projet'!D274</f>
        <v>39.102564102564102</v>
      </c>
      <c r="C306" s="202">
        <v>10</v>
      </c>
      <c r="D306" s="192">
        <f t="shared" si="13"/>
        <v>391.02564102564099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35</v>
      </c>
      <c r="B307" s="191">
        <f>'Données projet'!D275</f>
        <v>0</v>
      </c>
      <c r="C307" s="202"/>
      <c r="D307" s="192">
        <f t="shared" si="13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40</v>
      </c>
      <c r="B308" s="191">
        <f>'Données projet'!D276</f>
        <v>39.743589743589745</v>
      </c>
      <c r="C308" s="202">
        <v>10</v>
      </c>
      <c r="D308" s="192">
        <f t="shared" si="13"/>
        <v>397.43589743589746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45</v>
      </c>
      <c r="B309" s="191">
        <f>'Données projet'!D277</f>
        <v>0</v>
      </c>
      <c r="C309" s="202"/>
      <c r="D309" s="192">
        <f t="shared" si="13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50</v>
      </c>
      <c r="B310" s="191">
        <f>'Données projet'!D278</f>
        <v>36.53846153846154</v>
      </c>
      <c r="C310" s="202">
        <v>15</v>
      </c>
      <c r="D310" s="192">
        <f t="shared" si="13"/>
        <v>548.07692307692309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55</v>
      </c>
      <c r="B311" s="191">
        <f>'Données projet'!D279</f>
        <v>0</v>
      </c>
      <c r="C311" s="202"/>
      <c r="D311" s="192">
        <f t="shared" si="13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60</v>
      </c>
      <c r="B312" s="191">
        <f>'Données projet'!D280</f>
        <v>35.256410256410255</v>
      </c>
      <c r="C312" s="202">
        <v>20</v>
      </c>
      <c r="D312" s="192">
        <f t="shared" si="13"/>
        <v>705.12820512820508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65</v>
      </c>
      <c r="B313" s="191">
        <f>'Données projet'!D281</f>
        <v>0</v>
      </c>
      <c r="C313" s="202"/>
      <c r="D313" s="192">
        <f t="shared" si="13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70</v>
      </c>
      <c r="B314" s="191">
        <f>'Données projet'!D282</f>
        <v>31.410256410256409</v>
      </c>
      <c r="C314" s="202">
        <v>30</v>
      </c>
      <c r="D314" s="192">
        <f t="shared" si="13"/>
        <v>942.30769230769226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75</v>
      </c>
      <c r="B315" s="191">
        <f>'Données projet'!D283</f>
        <v>0</v>
      </c>
      <c r="C315" s="202"/>
      <c r="D315" s="192">
        <f t="shared" si="13"/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80</v>
      </c>
      <c r="B316" s="191">
        <f>'Données projet'!D284</f>
        <v>28.846153846153847</v>
      </c>
      <c r="C316" s="202">
        <v>30</v>
      </c>
      <c r="D316" s="192">
        <f t="shared" si="13"/>
        <v>865.38461538461536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85</v>
      </c>
      <c r="B317" s="191">
        <f>'Données projet'!D285</f>
        <v>0</v>
      </c>
      <c r="C317" s="202"/>
      <c r="D317" s="192">
        <f t="shared" si="13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90</v>
      </c>
      <c r="B318" s="191">
        <f>'Données projet'!D286</f>
        <v>27.564102564102562</v>
      </c>
      <c r="C318" s="202">
        <v>40</v>
      </c>
      <c r="D318" s="192">
        <f t="shared" si="13"/>
        <v>1102.5641025641025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95</v>
      </c>
      <c r="B319" s="191">
        <f>'Données projet'!D287</f>
        <v>0</v>
      </c>
      <c r="C319" s="202"/>
      <c r="D319" s="192">
        <f t="shared" si="13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100</v>
      </c>
      <c r="B320" s="191">
        <f>'Données projet'!D288</f>
        <v>25</v>
      </c>
      <c r="C320" s="202">
        <v>40</v>
      </c>
      <c r="D320" s="192">
        <f t="shared" si="13"/>
        <v>1000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110</v>
      </c>
      <c r="B321" s="191">
        <f>'Données projet'!D289</f>
        <v>366.66666666666663</v>
      </c>
      <c r="C321" s="202">
        <v>60</v>
      </c>
      <c r="D321" s="192">
        <f t="shared" si="13"/>
        <v>21999.999999999996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8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8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8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8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8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8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8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8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8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8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8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8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8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8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8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8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8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8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8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8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8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8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8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8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8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8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2023-12-14T17:17:06Z</dcterms:modified>
</cp:coreProperties>
</file>