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3\328\Z00ERH57\"/>
    </mc:Choice>
  </mc:AlternateContent>
  <xr:revisionPtr revIDLastSave="0" documentId="13_ncr:1_{1B982A31-CC44-4CCD-9E85-B94F5DA53070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10" i="6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G179" i="2" l="1"/>
  <c r="HI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H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FR203" i="2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<sst xmlns="http://schemas.openxmlformats.org/spreadsheetml/2006/main" count="1173" uniqueCount="324">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</sst>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2.7570055325004148</c:v>
                </c:pt>
                <c:pt idx="2">
                  <c:v>3.4032054649166987</c:v>
                </c:pt>
                <c:pt idx="3">
                  <c:v>4.2014437547216685</c:v>
                </c:pt>
                <c:pt idx="4">
                  <c:v>5.1876205225847505</c:v>
                </c:pt>
                <c:pt idx="5">
                  <c:v>6.4061412017222628</c:v>
                </c:pt>
                <c:pt idx="6">
                  <c:v>7.9119378318298503</c:v>
                </c:pt>
                <c:pt idx="7">
                  <c:v>9.772972086522616</c:v>
                </c:pt>
                <c:pt idx="8">
                  <c:v>12.073335145530288</c:v>
                </c:pt>
                <c:pt idx="9">
                  <c:v>14.917087094430778</c:v>
                </c:pt>
                <c:pt idx="10">
                  <c:v>18.433012724440111</c:v>
                </c:pt>
                <c:pt idx="11">
                  <c:v>22.780513004417188</c:v>
                </c:pt>
                <c:pt idx="12">
                  <c:v>28.156904081976307</c:v>
                </c:pt>
                <c:pt idx="13">
                  <c:v>34.806460891636839</c:v>
                </c:pt>
                <c:pt idx="14">
                  <c:v>43.031623347396639</c:v>
                </c:pt>
                <c:pt idx="15">
                  <c:v>53.206883450694164</c:v>
                </c:pt>
                <c:pt idx="16">
                  <c:v>65.795996138857035</c:v>
                </c:pt>
                <c:pt idx="17">
                  <c:v>81.373311150987774</c:v>
                </c:pt>
                <c:pt idx="18">
                  <c:v>100.65021481890842</c:v>
                </c:pt>
                <c:pt idx="19">
                  <c:v>124.50790846460593</c:v>
                </c:pt>
                <c:pt idx="20">
                  <c:v>154.03804513155393</c:v>
                </c:pt>
                <c:pt idx="21">
                  <c:v>139.20049206513002</c:v>
                </c:pt>
                <c:pt idx="22">
                  <c:v>156.69748990994773</c:v>
                </c:pt>
                <c:pt idx="23">
                  <c:v>174.14808519452981</c:v>
                </c:pt>
                <c:pt idx="24">
                  <c:v>191.55758507110076</c:v>
                </c:pt>
                <c:pt idx="25">
                  <c:v>208.93025151398982</c:v>
                </c:pt>
                <c:pt idx="26">
                  <c:v>176.042328862972</c:v>
                </c:pt>
                <c:pt idx="27">
                  <c:v>192.31365664017582</c:v>
                </c:pt>
                <c:pt idx="28">
                  <c:v>208.55295085965795</c:v>
                </c:pt>
                <c:pt idx="29">
                  <c:v>224.76305761819125</c:v>
                </c:pt>
                <c:pt idx="30">
                  <c:v>240.94637860003544</c:v>
                </c:pt>
                <c:pt idx="31">
                  <c:v>206.66621044559773</c:v>
                </c:pt>
                <c:pt idx="32">
                  <c:v>221.37253538805248</c:v>
                </c:pt>
                <c:pt idx="33">
                  <c:v>236.05644310479695</c:v>
                </c:pt>
                <c:pt idx="34">
                  <c:v>250.71952474895647</c:v>
                </c:pt>
                <c:pt idx="35">
                  <c:v>265.36317005758787</c:v>
                </c:pt>
                <c:pt idx="36">
                  <c:v>232.29338365744312</c:v>
                </c:pt>
                <c:pt idx="37">
                  <c:v>246.20993843849078</c:v>
                </c:pt>
                <c:pt idx="38">
                  <c:v>260.10863290775893</c:v>
                </c:pt>
                <c:pt idx="39">
                  <c:v>273.99055606211846</c:v>
                </c:pt>
                <c:pt idx="40">
                  <c:v>287.85667749117118</c:v>
                </c:pt>
                <c:pt idx="41">
                  <c:v>256.72945236768504</c:v>
                </c:pt>
                <c:pt idx="42">
                  <c:v>268.73984484198559</c:v>
                </c:pt>
                <c:pt idx="43">
                  <c:v>280.73815459645306</c:v>
                </c:pt>
                <c:pt idx="44">
                  <c:v>292.72497100977279</c:v>
                </c:pt>
                <c:pt idx="45">
                  <c:v>304.70083122716079</c:v>
                </c:pt>
                <c:pt idx="46">
                  <c:v>275.86525948349663</c:v>
                </c:pt>
                <c:pt idx="47">
                  <c:v>286.35837196420749</c:v>
                </c:pt>
                <c:pt idx="48">
                  <c:v>296.84288301434117</c:v>
                </c:pt>
                <c:pt idx="49">
                  <c:v>307.31913943961331</c:v>
                </c:pt>
                <c:pt idx="50">
                  <c:v>317.78746245668032</c:v>
                </c:pt>
                <c:pt idx="51">
                  <c:v>291.60168035874682</c:v>
                </c:pt>
                <c:pt idx="52">
                  <c:v>300.95952130477986</c:v>
                </c:pt>
                <c:pt idx="53">
                  <c:v>310.31088495066086</c:v>
                </c:pt>
                <c:pt idx="54">
                  <c:v>319.65599415471291</c:v>
                </c:pt>
                <c:pt idx="55">
                  <c:v>328.99505767197456</c:v>
                </c:pt>
                <c:pt idx="56">
                  <c:v>303.95265143464235</c:v>
                </c:pt>
                <c:pt idx="57">
                  <c:v>312.5542734716102</c:v>
                </c:pt>
                <c:pt idx="58">
                  <c:v>321.15064534947874</c:v>
                </c:pt>
                <c:pt idx="59">
                  <c:v>329.74192753151567</c:v>
                </c:pt>
                <c:pt idx="60">
                  <c:v>338.3282714304305</c:v>
                </c:pt>
                <c:pt idx="61">
                  <c:v>315.91868734548365</c:v>
                </c:pt>
                <c:pt idx="62">
                  <c:v>323.39233379750692</c:v>
                </c:pt>
                <c:pt idx="63">
                  <c:v>330.86216234726913</c:v>
                </c:pt>
                <c:pt idx="64">
                  <c:v>338.3282714304305</c:v>
                </c:pt>
                <c:pt idx="65">
                  <c:v>345.79075477962857</c:v>
                </c:pt>
                <c:pt idx="66">
                  <c:v>326.00720293449427</c:v>
                </c:pt>
                <c:pt idx="67">
                  <c:v>332.35567865620237</c:v>
                </c:pt>
                <c:pt idx="68">
                  <c:v>338.70148094908876</c:v>
                </c:pt>
                <c:pt idx="69">
                  <c:v>345.04466702323003</c:v>
                </c:pt>
                <c:pt idx="70">
                  <c:v>351.38529181133845</c:v>
                </c:pt>
                <c:pt idx="71">
                  <c:v>334.59567585759885</c:v>
                </c:pt>
                <c:pt idx="72">
                  <c:v>340.19422861744891</c:v>
                </c:pt>
                <c:pt idx="73">
                  <c:v>345.79075477962868</c:v>
                </c:pt>
                <c:pt idx="74">
                  <c:v>351.38529181133845</c:v>
                </c:pt>
                <c:pt idx="75">
                  <c:v>356.97787588797138</c:v>
                </c:pt>
                <c:pt idx="76">
                  <c:v>341.31369475960304</c:v>
                </c:pt>
                <c:pt idx="77">
                  <c:v>346.16378539221341</c:v>
                </c:pt>
                <c:pt idx="78">
                  <c:v>351.0123838279564</c:v>
                </c:pt>
                <c:pt idx="79">
                  <c:v>355.85951361436696</c:v>
                </c:pt>
                <c:pt idx="80">
                  <c:v>360.70519760433905</c:v>
                </c:pt>
                <c:pt idx="81">
                  <c:v>348.02880623392474</c:v>
                </c:pt>
                <c:pt idx="82">
                  <c:v>352.13108175057863</c:v>
                </c:pt>
                <c:pt idx="83">
                  <c:v>356.23230957994457</c:v>
                </c:pt>
                <c:pt idx="84">
                  <c:v>360.3325035031516</c:v>
                </c:pt>
                <c:pt idx="85">
                  <c:v>364.43167696167421</c:v>
                </c:pt>
                <c:pt idx="86">
                  <c:v>353.24970174806896</c:v>
                </c:pt>
                <c:pt idx="87">
                  <c:v>356.97787588797127</c:v>
                </c:pt>
                <c:pt idx="88">
                  <c:v>360.70519760433905</c:v>
                </c:pt>
                <c:pt idx="89">
                  <c:v>364.43167696167421</c:v>
                </c:pt>
                <c:pt idx="90">
                  <c:v>368.15732380156078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1.9134944177750821</c:v>
                </c:pt>
                <c:pt idx="2">
                  <c:v>2.5193447938967153</c:v>
                </c:pt>
                <c:pt idx="3">
                  <c:v>3.3178119643651525</c:v>
                </c:pt>
                <c:pt idx="4">
                  <c:v>4.3703718770661864</c:v>
                </c:pt>
                <c:pt idx="5">
                  <c:v>5.7581922481965391</c:v>
                </c:pt>
                <c:pt idx="6">
                  <c:v>7.5884612822811972</c:v>
                </c:pt>
                <c:pt idx="7">
                  <c:v>10.002756634482845</c:v>
                </c:pt>
                <c:pt idx="8">
                  <c:v>13.188114194820793</c:v>
                </c:pt>
                <c:pt idx="9">
                  <c:v>17.391670050888376</c:v>
                </c:pt>
                <c:pt idx="10">
                  <c:v>22.940032210106224</c:v>
                </c:pt>
                <c:pt idx="11">
                  <c:v>30.264913942025682</c:v>
                </c:pt>
                <c:pt idx="12">
                  <c:v>39.937057916497047</c:v>
                </c:pt>
                <c:pt idx="13">
                  <c:v>52.711139427388581</c:v>
                </c:pt>
                <c:pt idx="14">
                  <c:v>69.585210645445571</c:v>
                </c:pt>
                <c:pt idx="15">
                  <c:v>91.879406000953239</c:v>
                </c:pt>
                <c:pt idx="16">
                  <c:v>121.34016427394583</c:v>
                </c:pt>
                <c:pt idx="17">
                  <c:v>160.27825891364779</c:v>
                </c:pt>
                <c:pt idx="18">
                  <c:v>211.75162792193737</c:v>
                </c:pt>
                <c:pt idx="19">
                  <c:v>279.80757515319931</c:v>
                </c:pt>
                <c:pt idx="20">
                  <c:v>369.80366387000657</c:v>
                </c:pt>
                <c:pt idx="21">
                  <c:v>356.45087943088532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469.87771773906974</c:v>
                </c:pt>
                <c:pt idx="25">
                  <c:v>507.5484747180808</c:v>
                </c:pt>
                <c:pt idx="26">
                  <c:v>475.56786051841215</c:v>
                </c:pt>
                <c:pt idx="27">
                  <c:v>514.64938862406336</c:v>
                </c:pt>
                <c:pt idx="28">
                  <c:v>553.66829141515609</c:v>
                </c:pt>
                <c:pt idx="29">
                  <c:v>592.62959437384325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1.9362985886437911</c:v>
                </c:pt>
                <c:pt idx="2">
                  <c:v>2.4175465128232907</c:v>
                </c:pt>
                <c:pt idx="3">
                  <c:v>3.0188743970180618</c:v>
                </c:pt>
                <c:pt idx="4">
                  <c:v>3.770355258319642</c:v>
                </c:pt>
                <c:pt idx="5">
                  <c:v>4.7096196935109269</c:v>
                </c:pt>
                <c:pt idx="6">
                  <c:v>5.8837612498896048</c:v>
                </c:pt>
                <c:pt idx="7">
                  <c:v>7.3517235870798174</c:v>
                </c:pt>
                <c:pt idx="8">
                  <c:v>9.1872915853500281</c:v>
                </c:pt>
                <c:pt idx="9">
                  <c:v>11.48283960432201</c:v>
                </c:pt>
                <c:pt idx="10">
                  <c:v>14.354029053587347</c:v>
                </c:pt>
                <c:pt idx="11">
                  <c:v>17.945696322524423</c:v>
                </c:pt>
                <c:pt idx="12">
                  <c:v>22.439233465680072</c:v>
                </c:pt>
                <c:pt idx="13">
                  <c:v>28.061841036094858</c:v>
                </c:pt>
                <c:pt idx="14">
                  <c:v>35.098129100216262</c:v>
                </c:pt>
                <c:pt idx="15">
                  <c:v>43.904663776306684</c:v>
                </c:pt>
                <c:pt idx="16">
                  <c:v>54.928208921069135</c:v>
                </c:pt>
                <c:pt idx="17">
                  <c:v>57.928936520700894</c:v>
                </c:pt>
                <c:pt idx="18">
                  <c:v>66.243665135009351</c:v>
                </c:pt>
                <c:pt idx="19">
                  <c:v>74.531438411818826</c:v>
                </c:pt>
                <c:pt idx="20">
                  <c:v>82.795684713351179</c:v>
                </c:pt>
                <c:pt idx="21">
                  <c:v>87.08470923291496</c:v>
                </c:pt>
                <c:pt idx="22">
                  <c:v>97.94903248410327</c:v>
                </c:pt>
                <c:pt idx="23">
                  <c:v>108.78339465120125</c:v>
                </c:pt>
                <c:pt idx="24">
                  <c:v>119.59120534711991</c:v>
                </c:pt>
                <c:pt idx="25">
                  <c:v>114.02667849427588</c:v>
                </c:pt>
                <c:pt idx="26">
                  <c:v>124.16900365793684</c:v>
                </c:pt>
                <c:pt idx="27">
                  <c:v>134.29120903422282</c:v>
                </c:pt>
                <c:pt idx="28">
                  <c:v>144.39502686294233</c:v>
                </c:pt>
                <c:pt idx="29">
                  <c:v>137.8784585019167</c:v>
                </c:pt>
                <c:pt idx="30">
                  <c:v>148.30156685454077</c:v>
                </c:pt>
                <c:pt idx="31">
                  <c:v>158.70719102606964</c:v>
                </c:pt>
                <c:pt idx="32">
                  <c:v>169.09664015835338</c:v>
                </c:pt>
                <c:pt idx="33">
                  <c:v>179.47104913917386</c:v>
                </c:pt>
                <c:pt idx="34">
                  <c:v>189.83141075244791</c:v>
                </c:pt>
                <c:pt idx="35">
                  <c:v>166.71709174013915</c:v>
                </c:pt>
                <c:pt idx="36">
                  <c:v>176.0145200312711</c:v>
                </c:pt>
                <c:pt idx="37">
                  <c:v>185.30042247535172</c:v>
                </c:pt>
                <c:pt idx="38">
                  <c:v>194.57545874663569</c:v>
                </c:pt>
                <c:pt idx="39">
                  <c:v>203.84022040899663</c:v>
                </c:pt>
                <c:pt idx="40">
                  <c:v>213.0952407926645</c:v>
                </c:pt>
                <c:pt idx="41">
                  <c:v>190.90984349651194</c:v>
                </c:pt>
                <c:pt idx="42">
                  <c:v>198.45494944345185</c:v>
                </c:pt>
                <c:pt idx="43">
                  <c:v>205.99340154257493</c:v>
                </c:pt>
                <c:pt idx="44">
                  <c:v>213.52547798202738</c:v>
                </c:pt>
                <c:pt idx="45">
                  <c:v>221.05143569284758</c:v>
                </c:pt>
                <c:pt idx="46">
                  <c:v>228.57151265786101</c:v>
                </c:pt>
                <c:pt idx="47">
                  <c:v>208.89937184368952</c:v>
                </c:pt>
                <c:pt idx="48">
                  <c:v>213.74058908343292</c:v>
                </c:pt>
                <c:pt idx="49">
                  <c:v>218.57928096026777</c:v>
                </c:pt>
                <c:pt idx="50">
                  <c:v>223.41551137926174</c:v>
                </c:pt>
                <c:pt idx="51">
                  <c:v>228.24934124753477</c:v>
                </c:pt>
                <c:pt idx="52">
                  <c:v>233.08082867687767</c:v>
                </c:pt>
                <c:pt idx="53">
                  <c:v>237.91002916866509</c:v>
                </c:pt>
                <c:pt idx="54">
                  <c:v>242.73699578294506</c:v>
                </c:pt>
                <c:pt idx="55">
                  <c:v>224.22131479260892</c:v>
                </c:pt>
                <c:pt idx="56">
                  <c:v>226.31609358677363</c:v>
                </c:pt>
                <c:pt idx="57">
                  <c:v>228.41042825288187</c:v>
                </c:pt>
                <c:pt idx="58">
                  <c:v>230.50432344920179</c:v>
                </c:pt>
                <c:pt idx="59">
                  <c:v>232.59778374223927</c:v>
                </c:pt>
                <c:pt idx="60">
                  <c:v>234.6908136093756</c:v>
                </c:pt>
                <c:pt idx="61">
                  <c:v>236.78341744140491</c:v>
                </c:pt>
                <c:pt idx="62">
                  <c:v>238.87559954497763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3" zoomScale="80" zoomScaleNormal="80" workbookViewId="0">
      <selection activeCell="E41" sqref="E4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2.93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</v>
      </c>
      <c r="C9" s="32">
        <v>0.41</v>
      </c>
      <c r="D9" s="33">
        <f t="shared" ref="D9:D18" si="0">C9*$C$5</f>
        <v>1.2013</v>
      </c>
      <c r="E9" s="34">
        <v>90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18</v>
      </c>
      <c r="C10" s="32">
        <v>0.27</v>
      </c>
      <c r="D10" s="33">
        <f t="shared" si="0"/>
        <v>0.79110000000000014</v>
      </c>
      <c r="E10" s="34">
        <v>65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0.19</v>
      </c>
      <c r="D11" s="33">
        <f t="shared" si="0"/>
        <v>0.55670000000000008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81</v>
      </c>
      <c r="C12" s="32">
        <v>0.13</v>
      </c>
      <c r="D12" s="33">
        <f t="shared" si="0"/>
        <v>0.38090000000000002</v>
      </c>
      <c r="E12" s="34">
        <v>42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2.93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79</v>
      </c>
      <c r="C36" s="60">
        <v>1</v>
      </c>
      <c r="D36" s="60">
        <v>17</v>
      </c>
      <c r="E36" s="51"/>
      <c r="F36" s="51">
        <v>0.1</v>
      </c>
      <c r="G36" s="51">
        <v>0.5</v>
      </c>
      <c r="H36" s="51">
        <v>0.4</v>
      </c>
      <c r="I36" s="49">
        <f>IFERROR(B36/A36,"")</f>
        <v>3.95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108</v>
      </c>
      <c r="C37" s="60">
        <v>2</v>
      </c>
      <c r="D37" s="60">
        <v>26</v>
      </c>
      <c r="E37" s="51">
        <v>0.1</v>
      </c>
      <c r="F37" s="51">
        <v>0.2</v>
      </c>
      <c r="G37" s="51">
        <v>0.4</v>
      </c>
      <c r="H37" s="51">
        <v>0.3</v>
      </c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125</v>
      </c>
      <c r="C38" s="60">
        <v>3</v>
      </c>
      <c r="D38" s="60">
        <v>26</v>
      </c>
      <c r="E38" s="51">
        <v>0.1</v>
      </c>
      <c r="F38" s="51">
        <v>0.3</v>
      </c>
      <c r="G38" s="51">
        <v>0.3</v>
      </c>
      <c r="H38" s="51">
        <v>0.3</v>
      </c>
      <c r="I38" s="53">
        <f t="shared" si="1"/>
        <v>8.6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138</v>
      </c>
      <c r="C39" s="60">
        <v>4</v>
      </c>
      <c r="D39" s="60">
        <v>25</v>
      </c>
      <c r="E39" s="51"/>
      <c r="F39" s="51"/>
      <c r="G39" s="51"/>
      <c r="H39" s="51"/>
      <c r="I39" s="49">
        <f t="shared" si="1"/>
        <v>7.8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150</v>
      </c>
      <c r="C40" s="60">
        <v>5</v>
      </c>
      <c r="D40" s="60">
        <v>23</v>
      </c>
      <c r="E40" s="51"/>
      <c r="F40" s="51"/>
      <c r="G40" s="51"/>
      <c r="H40" s="51"/>
      <c r="I40" s="49">
        <f t="shared" si="1"/>
        <v>7.4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159</v>
      </c>
      <c r="C41" s="60">
        <v>6</v>
      </c>
      <c r="D41" s="60">
        <v>21</v>
      </c>
      <c r="E41" s="51"/>
      <c r="F41" s="51"/>
      <c r="G41" s="51"/>
      <c r="H41" s="51"/>
      <c r="I41" s="53">
        <f t="shared" si="1"/>
        <v>6.4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166</v>
      </c>
      <c r="C42" s="60">
        <v>7</v>
      </c>
      <c r="D42" s="60">
        <v>19</v>
      </c>
      <c r="E42" s="51"/>
      <c r="F42" s="51"/>
      <c r="G42" s="51"/>
      <c r="H42" s="51"/>
      <c r="I42" s="53">
        <f t="shared" si="1"/>
        <v>5.6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172</v>
      </c>
      <c r="C43" s="60">
        <v>8</v>
      </c>
      <c r="D43" s="60">
        <v>18</v>
      </c>
      <c r="E43" s="51"/>
      <c r="F43" s="51"/>
      <c r="G43" s="51"/>
      <c r="H43" s="51"/>
      <c r="I43" s="49">
        <f t="shared" si="1"/>
        <v>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177</v>
      </c>
      <c r="C44" s="60">
        <v>9</v>
      </c>
      <c r="D44" s="60">
        <v>16</v>
      </c>
      <c r="E44" s="51"/>
      <c r="F44" s="51"/>
      <c r="G44" s="51"/>
      <c r="H44" s="51"/>
      <c r="I44" s="49">
        <f t="shared" si="1"/>
        <v>4.5999999999999996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65</v>
      </c>
      <c r="B45" s="60">
        <v>181</v>
      </c>
      <c r="C45" s="60">
        <v>10</v>
      </c>
      <c r="D45" s="60">
        <v>14</v>
      </c>
      <c r="E45" s="51"/>
      <c r="F45" s="51"/>
      <c r="G45" s="51"/>
      <c r="H45" s="51"/>
      <c r="I45" s="49">
        <f t="shared" si="1"/>
        <v>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70</v>
      </c>
      <c r="B46" s="60">
        <v>184</v>
      </c>
      <c r="C46" s="60">
        <v>11</v>
      </c>
      <c r="D46" s="60">
        <v>12</v>
      </c>
      <c r="E46" s="51"/>
      <c r="F46" s="51"/>
      <c r="G46" s="51"/>
      <c r="H46" s="51"/>
      <c r="I46" s="49">
        <f t="shared" si="1"/>
        <v>3.4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75</v>
      </c>
      <c r="B47" s="60">
        <v>187</v>
      </c>
      <c r="C47" s="60">
        <v>12</v>
      </c>
      <c r="D47" s="60">
        <v>11</v>
      </c>
      <c r="E47" s="51"/>
      <c r="F47" s="51"/>
      <c r="G47" s="51"/>
      <c r="H47" s="51"/>
      <c r="I47" s="49">
        <f t="shared" si="1"/>
        <v>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80</v>
      </c>
      <c r="B48" s="60">
        <v>189</v>
      </c>
      <c r="C48" s="60">
        <v>13</v>
      </c>
      <c r="D48" s="60">
        <v>9</v>
      </c>
      <c r="E48" s="51"/>
      <c r="F48" s="51"/>
      <c r="G48" s="51"/>
      <c r="H48" s="51"/>
      <c r="I48" s="49">
        <f t="shared" si="1"/>
        <v>2.6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85</v>
      </c>
      <c r="B49" s="60">
        <v>191</v>
      </c>
      <c r="C49" s="60">
        <v>14</v>
      </c>
      <c r="D49" s="60">
        <v>8</v>
      </c>
      <c r="E49" s="51"/>
      <c r="F49" s="51"/>
      <c r="G49" s="51"/>
      <c r="H49" s="51"/>
      <c r="I49" s="49">
        <f t="shared" si="1"/>
        <v>2.2000000000000002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90</v>
      </c>
      <c r="B50" s="50">
        <v>193</v>
      </c>
      <c r="C50" s="50">
        <v>15</v>
      </c>
      <c r="D50" s="50">
        <v>193</v>
      </c>
      <c r="E50" s="51"/>
      <c r="F50" s="51"/>
      <c r="G50" s="51"/>
      <c r="H50" s="51"/>
      <c r="I50" s="49">
        <f t="shared" si="1"/>
        <v>2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303</v>
      </c>
      <c r="C62" s="60">
        <v>1</v>
      </c>
      <c r="D62" s="60">
        <v>43</v>
      </c>
      <c r="E62" s="51"/>
      <c r="F62" s="51">
        <v>0.4</v>
      </c>
      <c r="G62" s="51">
        <v>0.6</v>
      </c>
      <c r="H62" s="51"/>
      <c r="I62" s="53">
        <f>IFERROR(B62/A62,"")</f>
        <v>15.15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419</v>
      </c>
      <c r="C63" s="60">
        <v>2</v>
      </c>
      <c r="D63" s="60">
        <v>60</v>
      </c>
      <c r="E63" s="51"/>
      <c r="F63" s="51">
        <v>0.4</v>
      </c>
      <c r="G63" s="51">
        <v>0.6</v>
      </c>
      <c r="H63" s="51"/>
      <c r="I63" s="49">
        <f>IF(A63&lt;&gt;0,(B63-(B62-D62))/(A63-A62),"")</f>
        <v>31.8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524</v>
      </c>
      <c r="C64" s="60">
        <v>3</v>
      </c>
      <c r="D64" s="60">
        <v>90</v>
      </c>
      <c r="E64" s="51">
        <v>0.2</v>
      </c>
      <c r="F64" s="51">
        <v>0.6</v>
      </c>
      <c r="G64" s="51">
        <v>0.2</v>
      </c>
      <c r="H64" s="51"/>
      <c r="I64" s="49">
        <f>IF(A64&lt;&gt;0,(B64-(B63-D63))/(A64-A63),"")</f>
        <v>33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576</v>
      </c>
      <c r="C65" s="60">
        <v>4</v>
      </c>
      <c r="D65" s="60">
        <v>72</v>
      </c>
      <c r="E65" s="51"/>
      <c r="F65" s="51"/>
      <c r="G65" s="51"/>
      <c r="H65" s="51"/>
      <c r="I65" s="49">
        <f>IF(A65&lt;&gt;0,(B65-(B64-D64))/(A65-A64),"")</f>
        <v>28.4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639</v>
      </c>
      <c r="C66" s="60">
        <v>5</v>
      </c>
      <c r="D66" s="60">
        <v>77</v>
      </c>
      <c r="E66" s="51"/>
      <c r="F66" s="51"/>
      <c r="G66" s="51"/>
      <c r="H66" s="51"/>
      <c r="I66" s="49">
        <f t="shared" ref="I66:I81" si="2">IF(A66&lt;&gt;0,(B66-(B65-D65))/(A66-A65),"")</f>
        <v>27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686</v>
      </c>
      <c r="C67" s="60">
        <v>6</v>
      </c>
      <c r="D67" s="60">
        <v>64</v>
      </c>
      <c r="E67" s="51"/>
      <c r="F67" s="51"/>
      <c r="G67" s="51"/>
      <c r="H67" s="51"/>
      <c r="I67" s="49">
        <f t="shared" si="2"/>
        <v>24.8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724</v>
      </c>
      <c r="C68" s="60">
        <v>7</v>
      </c>
      <c r="D68" s="60">
        <v>62</v>
      </c>
      <c r="E68" s="51"/>
      <c r="F68" s="51"/>
      <c r="G68" s="51"/>
      <c r="H68" s="51"/>
      <c r="I68" s="49">
        <f t="shared" si="2"/>
        <v>20.399999999999999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50">
        <v>739</v>
      </c>
      <c r="C69" s="50">
        <v>8</v>
      </c>
      <c r="D69" s="50">
        <v>46</v>
      </c>
      <c r="E69" s="51"/>
      <c r="F69" s="51"/>
      <c r="G69" s="51"/>
      <c r="H69" s="51"/>
      <c r="I69" s="49">
        <f t="shared" si="2"/>
        <v>15.4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50">
        <v>754</v>
      </c>
      <c r="C70" s="50">
        <v>9</v>
      </c>
      <c r="D70" s="50">
        <v>35</v>
      </c>
      <c r="E70" s="51"/>
      <c r="F70" s="51"/>
      <c r="G70" s="51"/>
      <c r="H70" s="51"/>
      <c r="I70" s="49">
        <f t="shared" si="2"/>
        <v>12.2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50">
        <v>769</v>
      </c>
      <c r="C71" s="50">
        <v>10</v>
      </c>
      <c r="D71" s="50">
        <v>769</v>
      </c>
      <c r="E71" s="51"/>
      <c r="F71" s="51"/>
      <c r="G71" s="51"/>
      <c r="H71" s="51"/>
      <c r="I71" s="49">
        <f t="shared" si="2"/>
        <v>10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16</v>
      </c>
      <c r="B88" s="60">
        <v>40</v>
      </c>
      <c r="C88" s="60">
        <v>1</v>
      </c>
      <c r="D88" s="60">
        <v>4</v>
      </c>
      <c r="E88" s="51">
        <v>0.2</v>
      </c>
      <c r="F88" s="51">
        <v>0.2</v>
      </c>
      <c r="G88" s="51">
        <v>0.6</v>
      </c>
      <c r="H88" s="87"/>
      <c r="I88" s="53">
        <f>IFERROR(B88/A88,"")</f>
        <v>2.5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61</v>
      </c>
      <c r="C89" s="60">
        <v>2</v>
      </c>
      <c r="D89" s="60">
        <v>5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6.25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24</v>
      </c>
      <c r="B90" s="60">
        <v>89</v>
      </c>
      <c r="C90" s="60">
        <v>3</v>
      </c>
      <c r="D90" s="60">
        <v>12</v>
      </c>
      <c r="E90" s="87">
        <v>0.4</v>
      </c>
      <c r="F90" s="87">
        <v>0.3</v>
      </c>
      <c r="G90" s="87">
        <v>0.3</v>
      </c>
      <c r="H90" s="87"/>
      <c r="I90" s="53">
        <f t="shared" si="3"/>
        <v>8.25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28</v>
      </c>
      <c r="B91" s="60">
        <v>108</v>
      </c>
      <c r="C91" s="60">
        <v>4</v>
      </c>
      <c r="D91" s="60">
        <v>13</v>
      </c>
      <c r="E91" s="87">
        <v>0.4</v>
      </c>
      <c r="F91" s="87">
        <v>0.3</v>
      </c>
      <c r="G91" s="87">
        <v>0.3</v>
      </c>
      <c r="H91" s="87"/>
      <c r="I91" s="53">
        <f t="shared" si="3"/>
        <v>7.75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34</v>
      </c>
      <c r="B92" s="60">
        <v>143</v>
      </c>
      <c r="C92" s="60">
        <v>5</v>
      </c>
      <c r="D92" s="60">
        <v>25</v>
      </c>
      <c r="E92" s="87"/>
      <c r="F92" s="87"/>
      <c r="G92" s="87"/>
      <c r="H92" s="87"/>
      <c r="I92" s="53">
        <f t="shared" si="3"/>
        <v>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v>161</v>
      </c>
      <c r="C93" s="60">
        <v>6</v>
      </c>
      <c r="D93" s="60">
        <v>23</v>
      </c>
      <c r="E93" s="87"/>
      <c r="F93" s="87"/>
      <c r="G93" s="87"/>
      <c r="H93" s="87"/>
      <c r="I93" s="53">
        <f t="shared" si="3"/>
        <v>7.166666666666667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46</v>
      </c>
      <c r="B94" s="60">
        <v>173</v>
      </c>
      <c r="C94" s="60">
        <v>7</v>
      </c>
      <c r="D94" s="60">
        <v>19</v>
      </c>
      <c r="E94" s="87"/>
      <c r="F94" s="87"/>
      <c r="G94" s="87"/>
      <c r="H94" s="87"/>
      <c r="I94" s="53">
        <f t="shared" si="3"/>
        <v>5.833333333333333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54</v>
      </c>
      <c r="B95" s="60">
        <v>184</v>
      </c>
      <c r="C95" s="60">
        <v>8</v>
      </c>
      <c r="D95" s="60">
        <v>16</v>
      </c>
      <c r="E95" s="87"/>
      <c r="F95" s="87"/>
      <c r="G95" s="87"/>
      <c r="H95" s="87"/>
      <c r="I95" s="53">
        <f t="shared" si="3"/>
        <v>3.75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62</v>
      </c>
      <c r="B96" s="60">
        <v>181</v>
      </c>
      <c r="C96" s="60">
        <v>9</v>
      </c>
      <c r="D96" s="60">
        <v>181</v>
      </c>
      <c r="E96" s="87"/>
      <c r="F96" s="87"/>
      <c r="G96" s="87"/>
      <c r="H96" s="87"/>
      <c r="I96" s="53">
        <f t="shared" si="3"/>
        <v>1.625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12</v>
      </c>
      <c r="B114" s="60">
        <v>116</v>
      </c>
      <c r="C114" s="50">
        <v>1</v>
      </c>
      <c r="D114" s="60">
        <v>21</v>
      </c>
      <c r="E114" s="51"/>
      <c r="F114" s="51"/>
      <c r="G114" s="51"/>
      <c r="H114" s="51">
        <v>1</v>
      </c>
      <c r="I114" s="53">
        <f>IFERROR(B114/A114,"")</f>
        <v>9.6666666666666661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15</v>
      </c>
      <c r="B115" s="60">
        <v>168</v>
      </c>
      <c r="C115" s="50">
        <v>2</v>
      </c>
      <c r="D115" s="60">
        <v>47</v>
      </c>
      <c r="E115" s="51"/>
      <c r="F115" s="51"/>
      <c r="G115" s="51">
        <v>1</v>
      </c>
      <c r="H115" s="51"/>
      <c r="I115" s="53">
        <f t="shared" ref="I115:I133" si="4">IF(A115&lt;&gt;0,(B115-(B114-D114))/(A115-A114),"")</f>
        <v>24.333333333333332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18</v>
      </c>
      <c r="B116" s="60">
        <v>185</v>
      </c>
      <c r="C116" s="50">
        <v>3</v>
      </c>
      <c r="D116" s="60">
        <v>61</v>
      </c>
      <c r="E116" s="51"/>
      <c r="F116" s="51">
        <v>0.2</v>
      </c>
      <c r="G116" s="51">
        <v>0.8</v>
      </c>
      <c r="H116" s="51"/>
      <c r="I116" s="53">
        <f t="shared" si="4"/>
        <v>21.333333333333332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24</v>
      </c>
      <c r="B117" s="60">
        <v>239</v>
      </c>
      <c r="C117" s="50">
        <v>4</v>
      </c>
      <c r="D117" s="60">
        <v>84</v>
      </c>
      <c r="E117" s="51"/>
      <c r="F117" s="51">
        <v>0.5</v>
      </c>
      <c r="G117" s="51">
        <v>0.5</v>
      </c>
      <c r="H117" s="51"/>
      <c r="I117" s="53">
        <f t="shared" si="4"/>
        <v>19.166666666666668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30</v>
      </c>
      <c r="B118" s="60">
        <v>255</v>
      </c>
      <c r="C118" s="50">
        <v>5</v>
      </c>
      <c r="D118" s="60">
        <v>76</v>
      </c>
      <c r="E118" s="51">
        <v>0.2</v>
      </c>
      <c r="F118" s="51">
        <v>0.6</v>
      </c>
      <c r="G118" s="51">
        <v>0.2</v>
      </c>
      <c r="H118" s="51"/>
      <c r="I118" s="53">
        <f t="shared" si="4"/>
        <v>16.666666666666668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36</v>
      </c>
      <c r="B119" s="60">
        <v>269</v>
      </c>
      <c r="C119" s="50">
        <v>6</v>
      </c>
      <c r="D119" s="60">
        <v>75</v>
      </c>
      <c r="E119" s="51"/>
      <c r="F119" s="51"/>
      <c r="G119" s="51"/>
      <c r="H119" s="51"/>
      <c r="I119" s="53">
        <f t="shared" si="4"/>
        <v>15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42</v>
      </c>
      <c r="B120" s="60">
        <v>278</v>
      </c>
      <c r="C120" s="60">
        <v>7</v>
      </c>
      <c r="D120" s="60">
        <v>278</v>
      </c>
      <c r="E120" s="87"/>
      <c r="F120" s="87"/>
      <c r="G120" s="87"/>
      <c r="H120" s="87"/>
      <c r="I120" s="53">
        <f t="shared" si="4"/>
        <v>14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17" sqref="C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rouge d'Amérique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268.31928207836495</v>
      </c>
      <c r="T3" s="59">
        <f>IF('Données projet'!E9&gt;30,$R$33-$H$33,LOOKUP('Données projet'!$E$9,$A$3:$A$203,R3:R203)-LOOKUP('Données projet'!$E$9,$A$3:$A$203,$H$3:$H$203))</f>
        <v>277.61304526670204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544.48194192356823</v>
      </c>
      <c r="AO3" s="59">
        <f>IF('Données projet'!E10&gt;30,$AM$33-$H$33,LOOKUP('Données projet'!$E$10,$A$3:$A$203,AM3:AM203)-LOOKUP('Données projet'!$E$10,$A$3:$A$203,$H$3:$H$203))</f>
        <v>668.20427590250733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162.86181551380446</v>
      </c>
      <c r="BJ3" s="59">
        <f>IF('Données projet'!E11&gt;30,$BH$33-$H$33,LOOKUP('Données projet'!$E$11,$A$3:$A$203,BH3:BH203)-LOOKUP('Données projet'!$E$11,$A$3:$A$203,$H$3:$H$203))</f>
        <v>184.96823352120742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207.02306964567629</v>
      </c>
      <c r="CE3" s="59">
        <f>IF('Données projet'!E12&gt;30,$CC$33-$H$33,LOOKUP('Données projet'!$E$12,$A$3:$A$203,CC3:CC203)-LOOKUP('Données projet'!$E$12,$A$3:$A$203,$H$3:$H$203))</f>
        <v>342.06887933351783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3.95</v>
      </c>
      <c r="N4" s="13">
        <f>IF('Données projet'!$A$36&gt;35,N3+M4-V3,IF(A4&lt;'Données projet'!$A$36,$K$205^A4,IF(A4='Données projet'!$A$36,'Données projet'!$B$36,N3+M4-V3)))</f>
        <v>1.2441746677543575</v>
      </c>
      <c r="O4" s="13">
        <f>N4*VLOOKUP('Données projet'!$B$9,Paramètres!$A$1:$I$89,3,0)*VLOOKUP('Données projet'!$B$9,Paramètres!$A$1:$I$89,5,0)</f>
        <v>1.0869109897502069</v>
      </c>
      <c r="P4" s="13">
        <f>EXP(-1.0587+0.8836*LN(O4)+0.284)</f>
        <v>0.49605869398208868</v>
      </c>
      <c r="Q4" s="20">
        <f t="shared" ref="Q4:Q34" si="2">(O4+P4)*0.475*44/12</f>
        <v>2.7570055325004148</v>
      </c>
      <c r="R4" s="59">
        <f t="shared" si="0"/>
        <v>260.64589442138924</v>
      </c>
      <c r="S4" s="59">
        <f ca="1">AVERAGE(OFFSET($R$3,0,0,'Données projet'!$E$9+1,1))-AVERAGE(OFFSET($H$3,0,0,'Données projet'!$E$9+1,1))</f>
        <v>268.31928207836495</v>
      </c>
      <c r="T4" s="59">
        <f>$T$3</f>
        <v>277.61304526670204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15.15</v>
      </c>
      <c r="AI4" s="13">
        <f>IF('Données projet'!$A$62&gt;35,AI3+AH4-AQ3,IF(A4&lt;'Données projet'!$A$62,$AF$205^A4,IF(A4='Données projet'!$A$62,'Données projet'!$B$62,AI3+AH4-AQ3)))</f>
        <v>1.3306754098332192</v>
      </c>
      <c r="AJ4" s="13">
        <f>AI4*VLOOKUP('Données projet'!$B$10,Paramètres!$A$1:$I$89,3,0)*VLOOKUP('Données projet'!$B$10,Paramètres!$A$1:$I$89,5,0)</f>
        <v>0.7438475540967695</v>
      </c>
      <c r="AK4" s="13">
        <f>EXP(-1.0587+0.8836*LN(AJ4)+0.284)</f>
        <v>0.35480952787935433</v>
      </c>
      <c r="AL4" s="20">
        <f t="shared" ref="AL4:AL67" si="4">(AJ4+AK4)*0.475*44/12</f>
        <v>1.9134944177750821</v>
      </c>
      <c r="AM4" s="59">
        <f t="shared" ref="AM4:AM67" si="5">AL4+(AD4+AE4)*44/12</f>
        <v>259.80238330666396</v>
      </c>
      <c r="AN4" s="59">
        <f ca="1">AVERAGE(OFFSET($AM$3,0,0,'Données projet'!$E$10+1,1))-AVERAGE(OFFSET($H$3,0,0,'Données projet'!$E$10+1,1))</f>
        <v>544.48194192356823</v>
      </c>
      <c r="AO4" s="59">
        <f>$AO$3</f>
        <v>668.20427590250733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2.5</v>
      </c>
      <c r="BD4" s="12">
        <f>IF('Données projet'!$A$88&gt;35,BD3+BC4-BL3,IF(A4&lt;'Données projet'!$A$88,$BA$205^A4,IF(A4='Données projet'!$A$88,'Données projet'!$B$88,BD3+BC4-BL3)))</f>
        <v>1.2592986838463873</v>
      </c>
      <c r="BE4" s="13">
        <f>BD4*VLOOKUP('Données projet'!$B$11,Paramètres!$A$1:$I$89,3,0)*VLOOKUP('Données projet'!$B$11,Paramètres!$A$1:$I$89,5,0)</f>
        <v>0.75306061294013971</v>
      </c>
      <c r="BF4" s="13">
        <f>EXP(-1.0587+0.8836*LN(BE4)+0.284)</f>
        <v>0.35868977288404674</v>
      </c>
      <c r="BG4" s="20">
        <f t="shared" ref="BG4:BG67" si="7">(BE4+BF4)*0.475*44/12</f>
        <v>1.9362985886437911</v>
      </c>
      <c r="BH4" s="59">
        <f t="shared" ref="BH4:BH67" si="8">BG4+(AY4+AZ4)*44/12</f>
        <v>259.82518747753267</v>
      </c>
      <c r="BI4" s="59">
        <f ca="1">AVERAGE(OFFSET($BH$3,0,0,'Données projet'!$E$11+1,1))-AVERAGE(OFFSET($H$3,0,0,'Données projet'!$E$11+1,1))</f>
        <v>162.86181551380446</v>
      </c>
      <c r="BJ4" s="59">
        <f>$BJ$3</f>
        <v>184.96823352120742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9.6666666666666661</v>
      </c>
      <c r="BY4" s="12">
        <f>IF('Données projet'!$A$114&gt;35,BY3+BX4-CG3,IF(A4&lt;'Données projet'!$A$114,$BV$205^A4,IF(A4='Données projet'!$A$114,'Données projet'!$B$114,BY3+BX4-CG3)))</f>
        <v>1.4860662319460807</v>
      </c>
      <c r="BZ4" s="13">
        <f>BY4*VLOOKUP('Données projet'!$B$12,Paramètres!$A$1:$I$89,3,0)*VLOOKUP('Données projet'!$B$12,Paramètres!$A$1:$I$89,5,0)</f>
        <v>0.81139216264255998</v>
      </c>
      <c r="CA4" s="13">
        <f>EXP(-1.0587+0.8836*LN(BZ4)+0.284)</f>
        <v>0.38313198283208655</v>
      </c>
      <c r="CB4" s="20">
        <f t="shared" ref="CB4:CB67" si="10">(BZ4+CA4)*0.475*44/12</f>
        <v>2.0804628867016759</v>
      </c>
      <c r="CC4" s="59">
        <f t="shared" ref="CC4:CC67" si="11">CB4+(BT4+BU4)*44/12</f>
        <v>259.96935177559055</v>
      </c>
      <c r="CD4" s="59">
        <f ca="1">AVERAGE(OFFSET($CC$3,0,0,'Données projet'!$E$12+1,1))-AVERAGE(OFFSET($H$3,0,0,'Données projet'!$E$12+1,1))</f>
        <v>207.02306964567629</v>
      </c>
      <c r="CE4" s="59">
        <f>$CE$3</f>
        <v>342.06887933351783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3.95</v>
      </c>
      <c r="N5" s="13">
        <f>IF('Données projet'!$A$36&gt;35,N4+M5-V4,IF(A5&lt;'Données projet'!$A$36,$K$205^A5,IF(A5='Données projet'!$A$36,'Données projet'!$B$36,N4+M5-V4)))</f>
        <v>1.5479706038816659</v>
      </c>
      <c r="O5" s="13">
        <f>N5*VLOOKUP('Données projet'!$B$9,Paramètres!$A$1:$I$89,3,0)*VLOOKUP('Données projet'!$B$9,Paramètres!$A$1:$I$89,5,0)</f>
        <v>1.3523071195510235</v>
      </c>
      <c r="P5" s="13">
        <f t="shared" ref="P5:P68" si="33">EXP(-1.0587+0.8836*LN(O5)+0.284)</f>
        <v>0.60168644882220068</v>
      </c>
      <c r="Q5" s="20">
        <f t="shared" si="2"/>
        <v>3.4032054649166987</v>
      </c>
      <c r="R5" s="59">
        <f t="shared" si="0"/>
        <v>262.51431657602785</v>
      </c>
      <c r="S5" s="59">
        <f ca="1">AVERAGE(OFFSET($R$3,0,0,'Données projet'!$E$9+1,1))-AVERAGE(OFFSET($H$3,0,0,'Données projet'!$E$9+1,1))</f>
        <v>268.31928207836495</v>
      </c>
      <c r="T5" s="59">
        <f t="shared" ref="T5:T68" si="34">$T$3</f>
        <v>277.61304526670204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15.15</v>
      </c>
      <c r="AI5" s="13">
        <f>IF('Données projet'!$A$62&gt;35,AI4+AH5-AQ4,IF(A5&lt;'Données projet'!$A$62,$AF$205^A5,IF(A5='Données projet'!$A$62,'Données projet'!$B$62,AI4+AH5-AQ4)))</f>
        <v>1.770697046334806</v>
      </c>
      <c r="AJ5" s="13">
        <f>AI5*VLOOKUP('Données projet'!$B$10,Paramètres!$A$1:$I$89,3,0)*VLOOKUP('Données projet'!$B$10,Paramètres!$A$1:$I$89,5,0)</f>
        <v>0.98981964890115659</v>
      </c>
      <c r="AK5" s="13">
        <f t="shared" ref="AK5:AK68" si="35">EXP(-1.0587+0.8836*LN(AJ5)+0.284)</f>
        <v>0.45669410836011554</v>
      </c>
      <c r="AL5" s="20">
        <f t="shared" si="4"/>
        <v>2.5193447938967153</v>
      </c>
      <c r="AM5" s="59">
        <f t="shared" si="5"/>
        <v>261.63045590500786</v>
      </c>
      <c r="AN5" s="59">
        <f ca="1">AVERAGE(OFFSET($AM$3,0,0,'Données projet'!$E$10+1,1))-AVERAGE(OFFSET($H$3,0,0,'Données projet'!$E$10+1,1))</f>
        <v>544.48194192356823</v>
      </c>
      <c r="AO5" s="59">
        <f t="shared" ref="AO5:AO68" si="36">$AO$3</f>
        <v>668.20427590250733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2.5</v>
      </c>
      <c r="BD5" s="12">
        <f>IF('Données projet'!$A$88&gt;35,BD4+BC5-BL4,IF(A5&lt;'Données projet'!$A$88,$BA$205^A5,IF(A5='Données projet'!$A$88,'Données projet'!$B$88,BD4+BC5-BL4)))</f>
        <v>1.5858331751372434</v>
      </c>
      <c r="BE5" s="13">
        <f>BD5*VLOOKUP('Données projet'!$B$11,Paramètres!$A$1:$I$89,3,0)*VLOOKUP('Données projet'!$B$11,Paramètres!$A$1:$I$89,5,0)</f>
        <v>0.94832823873207162</v>
      </c>
      <c r="BF5" s="13">
        <f t="shared" ref="BF5:BF68" si="37">EXP(-1.0587+0.8836*LN(BE5)+0.284)</f>
        <v>0.43973674470713842</v>
      </c>
      <c r="BG5" s="20">
        <f t="shared" si="7"/>
        <v>2.4175465128232907</v>
      </c>
      <c r="BH5" s="59">
        <f t="shared" si="8"/>
        <v>261.52865762393441</v>
      </c>
      <c r="BI5" s="59">
        <f ca="1">AVERAGE(OFFSET($BH$3,0,0,'Données projet'!$E$11+1,1))-AVERAGE(OFFSET($H$3,0,0,'Données projet'!$E$11+1,1))</f>
        <v>162.86181551380446</v>
      </c>
      <c r="BJ5" s="59">
        <f t="shared" ref="BJ5:BJ68" si="38">$BJ$3</f>
        <v>184.96823352120742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9.6666666666666661</v>
      </c>
      <c r="BY5" s="12">
        <f>IF('Données projet'!$A$114&gt;35,BY4+BX5-CG4,IF(A5&lt;'Données projet'!$A$114,$BV$205^A5,IF(A5='Données projet'!$A$114,'Données projet'!$B$114,BY4+BX5-CG4)))</f>
        <v>2.2083928457304225</v>
      </c>
      <c r="BZ5" s="13">
        <f>BY5*VLOOKUP('Données projet'!$B$12,Paramètres!$A$1:$I$89,3,0)*VLOOKUP('Données projet'!$B$12,Paramètres!$A$1:$I$89,5,0)</f>
        <v>1.2057824937688106</v>
      </c>
      <c r="CA5" s="13">
        <f t="shared" ref="CA5:CA68" si="39">EXP(-1.0587+0.8836*LN(BZ5)+0.284)</f>
        <v>0.54370250071771287</v>
      </c>
      <c r="CB5" s="20">
        <f t="shared" si="10"/>
        <v>3.0470196987306952</v>
      </c>
      <c r="CC5" s="59">
        <f t="shared" si="11"/>
        <v>262.15813080984185</v>
      </c>
      <c r="CD5" s="59">
        <f ca="1">AVERAGE(OFFSET($CC$3,0,0,'Données projet'!$E$12+1,1))-AVERAGE(OFFSET($H$3,0,0,'Données projet'!$E$12+1,1))</f>
        <v>207.02306964567629</v>
      </c>
      <c r="CE5" s="59">
        <f t="shared" ref="CE5:CE68" si="40">$CE$3</f>
        <v>342.06887933351783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3.95</v>
      </c>
      <c r="N6" s="13">
        <f>IF('Données projet'!$A$36&gt;35,N5+M6-V5,IF(A6&lt;'Données projet'!$A$36,$K$205^A6,IF(A6='Données projet'!$A$36,'Données projet'!$B$36,N5+M6-V5)))</f>
        <v>1.9259458117779837</v>
      </c>
      <c r="O6" s="13">
        <f>N6*VLOOKUP('Données projet'!$B$9,Paramètres!$A$1:$I$89,3,0)*VLOOKUP('Données projet'!$B$9,Paramètres!$A$1:$I$89,5,0)</f>
        <v>1.682506261169247</v>
      </c>
      <c r="P6" s="13">
        <f t="shared" si="33"/>
        <v>0.72980594249869668</v>
      </c>
      <c r="Q6" s="20">
        <f t="shared" si="2"/>
        <v>4.2014437547216685</v>
      </c>
      <c r="R6" s="59">
        <f t="shared" si="0"/>
        <v>264.53477708805497</v>
      </c>
      <c r="S6" s="59">
        <f ca="1">AVERAGE(OFFSET($R$3,0,0,'Données projet'!$E$9+1,1))-AVERAGE(OFFSET($H$3,0,0,'Données projet'!$E$9+1,1))</f>
        <v>268.31928207836495</v>
      </c>
      <c r="T6" s="59">
        <f t="shared" si="34"/>
        <v>277.61304526670204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15.15</v>
      </c>
      <c r="AI6" s="13">
        <f>IF('Données projet'!$A$62&gt;35,AI5+AH6-AQ5,IF(A6&lt;'Données projet'!$A$62,$AF$205^A6,IF(A6='Données projet'!$A$62,'Données projet'!$B$62,AI5+AH6-AQ5)))</f>
        <v>2.3562230178220385</v>
      </c>
      <c r="AJ6" s="13">
        <f>AI6*VLOOKUP('Données projet'!$B$10,Paramètres!$A$1:$I$89,3,0)*VLOOKUP('Données projet'!$B$10,Paramètres!$A$1:$I$89,5,0)</f>
        <v>1.3171286669625197</v>
      </c>
      <c r="AK6" s="13">
        <f t="shared" si="35"/>
        <v>0.58783514032847717</v>
      </c>
      <c r="AL6" s="20">
        <f t="shared" si="4"/>
        <v>3.3178119643651525</v>
      </c>
      <c r="AM6" s="59">
        <f t="shared" si="5"/>
        <v>263.65114529769846</v>
      </c>
      <c r="AN6" s="59">
        <f ca="1">AVERAGE(OFFSET($AM$3,0,0,'Données projet'!$E$10+1,1))-AVERAGE(OFFSET($H$3,0,0,'Données projet'!$E$10+1,1))</f>
        <v>544.48194192356823</v>
      </c>
      <c r="AO6" s="59">
        <f t="shared" si="36"/>
        <v>668.20427590250733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2.5</v>
      </c>
      <c r="BD6" s="12">
        <f>IF('Données projet'!$A$88&gt;35,BD5+BC6-BL5,IF(A6&lt;'Données projet'!$A$88,$BA$205^A6,IF(A6='Données projet'!$A$88,'Données projet'!$B$88,BD5+BC6-BL5)))</f>
        <v>1.9970376302502681</v>
      </c>
      <c r="BE6" s="13">
        <f>BD6*VLOOKUP('Données projet'!$B$11,Paramètres!$A$1:$I$89,3,0)*VLOOKUP('Données projet'!$B$11,Paramètres!$A$1:$I$89,5,0)</f>
        <v>1.1942285028896604</v>
      </c>
      <c r="BF6" s="13">
        <f t="shared" si="37"/>
        <v>0.53909650975228929</v>
      </c>
      <c r="BG6" s="20">
        <f t="shared" si="7"/>
        <v>3.0188743970180618</v>
      </c>
      <c r="BH6" s="59">
        <f t="shared" si="8"/>
        <v>263.35220773035138</v>
      </c>
      <c r="BI6" s="59">
        <f ca="1">AVERAGE(OFFSET($BH$3,0,0,'Données projet'!$E$11+1,1))-AVERAGE(OFFSET($H$3,0,0,'Données projet'!$E$11+1,1))</f>
        <v>162.86181551380446</v>
      </c>
      <c r="BJ6" s="59">
        <f t="shared" si="38"/>
        <v>184.96823352120742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9.6666666666666661</v>
      </c>
      <c r="BY6" s="12">
        <f>IF('Données projet'!$A$114&gt;35,BY5+BX6-CG5,IF(A6&lt;'Données projet'!$A$114,$BV$205^A6,IF(A6='Données projet'!$A$114,'Données projet'!$B$114,BY5+BX6-CG5)))</f>
        <v>3.2818180349112911</v>
      </c>
      <c r="BZ6" s="13">
        <f>BY6*VLOOKUP('Données projet'!$B$12,Paramètres!$A$1:$I$89,3,0)*VLOOKUP('Données projet'!$B$12,Paramètres!$A$1:$I$89,5,0)</f>
        <v>1.7918726470615651</v>
      </c>
      <c r="CA6" s="13">
        <f t="shared" si="39"/>
        <v>0.77156808236563035</v>
      </c>
      <c r="CB6" s="20">
        <f t="shared" si="10"/>
        <v>4.4646592704190313</v>
      </c>
      <c r="CC6" s="59">
        <f t="shared" si="11"/>
        <v>264.79799260375233</v>
      </c>
      <c r="CD6" s="59">
        <f ca="1">AVERAGE(OFFSET($CC$3,0,0,'Données projet'!$E$12+1,1))-AVERAGE(OFFSET($H$3,0,0,'Données projet'!$E$12+1,1))</f>
        <v>207.02306964567629</v>
      </c>
      <c r="CE6" s="59">
        <f t="shared" si="40"/>
        <v>342.06887933351783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3.95</v>
      </c>
      <c r="N7" s="13">
        <f>IF('Données projet'!$A$36&gt;35,N6+M7-V6,IF(A7&lt;'Données projet'!$A$36,$K$205^A7,IF(A7='Données projet'!$A$36,'Données projet'!$B$36,N6+M7-V6)))</f>
        <v>2.3962129904817693</v>
      </c>
      <c r="O7" s="13">
        <f>N7*VLOOKUP('Données projet'!$B$9,Paramètres!$A$1:$I$89,3,0)*VLOOKUP('Données projet'!$B$9,Paramètres!$A$1:$I$89,5,0)</f>
        <v>2.0933316684848742</v>
      </c>
      <c r="P7" s="13">
        <f t="shared" si="33"/>
        <v>0.88520643060684912</v>
      </c>
      <c r="Q7" s="20">
        <f t="shared" si="2"/>
        <v>5.1876205225847505</v>
      </c>
      <c r="R7" s="59">
        <f t="shared" si="0"/>
        <v>266.74317607814027</v>
      </c>
      <c r="S7" s="59">
        <f ca="1">AVERAGE(OFFSET($R$3,0,0,'Données projet'!$E$9+1,1))-AVERAGE(OFFSET($H$3,0,0,'Données projet'!$E$9+1,1))</f>
        <v>268.31928207836495</v>
      </c>
      <c r="T7" s="59">
        <f t="shared" si="34"/>
        <v>277.61304526670204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15.15</v>
      </c>
      <c r="AI7" s="13">
        <f>IF('Données projet'!$A$62&gt;35,AI6+AH7-AQ6,IF(A7&lt;'Données projet'!$A$62,$AF$205^A7,IF(A7='Données projet'!$A$62,'Données projet'!$B$62,AI6+AH7-AQ6)))</f>
        <v>3.1353680298988058</v>
      </c>
      <c r="AJ7" s="13">
        <f>AI7*VLOOKUP('Données projet'!$B$10,Paramètres!$A$1:$I$89,3,0)*VLOOKUP('Données projet'!$B$10,Paramètres!$A$1:$I$89,5,0)</f>
        <v>1.7526707287134324</v>
      </c>
      <c r="AK7" s="13">
        <f t="shared" si="35"/>
        <v>0.7566336983102151</v>
      </c>
      <c r="AL7" s="20">
        <f t="shared" si="4"/>
        <v>4.3703718770661864</v>
      </c>
      <c r="AM7" s="59">
        <f t="shared" si="5"/>
        <v>265.92592743262173</v>
      </c>
      <c r="AN7" s="59">
        <f ca="1">AVERAGE(OFFSET($AM$3,0,0,'Données projet'!$E$10+1,1))-AVERAGE(OFFSET($H$3,0,0,'Données projet'!$E$10+1,1))</f>
        <v>544.48194192356823</v>
      </c>
      <c r="AO7" s="59">
        <f t="shared" si="36"/>
        <v>668.20427590250733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2.5</v>
      </c>
      <c r="BD7" s="12">
        <f>IF('Données projet'!$A$88&gt;35,BD6+BC7-BL6,IF(A7&lt;'Données projet'!$A$88,$BA$205^A7,IF(A7='Données projet'!$A$88,'Données projet'!$B$88,BD6+BC7-BL6)))</f>
        <v>2.514866859365871</v>
      </c>
      <c r="BE7" s="13">
        <f>BD7*VLOOKUP('Données projet'!$B$11,Paramètres!$A$1:$I$89,3,0)*VLOOKUP('Données projet'!$B$11,Paramètres!$A$1:$I$89,5,0)</f>
        <v>1.5038903819007909</v>
      </c>
      <c r="BF7" s="13">
        <f t="shared" si="37"/>
        <v>0.66090689560331028</v>
      </c>
      <c r="BG7" s="20">
        <f t="shared" si="7"/>
        <v>3.770355258319642</v>
      </c>
      <c r="BH7" s="59">
        <f t="shared" si="8"/>
        <v>265.32591081387517</v>
      </c>
      <c r="BI7" s="59">
        <f ca="1">AVERAGE(OFFSET($BH$3,0,0,'Données projet'!$E$11+1,1))-AVERAGE(OFFSET($H$3,0,0,'Données projet'!$E$11+1,1))</f>
        <v>162.86181551380446</v>
      </c>
      <c r="BJ7" s="59">
        <f t="shared" si="38"/>
        <v>184.96823352120742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9.6666666666666661</v>
      </c>
      <c r="BY7" s="12">
        <f>IF('Données projet'!$A$114&gt;35,BY6+BX7-CG6,IF(A7&lt;'Données projet'!$A$114,$BV$205^A7,IF(A7='Données projet'!$A$114,'Données projet'!$B$114,BY6+BX7-CG6)))</f>
        <v>4.8769989610733138</v>
      </c>
      <c r="BZ7" s="13">
        <f>BY7*VLOOKUP('Données projet'!$B$12,Paramètres!$A$1:$I$89,3,0)*VLOOKUP('Données projet'!$B$12,Paramètres!$A$1:$I$89,5,0)</f>
        <v>2.6628414327460295</v>
      </c>
      <c r="CA7" s="13">
        <f t="shared" si="39"/>
        <v>1.0949320721157787</v>
      </c>
      <c r="CB7" s="20">
        <f t="shared" si="10"/>
        <v>6.5447888543009825</v>
      </c>
      <c r="CC7" s="59">
        <f t="shared" si="11"/>
        <v>268.10034440985652</v>
      </c>
      <c r="CD7" s="59">
        <f ca="1">AVERAGE(OFFSET($CC$3,0,0,'Données projet'!$E$12+1,1))-AVERAGE(OFFSET($H$3,0,0,'Données projet'!$E$12+1,1))</f>
        <v>207.02306964567629</v>
      </c>
      <c r="CE7" s="59">
        <f t="shared" si="40"/>
        <v>342.06887933351783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3.95</v>
      </c>
      <c r="N8" s="13">
        <f>IF('Données projet'!$A$36&gt;35,N7+M8-V7,IF(A8&lt;'Données projet'!$A$36,$K$205^A8,IF(A8='Données projet'!$A$36,'Données projet'!$B$36,N7+M8-V7)))</f>
        <v>2.9813075013013308</v>
      </c>
      <c r="O8" s="13">
        <f>N8*VLOOKUP('Données projet'!$B$9,Paramètres!$A$1:$I$89,3,0)*VLOOKUP('Données projet'!$B$9,Paramètres!$A$1:$I$89,5,0)</f>
        <v>2.6044702331368428</v>
      </c>
      <c r="P8" s="13">
        <f t="shared" si="33"/>
        <v>1.0736969640242655</v>
      </c>
      <c r="Q8" s="20">
        <f t="shared" si="2"/>
        <v>6.4061412017222628</v>
      </c>
      <c r="R8" s="59">
        <f t="shared" si="0"/>
        <v>269.18391897950005</v>
      </c>
      <c r="S8" s="59">
        <f ca="1">AVERAGE(OFFSET($R$3,0,0,'Données projet'!$E$9+1,1))-AVERAGE(OFFSET($H$3,0,0,'Données projet'!$E$9+1,1))</f>
        <v>268.31928207836495</v>
      </c>
      <c r="T8" s="59">
        <f t="shared" si="34"/>
        <v>277.61304526670204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15.15</v>
      </c>
      <c r="AI8" s="13">
        <f>IF('Données projet'!$A$62&gt;35,AI7+AH8-AQ7,IF(A8&lt;'Données projet'!$A$62,$AF$205^A8,IF(A8='Données projet'!$A$62,'Données projet'!$B$62,AI7+AH8-AQ7)))</f>
        <v>4.1721571381635663</v>
      </c>
      <c r="AJ8" s="13">
        <f>AI8*VLOOKUP('Données projet'!$B$10,Paramètres!$A$1:$I$89,3,0)*VLOOKUP('Données projet'!$B$10,Paramètres!$A$1:$I$89,5,0)</f>
        <v>2.3322358402334333</v>
      </c>
      <c r="AK8" s="13">
        <f t="shared" si="35"/>
        <v>0.97390324964017738</v>
      </c>
      <c r="AL8" s="20">
        <f t="shared" si="4"/>
        <v>5.7581922481965391</v>
      </c>
      <c r="AM8" s="59">
        <f t="shared" si="5"/>
        <v>268.53597002597434</v>
      </c>
      <c r="AN8" s="59">
        <f ca="1">AVERAGE(OFFSET($AM$3,0,0,'Données projet'!$E$10+1,1))-AVERAGE(OFFSET($H$3,0,0,'Données projet'!$E$10+1,1))</f>
        <v>544.48194192356823</v>
      </c>
      <c r="AO8" s="59">
        <f t="shared" si="36"/>
        <v>668.20427590250733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2.5</v>
      </c>
      <c r="BD8" s="12">
        <f>IF('Données projet'!$A$88&gt;35,BD7+BC8-BL7,IF(A8&lt;'Données projet'!$A$88,$BA$205^A8,IF(A8='Données projet'!$A$88,'Données projet'!$B$88,BD7+BC8-BL7)))</f>
        <v>3.1669685260483389</v>
      </c>
      <c r="BE8" s="13">
        <f>BD8*VLOOKUP('Données projet'!$B$11,Paramètres!$A$1:$I$89,3,0)*VLOOKUP('Données projet'!$B$11,Paramètres!$A$1:$I$89,5,0)</f>
        <v>1.8938471785769069</v>
      </c>
      <c r="BF8" s="13">
        <f t="shared" si="37"/>
        <v>0.81024068372601821</v>
      </c>
      <c r="BG8" s="20">
        <f t="shared" si="7"/>
        <v>4.7096196935109269</v>
      </c>
      <c r="BH8" s="59">
        <f t="shared" si="8"/>
        <v>267.48739747128872</v>
      </c>
      <c r="BI8" s="59">
        <f ca="1">AVERAGE(OFFSET($BH$3,0,0,'Données projet'!$E$11+1,1))-AVERAGE(OFFSET($H$3,0,0,'Données projet'!$E$11+1,1))</f>
        <v>162.86181551380446</v>
      </c>
      <c r="BJ8" s="59">
        <f t="shared" si="38"/>
        <v>184.96823352120742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9.6666666666666661</v>
      </c>
      <c r="BY8" s="12">
        <f>IF('Données projet'!$A$114&gt;35,BY7+BX8-CG7,IF(A8&lt;'Données projet'!$A$114,$BV$205^A8,IF(A8='Données projet'!$A$114,'Données projet'!$B$114,BY7+BX8-CG7)))</f>
        <v>7.2475434692871694</v>
      </c>
      <c r="BZ8" s="13">
        <f>BY8*VLOOKUP('Données projet'!$B$12,Paramètres!$A$1:$I$89,3,0)*VLOOKUP('Données projet'!$B$12,Paramètres!$A$1:$I$89,5,0)</f>
        <v>3.9571587342307946</v>
      </c>
      <c r="CA8" s="13">
        <f t="shared" si="39"/>
        <v>1.5538178288453746</v>
      </c>
      <c r="CB8" s="20">
        <f t="shared" si="10"/>
        <v>9.5982841806909942</v>
      </c>
      <c r="CC8" s="59">
        <f t="shared" si="11"/>
        <v>272.37606195846877</v>
      </c>
      <c r="CD8" s="59">
        <f ca="1">AVERAGE(OFFSET($CC$3,0,0,'Données projet'!$E$12+1,1))-AVERAGE(OFFSET($H$3,0,0,'Données projet'!$E$12+1,1))</f>
        <v>207.02306964567629</v>
      </c>
      <c r="CE8" s="59">
        <f t="shared" si="40"/>
        <v>342.06887933351783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3.95</v>
      </c>
      <c r="N9" s="13">
        <f>IF('Données projet'!$A$36&gt;35,N8+M9-V8,IF(A9&lt;'Données projet'!$A$36,$K$205^A9,IF(A9='Données projet'!$A$36,'Données projet'!$B$36,N8+M9-V8)))</f>
        <v>3.709267269905157</v>
      </c>
      <c r="O9" s="13">
        <f>N9*VLOOKUP('Données projet'!$B$9,Paramètres!$A$1:$I$89,3,0)*VLOOKUP('Données projet'!$B$9,Paramètres!$A$1:$I$89,5,0)</f>
        <v>3.2404158869891453</v>
      </c>
      <c r="P9" s="13">
        <f t="shared" si="33"/>
        <v>1.3023235379849323</v>
      </c>
      <c r="Q9" s="20">
        <f t="shared" si="2"/>
        <v>7.9119378318298503</v>
      </c>
      <c r="R9" s="59">
        <f t="shared" si="0"/>
        <v>271.91193783182985</v>
      </c>
      <c r="S9" s="59">
        <f ca="1">AVERAGE(OFFSET($R$3,0,0,'Données projet'!$E$9+1,1))-AVERAGE(OFFSET($H$3,0,0,'Données projet'!$E$9+1,1))</f>
        <v>268.31928207836495</v>
      </c>
      <c r="T9" s="59">
        <f t="shared" si="34"/>
        <v>277.61304526670204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15.15</v>
      </c>
      <c r="AI9" s="13">
        <f>IF('Données projet'!$A$62&gt;35,AI8+AH9-AQ8,IF(A9&lt;'Données projet'!$A$62,$AF$205^A9,IF(A9='Données projet'!$A$62,'Données projet'!$B$62,AI8+AH9-AQ8)))</f>
        <v>5.5517869097143953</v>
      </c>
      <c r="AJ9" s="13">
        <f>AI9*VLOOKUP('Données projet'!$B$10,Paramètres!$A$1:$I$89,3,0)*VLOOKUP('Données projet'!$B$10,Paramètres!$A$1:$I$89,5,0)</f>
        <v>3.1034488825303472</v>
      </c>
      <c r="AK9" s="13">
        <f t="shared" si="35"/>
        <v>1.2535623800234499</v>
      </c>
      <c r="AL9" s="20">
        <f t="shared" si="4"/>
        <v>7.5884612822811972</v>
      </c>
      <c r="AM9" s="59">
        <f t="shared" si="5"/>
        <v>271.58846128228117</v>
      </c>
      <c r="AN9" s="59">
        <f ca="1">AVERAGE(OFFSET($AM$3,0,0,'Données projet'!$E$10+1,1))-AVERAGE(OFFSET($H$3,0,0,'Données projet'!$E$10+1,1))</f>
        <v>544.48194192356823</v>
      </c>
      <c r="AO9" s="59">
        <f t="shared" si="36"/>
        <v>668.20427590250733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2.5</v>
      </c>
      <c r="BD9" s="12">
        <f>IF('Données projet'!$A$88&gt;35,BD8+BC9-BL8,IF(A9&lt;'Données projet'!$A$88,$BA$205^A9,IF(A9='Données projet'!$A$88,'Données projet'!$B$88,BD8+BC9-BL8)))</f>
        <v>3.9881592966356068</v>
      </c>
      <c r="BE9" s="13">
        <f>BD9*VLOOKUP('Données projet'!$B$11,Paramètres!$A$1:$I$89,3,0)*VLOOKUP('Données projet'!$B$11,Paramètres!$A$1:$I$89,5,0)</f>
        <v>2.3849192593880928</v>
      </c>
      <c r="BF9" s="13">
        <f t="shared" si="37"/>
        <v>0.99331686495043614</v>
      </c>
      <c r="BG9" s="20">
        <f t="shared" si="7"/>
        <v>5.8837612498896048</v>
      </c>
      <c r="BH9" s="59">
        <f t="shared" si="8"/>
        <v>269.88376124988963</v>
      </c>
      <c r="BI9" s="59">
        <f ca="1">AVERAGE(OFFSET($BH$3,0,0,'Données projet'!$E$11+1,1))-AVERAGE(OFFSET($H$3,0,0,'Données projet'!$E$11+1,1))</f>
        <v>162.86181551380446</v>
      </c>
      <c r="BJ9" s="59">
        <f t="shared" si="38"/>
        <v>184.96823352120742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9.6666666666666661</v>
      </c>
      <c r="BY9" s="12">
        <f>IF('Données projet'!$A$114&gt;35,BY8+BX9-CG8,IF(A9&lt;'Données projet'!$A$114,$BV$205^A9,IF(A9='Données projet'!$A$114,'Données projet'!$B$114,BY8+BX9-CG8)))</f>
        <v>10.770329614269009</v>
      </c>
      <c r="BZ9" s="13">
        <f>BY9*VLOOKUP('Données projet'!$B$12,Paramètres!$A$1:$I$89,3,0)*VLOOKUP('Données projet'!$B$12,Paramètres!$A$1:$I$89,5,0)</f>
        <v>5.8805999693908788</v>
      </c>
      <c r="CA9" s="13">
        <f t="shared" si="39"/>
        <v>2.2050224910961043</v>
      </c>
      <c r="CB9" s="20">
        <f t="shared" si="10"/>
        <v>14.082459118681493</v>
      </c>
      <c r="CC9" s="59">
        <f t="shared" si="11"/>
        <v>278.08245911868147</v>
      </c>
      <c r="CD9" s="59">
        <f ca="1">AVERAGE(OFFSET($CC$3,0,0,'Données projet'!$E$12+1,1))-AVERAGE(OFFSET($H$3,0,0,'Données projet'!$E$12+1,1))</f>
        <v>207.02306964567629</v>
      </c>
      <c r="CE9" s="59">
        <f t="shared" si="40"/>
        <v>342.06887933351783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3.95</v>
      </c>
      <c r="N10" s="13">
        <f>IF('Données projet'!$A$36&gt;35,N9+M10-V9,IF(A10&lt;'Données projet'!$A$36,$K$205^A10,IF(A10='Données projet'!$A$36,'Données projet'!$B$36,N9+M10-V9)))</f>
        <v>4.6149763731463613</v>
      </c>
      <c r="O10" s="13">
        <f>N10*VLOOKUP('Données projet'!$B$9,Paramètres!$A$1:$I$89,3,0)*VLOOKUP('Données projet'!$B$9,Paramètres!$A$1:$I$89,5,0)</f>
        <v>4.0316433595806611</v>
      </c>
      <c r="P10" s="13">
        <f t="shared" si="33"/>
        <v>1.5796324795710794</v>
      </c>
      <c r="Q10" s="20">
        <f t="shared" si="2"/>
        <v>9.772972086522616</v>
      </c>
      <c r="R10" s="59">
        <f t="shared" si="0"/>
        <v>274.99519430874483</v>
      </c>
      <c r="S10" s="59">
        <f ca="1">AVERAGE(OFFSET($R$3,0,0,'Données projet'!$E$9+1,1))-AVERAGE(OFFSET($H$3,0,0,'Données projet'!$E$9+1,1))</f>
        <v>268.31928207836495</v>
      </c>
      <c r="T10" s="59">
        <f t="shared" si="34"/>
        <v>277.61304526670204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15.15</v>
      </c>
      <c r="AI10" s="13">
        <f>IF('Données projet'!$A$62&gt;35,AI9+AH10-AQ9,IF(A10&lt;'Données projet'!$A$62,$AF$205^A10,IF(A10='Données projet'!$A$62,'Données projet'!$B$62,AI9+AH10-AQ9)))</f>
        <v>7.3876263213909033</v>
      </c>
      <c r="AJ10" s="13">
        <f>AI10*VLOOKUP('Données projet'!$B$10,Paramètres!$A$1:$I$89,3,0)*VLOOKUP('Données projet'!$B$10,Paramètres!$A$1:$I$89,5,0)</f>
        <v>4.1296831136575154</v>
      </c>
      <c r="AK10" s="13">
        <f t="shared" si="35"/>
        <v>1.6135264372417262</v>
      </c>
      <c r="AL10" s="20">
        <f t="shared" si="4"/>
        <v>10.002756634482845</v>
      </c>
      <c r="AM10" s="59">
        <f t="shared" si="5"/>
        <v>275.22497885670509</v>
      </c>
      <c r="AN10" s="59">
        <f ca="1">AVERAGE(OFFSET($AM$3,0,0,'Données projet'!$E$10+1,1))-AVERAGE(OFFSET($H$3,0,0,'Données projet'!$E$10+1,1))</f>
        <v>544.48194192356823</v>
      </c>
      <c r="AO10" s="59">
        <f t="shared" si="36"/>
        <v>668.20427590250733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2.5</v>
      </c>
      <c r="BD10" s="12">
        <f>IF('Données projet'!$A$88&gt;35,BD9+BC10-BL9,IF(A10&lt;'Données projet'!$A$88,$BA$205^A10,IF(A10='Données projet'!$A$88,'Données projet'!$B$88,BD9+BC10-BL9)))</f>
        <v>5.0222837532229532</v>
      </c>
      <c r="BE10" s="13">
        <f>BD10*VLOOKUP('Données projet'!$B$11,Paramètres!$A$1:$I$89,3,0)*VLOOKUP('Données projet'!$B$11,Paramètres!$A$1:$I$89,5,0)</f>
        <v>3.0033256844273262</v>
      </c>
      <c r="BF10" s="13">
        <f t="shared" si="37"/>
        <v>1.2177596287285508</v>
      </c>
      <c r="BG10" s="20">
        <f t="shared" si="7"/>
        <v>7.3517235870798174</v>
      </c>
      <c r="BH10" s="59">
        <f t="shared" si="8"/>
        <v>272.57394580930202</v>
      </c>
      <c r="BI10" s="59">
        <f ca="1">AVERAGE(OFFSET($BH$3,0,0,'Données projet'!$E$11+1,1))-AVERAGE(OFFSET($H$3,0,0,'Données projet'!$E$11+1,1))</f>
        <v>162.86181551380446</v>
      </c>
      <c r="BJ10" s="59">
        <f t="shared" si="38"/>
        <v>184.96823352120742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9.6666666666666661</v>
      </c>
      <c r="BY10" s="12">
        <f>IF('Données projet'!$A$114&gt;35,BY9+BX10-CG9,IF(A10&lt;'Données projet'!$A$114,$BV$205^A10,IF(A10='Données projet'!$A$114,'Données projet'!$B$114,BY9+BX10-CG9)))</f>
        <v>16.005423146694032</v>
      </c>
      <c r="BZ10" s="13">
        <f>BY10*VLOOKUP('Données projet'!$B$12,Paramètres!$A$1:$I$89,3,0)*VLOOKUP('Données projet'!$B$12,Paramètres!$A$1:$I$89,5,0)</f>
        <v>8.7389610380949421</v>
      </c>
      <c r="CA10" s="13">
        <f t="shared" si="39"/>
        <v>3.1291468639233355</v>
      </c>
      <c r="CB10" s="20">
        <f t="shared" si="10"/>
        <v>20.6702879293485</v>
      </c>
      <c r="CC10" s="59">
        <f t="shared" si="11"/>
        <v>285.89251015157072</v>
      </c>
      <c r="CD10" s="59">
        <f ca="1">AVERAGE(OFFSET($CC$3,0,0,'Données projet'!$E$12+1,1))-AVERAGE(OFFSET($H$3,0,0,'Données projet'!$E$12+1,1))</f>
        <v>207.02306964567629</v>
      </c>
      <c r="CE10" s="59">
        <f t="shared" si="40"/>
        <v>342.06887933351783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3.95</v>
      </c>
      <c r="N11" s="13">
        <f>IF('Données projet'!$A$36&gt;35,N10+M11-V10,IF(A11&lt;'Données projet'!$A$36,$K$205^A11,IF(A11='Données projet'!$A$36,'Données projet'!$B$36,N10+M11-V10)))</f>
        <v>5.7418366957535838</v>
      </c>
      <c r="O11" s="13">
        <f>N11*VLOOKUP('Données projet'!$B$9,Paramètres!$A$1:$I$89,3,0)*VLOOKUP('Données projet'!$B$9,Paramètres!$A$1:$I$89,5,0)</f>
        <v>5.0160685374103311</v>
      </c>
      <c r="P11" s="13">
        <f t="shared" si="33"/>
        <v>1.9159899193534717</v>
      </c>
      <c r="Q11" s="20">
        <f t="shared" si="2"/>
        <v>12.073335145530288</v>
      </c>
      <c r="R11" s="59">
        <f t="shared" si="0"/>
        <v>278.51777958997474</v>
      </c>
      <c r="S11" s="59">
        <f ca="1">AVERAGE(OFFSET($R$3,0,0,'Données projet'!$E$9+1,1))-AVERAGE(OFFSET($H$3,0,0,'Données projet'!$E$9+1,1))</f>
        <v>268.31928207836495</v>
      </c>
      <c r="T11" s="59">
        <f t="shared" si="34"/>
        <v>277.61304526670204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15.15</v>
      </c>
      <c r="AI11" s="13">
        <f>IF('Données projet'!$A$62&gt;35,AI10+AH11-AQ10,IF(A11&lt;'Données projet'!$A$62,$AF$205^A11,IF(A11='Données projet'!$A$62,'Données projet'!$B$62,AI10+AH11-AQ10)))</f>
        <v>9.8305326829115192</v>
      </c>
      <c r="AJ11" s="13">
        <f>AI11*VLOOKUP('Données projet'!$B$10,Paramètres!$A$1:$I$89,3,0)*VLOOKUP('Données projet'!$B$10,Paramètres!$A$1:$I$89,5,0)</f>
        <v>5.4952677697475387</v>
      </c>
      <c r="AK11" s="13">
        <f t="shared" si="35"/>
        <v>2.0768552129246873</v>
      </c>
      <c r="AL11" s="20">
        <f t="shared" si="4"/>
        <v>13.188114194820793</v>
      </c>
      <c r="AM11" s="59">
        <f t="shared" si="5"/>
        <v>279.63255863926526</v>
      </c>
      <c r="AN11" s="59">
        <f ca="1">AVERAGE(OFFSET($AM$3,0,0,'Données projet'!$E$10+1,1))-AVERAGE(OFFSET($H$3,0,0,'Données projet'!$E$10+1,1))</f>
        <v>544.48194192356823</v>
      </c>
      <c r="AO11" s="59">
        <f t="shared" si="36"/>
        <v>668.20427590250733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2.5</v>
      </c>
      <c r="BD11" s="12">
        <f>IF('Données projet'!$A$88&gt;35,BD10+BC11-BL10,IF(A11&lt;'Données projet'!$A$88,$BA$205^A11,IF(A11='Données projet'!$A$88,'Données projet'!$B$88,BD10+BC11-BL10)))</f>
        <v>6.324555320336759</v>
      </c>
      <c r="BE11" s="13">
        <f>BD11*VLOOKUP('Données projet'!$B$11,Paramètres!$A$1:$I$89,3,0)*VLOOKUP('Données projet'!$B$11,Paramètres!$A$1:$I$89,5,0)</f>
        <v>3.7820840815613823</v>
      </c>
      <c r="BF11" s="13">
        <f t="shared" si="37"/>
        <v>1.492915871749638</v>
      </c>
      <c r="BG11" s="20">
        <f t="shared" si="7"/>
        <v>9.1872915853500281</v>
      </c>
      <c r="BH11" s="59">
        <f t="shared" si="8"/>
        <v>275.63173602979447</v>
      </c>
      <c r="BI11" s="59">
        <f ca="1">AVERAGE(OFFSET($BH$3,0,0,'Données projet'!$E$11+1,1))-AVERAGE(OFFSET($H$3,0,0,'Données projet'!$E$11+1,1))</f>
        <v>162.86181551380446</v>
      </c>
      <c r="BJ11" s="59">
        <f t="shared" si="38"/>
        <v>184.96823352120742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9.6666666666666661</v>
      </c>
      <c r="BY11" s="12">
        <f>IF('Données projet'!$A$114&gt;35,BY10+BX11-CG10,IF(A11&lt;'Données projet'!$A$114,$BV$205^A11,IF(A11='Données projet'!$A$114,'Données projet'!$B$114,BY10+BX11-CG10)))</f>
        <v>23.785118866310182</v>
      </c>
      <c r="BZ11" s="13">
        <f>BY11*VLOOKUP('Données projet'!$B$12,Paramètres!$A$1:$I$89,3,0)*VLOOKUP('Données projet'!$B$12,Paramètres!$A$1:$I$89,5,0)</f>
        <v>12.98667490100536</v>
      </c>
      <c r="CA11" s="13">
        <f t="shared" si="39"/>
        <v>4.4405715295601897</v>
      </c>
      <c r="CB11" s="20">
        <f t="shared" si="10"/>
        <v>30.352454199901668</v>
      </c>
      <c r="CC11" s="59">
        <f t="shared" si="11"/>
        <v>296.79689864434613</v>
      </c>
      <c r="CD11" s="59">
        <f ca="1">AVERAGE(OFFSET($CC$3,0,0,'Données projet'!$E$12+1,1))-AVERAGE(OFFSET($H$3,0,0,'Données projet'!$E$12+1,1))</f>
        <v>207.02306964567629</v>
      </c>
      <c r="CE11" s="59">
        <f t="shared" si="40"/>
        <v>342.06887933351783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3.95</v>
      </c>
      <c r="N12" s="13">
        <f>IF('Données projet'!$A$36&gt;35,N11+M12-V11,IF(A12&lt;'Données projet'!$A$36,$K$205^A12,IF(A12='Données projet'!$A$36,'Données projet'!$B$36,N11+M12-V11)))</f>
        <v>7.143847763238993</v>
      </c>
      <c r="O12" s="13">
        <f>N12*VLOOKUP('Données projet'!$B$9,Paramètres!$A$1:$I$89,3,0)*VLOOKUP('Données projet'!$B$9,Paramètres!$A$1:$I$89,5,0)</f>
        <v>6.2408654059655859</v>
      </c>
      <c r="P12" s="13">
        <f t="shared" si="33"/>
        <v>2.3239692894013682</v>
      </c>
      <c r="Q12" s="20">
        <f t="shared" si="2"/>
        <v>14.917087094430778</v>
      </c>
      <c r="R12" s="59">
        <f t="shared" si="0"/>
        <v>282.58375376109746</v>
      </c>
      <c r="S12" s="59">
        <f ca="1">AVERAGE(OFFSET($R$3,0,0,'Données projet'!$E$9+1,1))-AVERAGE(OFFSET($H$3,0,0,'Données projet'!$E$9+1,1))</f>
        <v>268.31928207836495</v>
      </c>
      <c r="T12" s="59">
        <f t="shared" si="34"/>
        <v>277.61304526670204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15.15</v>
      </c>
      <c r="AI12" s="13">
        <f>IF('Données projet'!$A$62&gt;35,AI11+AH12-AQ11,IF(A12&lt;'Données projet'!$A$62,$AF$205^A12,IF(A12='Données projet'!$A$62,'Données projet'!$B$62,AI11+AH12-AQ11)))</f>
        <v>13.081248106712142</v>
      </c>
      <c r="AJ12" s="13">
        <f>AI12*VLOOKUP('Données projet'!$B$10,Paramètres!$A$1:$I$89,3,0)*VLOOKUP('Données projet'!$B$10,Paramètres!$A$1:$I$89,5,0)</f>
        <v>7.3124176916520867</v>
      </c>
      <c r="AK12" s="13">
        <f t="shared" si="35"/>
        <v>2.6732301844560715</v>
      </c>
      <c r="AL12" s="20">
        <f t="shared" si="4"/>
        <v>17.391670050888376</v>
      </c>
      <c r="AM12" s="59">
        <f t="shared" si="5"/>
        <v>285.05833671755505</v>
      </c>
      <c r="AN12" s="59">
        <f ca="1">AVERAGE(OFFSET($AM$3,0,0,'Données projet'!$E$10+1,1))-AVERAGE(OFFSET($H$3,0,0,'Données projet'!$E$10+1,1))</f>
        <v>544.48194192356823</v>
      </c>
      <c r="AO12" s="59">
        <f t="shared" si="36"/>
        <v>668.20427590250733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2.5</v>
      </c>
      <c r="BD12" s="12">
        <f>IF('Données projet'!$A$88&gt;35,BD11+BC12-BL11,IF(A12&lt;'Données projet'!$A$88,$BA$205^A12,IF(A12='Données projet'!$A$88,'Données projet'!$B$88,BD11+BC12-BL11)))</f>
        <v>7.9645041908137468</v>
      </c>
      <c r="BE12" s="13">
        <f>BD12*VLOOKUP('Données projet'!$B$11,Paramètres!$A$1:$I$89,3,0)*VLOOKUP('Données projet'!$B$11,Paramètres!$A$1:$I$89,5,0)</f>
        <v>4.7627735061066208</v>
      </c>
      <c r="BF12" s="13">
        <f t="shared" si="37"/>
        <v>1.8302444485280269</v>
      </c>
      <c r="BG12" s="20">
        <f t="shared" si="7"/>
        <v>11.48283960432201</v>
      </c>
      <c r="BH12" s="59">
        <f t="shared" si="8"/>
        <v>279.1495062709887</v>
      </c>
      <c r="BI12" s="59">
        <f ca="1">AVERAGE(OFFSET($BH$3,0,0,'Données projet'!$E$11+1,1))-AVERAGE(OFFSET($H$3,0,0,'Données projet'!$E$11+1,1))</f>
        <v>162.86181551380446</v>
      </c>
      <c r="BJ12" s="59">
        <f t="shared" si="38"/>
        <v>184.96823352120742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9.6666666666666661</v>
      </c>
      <c r="BY12" s="12">
        <f>IF('Données projet'!$A$114&gt;35,BY11+BX12-CG11,IF(A12&lt;'Données projet'!$A$114,$BV$205^A12,IF(A12='Données projet'!$A$114,'Données projet'!$B$114,BY11+BX12-CG11)))</f>
        <v>35.346261970047209</v>
      </c>
      <c r="BZ12" s="13">
        <f>BY12*VLOOKUP('Données projet'!$B$12,Paramètres!$A$1:$I$89,3,0)*VLOOKUP('Données projet'!$B$12,Paramètres!$A$1:$I$89,5,0)</f>
        <v>19.299059035645776</v>
      </c>
      <c r="CA12" s="13">
        <f t="shared" si="39"/>
        <v>6.301613943558138</v>
      </c>
      <c r="CB12" s="20">
        <f t="shared" si="10"/>
        <v>44.587838772113486</v>
      </c>
      <c r="CC12" s="59">
        <f t="shared" si="11"/>
        <v>312.25450543878014</v>
      </c>
      <c r="CD12" s="59">
        <f ca="1">AVERAGE(OFFSET($CC$3,0,0,'Données projet'!$E$12+1,1))-AVERAGE(OFFSET($H$3,0,0,'Données projet'!$E$12+1,1))</f>
        <v>207.02306964567629</v>
      </c>
      <c r="CE12" s="59">
        <f t="shared" si="40"/>
        <v>342.06887933351783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3.95</v>
      </c>
      <c r="N13" s="13">
        <f>IF('Données projet'!$A$36&gt;35,N12+M13-V12,IF(A13&lt;'Données projet'!$A$36,$K$205^A13,IF(A13='Données projet'!$A$36,'Données projet'!$B$36,N12+M13-V12)))</f>
        <v>8.8881944173155834</v>
      </c>
      <c r="O13" s="13">
        <f>N13*VLOOKUP('Données projet'!$B$9,Paramètres!$A$1:$I$89,3,0)*VLOOKUP('Données projet'!$B$9,Paramètres!$A$1:$I$89,5,0)</f>
        <v>7.7647266429668944</v>
      </c>
      <c r="P13" s="13">
        <f t="shared" si="33"/>
        <v>2.8188213327881941</v>
      </c>
      <c r="Q13" s="20">
        <f t="shared" si="2"/>
        <v>18.433012724440111</v>
      </c>
      <c r="R13" s="59">
        <f t="shared" si="0"/>
        <v>287.32190161332898</v>
      </c>
      <c r="S13" s="59">
        <f ca="1">AVERAGE(OFFSET($R$3,0,0,'Données projet'!$E$9+1,1))-AVERAGE(OFFSET($H$3,0,0,'Données projet'!$E$9+1,1))</f>
        <v>268.31928207836495</v>
      </c>
      <c r="T13" s="59">
        <f t="shared" si="34"/>
        <v>277.61304526670204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15.15</v>
      </c>
      <c r="AI13" s="13">
        <f>IF('Données projet'!$A$62&gt;35,AI12+AH13-AQ12,IF(A13&lt;'Données projet'!$A$62,$AF$205^A13,IF(A13='Données projet'!$A$62,'Données projet'!$B$62,AI12+AH13-AQ12)))</f>
        <v>17.406895185529201</v>
      </c>
      <c r="AJ13" s="13">
        <f>AI13*VLOOKUP('Données projet'!$B$10,Paramètres!$A$1:$I$89,3,0)*VLOOKUP('Données projet'!$B$10,Paramètres!$A$1:$I$89,5,0)</f>
        <v>9.7304544087108251</v>
      </c>
      <c r="AK13" s="13">
        <f t="shared" si="35"/>
        <v>3.4408559511587775</v>
      </c>
      <c r="AL13" s="20">
        <f t="shared" si="4"/>
        <v>22.940032210106224</v>
      </c>
      <c r="AM13" s="59">
        <f t="shared" si="5"/>
        <v>291.82892109899507</v>
      </c>
      <c r="AN13" s="59">
        <f ca="1">AVERAGE(OFFSET($AM$3,0,0,'Données projet'!$E$10+1,1))-AVERAGE(OFFSET($H$3,0,0,'Données projet'!$E$10+1,1))</f>
        <v>544.48194192356823</v>
      </c>
      <c r="AO13" s="59">
        <f t="shared" si="36"/>
        <v>668.20427590250733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2.5</v>
      </c>
      <c r="BD13" s="12">
        <f>IF('Données projet'!$A$88&gt;35,BD12+BC13-BL12,IF(A13&lt;'Données projet'!$A$88,$BA$205^A13,IF(A13='Données projet'!$A$88,'Données projet'!$B$88,BD12+BC13-BL12)))</f>
        <v>10.029689644980788</v>
      </c>
      <c r="BE13" s="13">
        <f>BD13*VLOOKUP('Données projet'!$B$11,Paramètres!$A$1:$I$89,3,0)*VLOOKUP('Données projet'!$B$11,Paramètres!$A$1:$I$89,5,0)</f>
        <v>5.9977544076985119</v>
      </c>
      <c r="BF13" s="13">
        <f t="shared" si="37"/>
        <v>2.2437933742655143</v>
      </c>
      <c r="BG13" s="20">
        <f t="shared" si="7"/>
        <v>14.354029053587347</v>
      </c>
      <c r="BH13" s="59">
        <f t="shared" si="8"/>
        <v>283.2429179424762</v>
      </c>
      <c r="BI13" s="59">
        <f ca="1">AVERAGE(OFFSET($BH$3,0,0,'Données projet'!$E$11+1,1))-AVERAGE(OFFSET($H$3,0,0,'Données projet'!$E$11+1,1))</f>
        <v>162.86181551380446</v>
      </c>
      <c r="BJ13" s="59">
        <f t="shared" si="38"/>
        <v>184.96823352120742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9.6666666666666661</v>
      </c>
      <c r="BY13" s="12">
        <f>IF('Données projet'!$A$114&gt;35,BY12+BX13-CG12,IF(A13&lt;'Données projet'!$A$114,$BV$205^A13,IF(A13='Données projet'!$A$114,'Données projet'!$B$114,BY12+BX13-CG12)))</f>
        <v>52.526886339207103</v>
      </c>
      <c r="BZ13" s="13">
        <f>BY13*VLOOKUP('Données projet'!$B$12,Paramètres!$A$1:$I$89,3,0)*VLOOKUP('Données projet'!$B$12,Paramètres!$A$1:$I$89,5,0)</f>
        <v>28.679679941207077</v>
      </c>
      <c r="CA13" s="13">
        <f t="shared" si="39"/>
        <v>8.9426187663684367</v>
      </c>
      <c r="CB13" s="20">
        <f t="shared" si="10"/>
        <v>65.525503582360685</v>
      </c>
      <c r="CC13" s="59">
        <f t="shared" si="11"/>
        <v>334.41439247124953</v>
      </c>
      <c r="CD13" s="59">
        <f ca="1">AVERAGE(OFFSET($CC$3,0,0,'Données projet'!$E$12+1,1))-AVERAGE(OFFSET($H$3,0,0,'Données projet'!$E$12+1,1))</f>
        <v>207.02306964567629</v>
      </c>
      <c r="CE13" s="59">
        <f t="shared" si="40"/>
        <v>342.06887933351783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3.95</v>
      </c>
      <c r="N14" s="13">
        <f>IF('Données projet'!$A$36&gt;35,N13+M14-V13,IF(A14&lt;'Données projet'!$A$36,$K$205^A14,IF(A14='Données projet'!$A$36,'Données projet'!$B$36,N13+M14-V13)))</f>
        <v>11.058466336099752</v>
      </c>
      <c r="O14" s="13">
        <f>N14*VLOOKUP('Données projet'!$B$9,Paramètres!$A$1:$I$89,3,0)*VLOOKUP('Données projet'!$B$9,Paramètres!$A$1:$I$89,5,0)</f>
        <v>9.6606761912167443</v>
      </c>
      <c r="P14" s="13">
        <f t="shared" si="33"/>
        <v>3.4190441940945626</v>
      </c>
      <c r="Q14" s="20">
        <f t="shared" si="2"/>
        <v>22.780513004417188</v>
      </c>
      <c r="R14" s="59">
        <f t="shared" si="0"/>
        <v>292.89162411552832</v>
      </c>
      <c r="S14" s="59">
        <f ca="1">AVERAGE(OFFSET($R$3,0,0,'Données projet'!$E$9+1,1))-AVERAGE(OFFSET($H$3,0,0,'Données projet'!$E$9+1,1))</f>
        <v>268.31928207836495</v>
      </c>
      <c r="T14" s="59">
        <f t="shared" si="34"/>
        <v>277.61304526670204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15.15</v>
      </c>
      <c r="AI14" s="13">
        <f>IF('Données projet'!$A$62&gt;35,AI13+AH14-AQ13,IF(A14&lt;'Données projet'!$A$62,$AF$205^A14,IF(A14='Données projet'!$A$62,'Données projet'!$B$62,AI13+AH14-AQ13)))</f>
        <v>23.162927384927961</v>
      </c>
      <c r="AJ14" s="13">
        <f>AI14*VLOOKUP('Données projet'!$B$10,Paramètres!$A$1:$I$89,3,0)*VLOOKUP('Données projet'!$B$10,Paramètres!$A$1:$I$89,5,0)</f>
        <v>12.94807640817473</v>
      </c>
      <c r="AK14" s="13">
        <f t="shared" si="35"/>
        <v>4.4289076733711168</v>
      </c>
      <c r="AL14" s="20">
        <f t="shared" si="4"/>
        <v>30.264913942025682</v>
      </c>
      <c r="AM14" s="59">
        <f t="shared" si="5"/>
        <v>300.3760250531368</v>
      </c>
      <c r="AN14" s="59">
        <f ca="1">AVERAGE(OFFSET($AM$3,0,0,'Données projet'!$E$10+1,1))-AVERAGE(OFFSET($H$3,0,0,'Données projet'!$E$10+1,1))</f>
        <v>544.48194192356823</v>
      </c>
      <c r="AO14" s="59">
        <f t="shared" si="36"/>
        <v>668.20427590250733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2.5</v>
      </c>
      <c r="BD14" s="12">
        <f>IF('Données projet'!$A$88&gt;35,BD13+BC14-BL13,IF(A14&lt;'Données projet'!$A$88,$BA$205^A14,IF(A14='Données projet'!$A$88,'Données projet'!$B$88,BD13+BC14-BL13)))</f>
        <v>12.630374969312047</v>
      </c>
      <c r="BE14" s="13">
        <f>BD14*VLOOKUP('Données projet'!$B$11,Paramètres!$A$1:$I$89,3,0)*VLOOKUP('Données projet'!$B$11,Paramètres!$A$1:$I$89,5,0)</f>
        <v>7.5529642316486054</v>
      </c>
      <c r="BF14" s="13">
        <f t="shared" si="37"/>
        <v>2.7507848530544123</v>
      </c>
      <c r="BG14" s="20">
        <f t="shared" si="7"/>
        <v>17.945696322524423</v>
      </c>
      <c r="BH14" s="59">
        <f t="shared" si="8"/>
        <v>288.05680743363558</v>
      </c>
      <c r="BI14" s="59">
        <f ca="1">AVERAGE(OFFSET($BH$3,0,0,'Données projet'!$E$11+1,1))-AVERAGE(OFFSET($H$3,0,0,'Données projet'!$E$11+1,1))</f>
        <v>162.86181551380446</v>
      </c>
      <c r="BJ14" s="59">
        <f t="shared" si="38"/>
        <v>184.96823352120742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9.6666666666666661</v>
      </c>
      <c r="BY14" s="12">
        <f>IF('Données projet'!$A$114&gt;35,BY13+BX14-CG13,IF(A14&lt;'Données projet'!$A$114,$BV$205^A14,IF(A14='Données projet'!$A$114,'Données projet'!$B$114,BY13+BX14-CG13)))</f>
        <v>78.058432057965561</v>
      </c>
      <c r="BZ14" s="13">
        <f>BY14*VLOOKUP('Données projet'!$B$12,Paramètres!$A$1:$I$89,3,0)*VLOOKUP('Données projet'!$B$12,Paramètres!$A$1:$I$89,5,0)</f>
        <v>42.619903903649202</v>
      </c>
      <c r="CA14" s="13">
        <f t="shared" si="39"/>
        <v>12.690468047849112</v>
      </c>
      <c r="CB14" s="20">
        <f t="shared" si="10"/>
        <v>96.332231148859549</v>
      </c>
      <c r="CC14" s="59">
        <f t="shared" si="11"/>
        <v>366.44334225997068</v>
      </c>
      <c r="CD14" s="59">
        <f ca="1">AVERAGE(OFFSET($CC$3,0,0,'Données projet'!$E$12+1,1))-AVERAGE(OFFSET($H$3,0,0,'Données projet'!$E$12+1,1))</f>
        <v>207.02306964567629</v>
      </c>
      <c r="CE14" s="59">
        <f t="shared" si="40"/>
        <v>342.06887933351783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3.95</v>
      </c>
      <c r="N15" s="13">
        <f>IF('Données projet'!$A$36&gt;35,N14+M15-V14,IF(A15&lt;'Données projet'!$A$36,$K$205^A15,IF(A15='Données projet'!$A$36,'Données projet'!$B$36,N14+M15-V14)))</f>
        <v>13.758663679589656</v>
      </c>
      <c r="O15" s="13">
        <f>N15*VLOOKUP('Données projet'!$B$9,Paramètres!$A$1:$I$89,3,0)*VLOOKUP('Données projet'!$B$9,Paramètres!$A$1:$I$89,5,0)</f>
        <v>12.019568590489525</v>
      </c>
      <c r="P15" s="13">
        <f t="shared" si="33"/>
        <v>4.1470749015542889</v>
      </c>
      <c r="Q15" s="20">
        <f t="shared" si="2"/>
        <v>28.156904081976307</v>
      </c>
      <c r="R15" s="59">
        <f t="shared" si="0"/>
        <v>299.49023741530959</v>
      </c>
      <c r="S15" s="59">
        <f ca="1">AVERAGE(OFFSET($R$3,0,0,'Données projet'!$E$9+1,1))-AVERAGE(OFFSET($H$3,0,0,'Données projet'!$E$9+1,1))</f>
        <v>268.31928207836495</v>
      </c>
      <c r="T15" s="59">
        <f t="shared" si="34"/>
        <v>277.61304526670204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15.15</v>
      </c>
      <c r="AI15" s="13">
        <f>IF('Données projet'!$A$62&gt;35,AI14+AH15-AQ14,IF(A15&lt;'Données projet'!$A$62,$AF$205^A15,IF(A15='Données projet'!$A$62,'Données projet'!$B$62,AI14+AH15-AQ14)))</f>
        <v>30.822337890876113</v>
      </c>
      <c r="AJ15" s="13">
        <f>AI15*VLOOKUP('Données projet'!$B$10,Paramètres!$A$1:$I$89,3,0)*VLOOKUP('Données projet'!$B$10,Paramètres!$A$1:$I$89,5,0)</f>
        <v>17.229686880999751</v>
      </c>
      <c r="AK15" s="13">
        <f t="shared" si="35"/>
        <v>5.7006813007210422</v>
      </c>
      <c r="AL15" s="20">
        <f t="shared" si="4"/>
        <v>39.937057916497047</v>
      </c>
      <c r="AM15" s="59">
        <f t="shared" si="5"/>
        <v>311.27039124983037</v>
      </c>
      <c r="AN15" s="59">
        <f ca="1">AVERAGE(OFFSET($AM$3,0,0,'Données projet'!$E$10+1,1))-AVERAGE(OFFSET($H$3,0,0,'Données projet'!$E$10+1,1))</f>
        <v>544.48194192356823</v>
      </c>
      <c r="AO15" s="59">
        <f t="shared" si="36"/>
        <v>668.20427590250733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2.5</v>
      </c>
      <c r="BD15" s="12">
        <f>IF('Données projet'!$A$88&gt;35,BD14+BC15-BL14,IF(A15&lt;'Données projet'!$A$88,$BA$205^A15,IF(A15='Données projet'!$A$88,'Données projet'!$B$88,BD14+BC15-BL14)))</f>
        <v>15.905414575341014</v>
      </c>
      <c r="BE15" s="13">
        <f>BD15*VLOOKUP('Données projet'!$B$11,Paramètres!$A$1:$I$89,3,0)*VLOOKUP('Données projet'!$B$11,Paramètres!$A$1:$I$89,5,0)</f>
        <v>9.5114379160539269</v>
      </c>
      <c r="BF15" s="13">
        <f t="shared" si="37"/>
        <v>3.3723324948628628</v>
      </c>
      <c r="BG15" s="20">
        <f t="shared" si="7"/>
        <v>22.439233465680072</v>
      </c>
      <c r="BH15" s="59">
        <f t="shared" si="8"/>
        <v>293.77256679901336</v>
      </c>
      <c r="BI15" s="59">
        <f ca="1">AVERAGE(OFFSET($BH$3,0,0,'Données projet'!$E$11+1,1))-AVERAGE(OFFSET($H$3,0,0,'Données projet'!$E$11+1,1))</f>
        <v>162.86181551380446</v>
      </c>
      <c r="BJ15" s="59">
        <f t="shared" si="38"/>
        <v>184.96823352120742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116</v>
      </c>
      <c r="BW15" s="12">
        <f>VLOOKUP(A15,'Données projet'!$A$113:$I$133,9,0)</f>
        <v>9.6666666666666661</v>
      </c>
      <c r="BX15" s="12">
        <f t="array" ref="BX15">INDEX(BW:BW,MIN(IF(ISNUMBER(BW15:BW211),ROW(BW15:BW211),"")))</f>
        <v>9.6666666666666661</v>
      </c>
      <c r="BY15" s="12">
        <f>IF('Données projet'!$A$114&gt;35,BY14+BX15-CG14,IF(A15&lt;'Données projet'!$A$114,$BV$205^A15,IF(A15='Données projet'!$A$114,'Données projet'!$B$114,BY14+BX15-CG14)))</f>
        <v>116</v>
      </c>
      <c r="BZ15" s="13">
        <f>BY15*VLOOKUP('Données projet'!$B$12,Paramètres!$A$1:$I$89,3,0)*VLOOKUP('Données projet'!$B$12,Paramètres!$A$1:$I$89,5,0)</f>
        <v>63.335999999999999</v>
      </c>
      <c r="CA15" s="13">
        <f t="shared" si="39"/>
        <v>18.009040022946227</v>
      </c>
      <c r="CB15" s="20">
        <f t="shared" si="10"/>
        <v>141.67594470663133</v>
      </c>
      <c r="CC15" s="59">
        <f t="shared" si="11"/>
        <v>413.00927803996467</v>
      </c>
      <c r="CD15" s="59">
        <f ca="1">AVERAGE(OFFSET($CC$3,0,0,'Données projet'!$E$12+1,1))-AVERAGE(OFFSET($H$3,0,0,'Données projet'!$E$12+1,1))</f>
        <v>207.02306964567629</v>
      </c>
      <c r="CE15" s="59">
        <f t="shared" si="40"/>
        <v>342.06887933351783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21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3.95</v>
      </c>
      <c r="N16" s="13">
        <f>IF('Données projet'!$A$36&gt;35,N15+M16-V15,IF(A16&lt;'Données projet'!$A$36,$K$205^A16,IF(A16='Données projet'!$A$36,'Données projet'!$B$36,N15+M16-V15)))</f>
        <v>17.118180812297407</v>
      </c>
      <c r="O16" s="13">
        <f>N16*VLOOKUP('Données projet'!$B$9,Paramètres!$A$1:$I$89,3,0)*VLOOKUP('Données projet'!$B$9,Paramètres!$A$1:$I$89,5,0)</f>
        <v>14.954442757623017</v>
      </c>
      <c r="P16" s="13">
        <f t="shared" si="33"/>
        <v>5.0301280892498079</v>
      </c>
      <c r="Q16" s="20">
        <f t="shared" si="2"/>
        <v>34.806460891636839</v>
      </c>
      <c r="R16" s="59">
        <f t="shared" si="0"/>
        <v>307.36201644719239</v>
      </c>
      <c r="S16" s="59">
        <f ca="1">AVERAGE(OFFSET($R$3,0,0,'Données projet'!$E$9+1,1))-AVERAGE(OFFSET($H$3,0,0,'Données projet'!$E$9+1,1))</f>
        <v>268.31928207836495</v>
      </c>
      <c r="T16" s="59">
        <f t="shared" si="34"/>
        <v>277.61304526670204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15.15</v>
      </c>
      <c r="AI16" s="13">
        <f>IF('Données projet'!$A$62&gt;35,AI15+AH16-AQ15,IF(A16&lt;'Données projet'!$A$62,$AF$205^A16,IF(A16='Données projet'!$A$62,'Données projet'!$B$62,AI15+AH16-AQ15)))</f>
        <v>41.014527104959527</v>
      </c>
      <c r="AJ16" s="13">
        <f>AI16*VLOOKUP('Données projet'!$B$10,Paramètres!$A$1:$I$89,3,0)*VLOOKUP('Données projet'!$B$10,Paramètres!$A$1:$I$89,5,0)</f>
        <v>22.927120651672375</v>
      </c>
      <c r="AK16" s="13">
        <f t="shared" si="35"/>
        <v>7.3376483975459479</v>
      </c>
      <c r="AL16" s="20">
        <f t="shared" si="4"/>
        <v>52.711139427388581</v>
      </c>
      <c r="AM16" s="59">
        <f t="shared" si="5"/>
        <v>325.2666949829441</v>
      </c>
      <c r="AN16" s="59">
        <f ca="1">AVERAGE(OFFSET($AM$3,0,0,'Données projet'!$E$10+1,1))-AVERAGE(OFFSET($H$3,0,0,'Données projet'!$E$10+1,1))</f>
        <v>544.48194192356823</v>
      </c>
      <c r="AO16" s="59">
        <f t="shared" si="36"/>
        <v>668.20427590250733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2.5</v>
      </c>
      <c r="BD16" s="12">
        <f>IF('Données projet'!$A$88&gt;35,BD15+BC16-BL15,IF(A16&lt;'Données projet'!$A$88,$BA$205^A16,IF(A16='Données projet'!$A$88,'Données projet'!$B$88,BD15+BC16-BL15)))</f>
        <v>20.029667640758085</v>
      </c>
      <c r="BE16" s="13">
        <f>BD16*VLOOKUP('Données projet'!$B$11,Paramètres!$A$1:$I$89,3,0)*VLOOKUP('Données projet'!$B$11,Paramètres!$A$1:$I$89,5,0)</f>
        <v>11.977741249173334</v>
      </c>
      <c r="BF16" s="13">
        <f t="shared" si="37"/>
        <v>4.1343205897328046</v>
      </c>
      <c r="BG16" s="20">
        <f t="shared" si="7"/>
        <v>28.061841036094858</v>
      </c>
      <c r="BH16" s="59">
        <f t="shared" si="8"/>
        <v>300.61739659165039</v>
      </c>
      <c r="BI16" s="59">
        <f ca="1">AVERAGE(OFFSET($BH$3,0,0,'Données projet'!$E$11+1,1))-AVERAGE(OFFSET($H$3,0,0,'Données projet'!$E$11+1,1))</f>
        <v>162.86181551380446</v>
      </c>
      <c r="BJ16" s="59">
        <f t="shared" si="38"/>
        <v>184.96823352120742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24.333333333333332</v>
      </c>
      <c r="BY16" s="12">
        <f>IF('Données projet'!$A$114&gt;35,BY15+BX16-CG15,IF(A16&lt;'Données projet'!$A$114,$BV$205^A16,IF(A16='Données projet'!$A$114,'Données projet'!$B$114,BY15+BX16-CG15)))</f>
        <v>119.33333333333334</v>
      </c>
      <c r="BZ16" s="13">
        <f>BY16*VLOOKUP('Données projet'!$B$12,Paramètres!$A$1:$I$89,3,0)*VLOOKUP('Données projet'!$B$12,Paramètres!$A$1:$I$89,5,0)</f>
        <v>65.156000000000006</v>
      </c>
      <c r="CA16" s="13">
        <f t="shared" si="39"/>
        <v>18.465547360043153</v>
      </c>
      <c r="CB16" s="20">
        <f t="shared" si="10"/>
        <v>145.64086165207519</v>
      </c>
      <c r="CC16" s="59">
        <f t="shared" si="11"/>
        <v>418.1964172076307</v>
      </c>
      <c r="CD16" s="59">
        <f ca="1">AVERAGE(OFFSET($CC$3,0,0,'Données projet'!$E$12+1,1))-AVERAGE(OFFSET($H$3,0,0,'Données projet'!$E$12+1,1))</f>
        <v>207.02306964567629</v>
      </c>
      <c r="CE16" s="59">
        <f t="shared" si="40"/>
        <v>342.06887933351783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3.95</v>
      </c>
      <c r="N17" s="13">
        <f>IF('Données projet'!$A$36&gt;35,N16+M17-V16,IF(A17&lt;'Données projet'!$A$36,$K$205^A17,IF(A17='Données projet'!$A$36,'Données projet'!$B$36,N16+M17-V16)))</f>
        <v>21.298006924699145</v>
      </c>
      <c r="O17" s="13">
        <f>N17*VLOOKUP('Données projet'!$B$9,Paramètres!$A$1:$I$89,3,0)*VLOOKUP('Données projet'!$B$9,Paramètres!$A$1:$I$89,5,0)</f>
        <v>18.605938849417175</v>
      </c>
      <c r="P17" s="13">
        <f t="shared" si="33"/>
        <v>6.1012133117674976</v>
      </c>
      <c r="Q17" s="20">
        <f t="shared" si="2"/>
        <v>43.031623347396639</v>
      </c>
      <c r="R17" s="59">
        <f t="shared" si="0"/>
        <v>316.80940112517442</v>
      </c>
      <c r="S17" s="59">
        <f ca="1">AVERAGE(OFFSET($R$3,0,0,'Données projet'!$E$9+1,1))-AVERAGE(OFFSET($H$3,0,0,'Données projet'!$E$9+1,1))</f>
        <v>268.31928207836495</v>
      </c>
      <c r="T17" s="59">
        <f t="shared" si="34"/>
        <v>277.61304526670204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15.15</v>
      </c>
      <c r="AI17" s="13">
        <f>IF('Données projet'!$A$62&gt;35,AI16+AH17-AQ16,IF(A17&lt;'Données projet'!$A$62,$AF$205^A17,IF(A17='Données projet'!$A$62,'Données projet'!$B$62,AI16+AH17-AQ16)))</f>
        <v>54.577022664507709</v>
      </c>
      <c r="AJ17" s="13">
        <f>AI17*VLOOKUP('Données projet'!$B$10,Paramètres!$A$1:$I$89,3,0)*VLOOKUP('Données projet'!$B$10,Paramètres!$A$1:$I$89,5,0)</f>
        <v>30.50855566945981</v>
      </c>
      <c r="AK17" s="13">
        <f t="shared" si="35"/>
        <v>9.4446753231405243</v>
      </c>
      <c r="AL17" s="20">
        <f t="shared" si="4"/>
        <v>69.585210645445571</v>
      </c>
      <c r="AM17" s="59">
        <f t="shared" si="5"/>
        <v>343.36298842322333</v>
      </c>
      <c r="AN17" s="59">
        <f ca="1">AVERAGE(OFFSET($AM$3,0,0,'Données projet'!$E$10+1,1))-AVERAGE(OFFSET($H$3,0,0,'Données projet'!$E$10+1,1))</f>
        <v>544.48194192356823</v>
      </c>
      <c r="AO17" s="59">
        <f t="shared" si="36"/>
        <v>668.20427590250733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2.5</v>
      </c>
      <c r="BD17" s="12">
        <f>IF('Données projet'!$A$88&gt;35,BD16+BC17-BL16,IF(A17&lt;'Données projet'!$A$88,$BA$205^A17,IF(A17='Données projet'!$A$88,'Données projet'!$B$88,BD16+BC17-BL16)))</f>
        <v>25.223334097887232</v>
      </c>
      <c r="BE17" s="13">
        <f>BD17*VLOOKUP('Données projet'!$B$11,Paramètres!$A$1:$I$89,3,0)*VLOOKUP('Données projet'!$B$11,Paramètres!$A$1:$I$89,5,0)</f>
        <v>15.083553790536566</v>
      </c>
      <c r="BF17" s="13">
        <f t="shared" si="37"/>
        <v>5.0684820564775537</v>
      </c>
      <c r="BG17" s="20">
        <f t="shared" si="7"/>
        <v>35.098129100216262</v>
      </c>
      <c r="BH17" s="59">
        <f t="shared" si="8"/>
        <v>308.87590687799405</v>
      </c>
      <c r="BI17" s="59">
        <f ca="1">AVERAGE(OFFSET($BH$3,0,0,'Données projet'!$E$11+1,1))-AVERAGE(OFFSET($H$3,0,0,'Données projet'!$E$11+1,1))</f>
        <v>162.86181551380446</v>
      </c>
      <c r="BJ17" s="59">
        <f t="shared" si="38"/>
        <v>184.96823352120742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24.333333333333332</v>
      </c>
      <c r="BY17" s="12">
        <f>IF('Données projet'!$A$114&gt;35,BY16+BX17-CG16,IF(A17&lt;'Données projet'!$A$114,$BV$205^A17,IF(A17='Données projet'!$A$114,'Données projet'!$B$114,BY16+BX17-CG16)))</f>
        <v>143.66666666666669</v>
      </c>
      <c r="BZ17" s="13">
        <f>BY17*VLOOKUP('Données projet'!$B$12,Paramètres!$A$1:$I$89,3,0)*VLOOKUP('Données projet'!$B$12,Paramètres!$A$1:$I$89,5,0)</f>
        <v>78.442000000000007</v>
      </c>
      <c r="CA17" s="13">
        <f t="shared" si="39"/>
        <v>21.755810093736013</v>
      </c>
      <c r="CB17" s="20">
        <f t="shared" si="10"/>
        <v>174.5111859132569</v>
      </c>
      <c r="CC17" s="59">
        <f t="shared" si="11"/>
        <v>448.28896369103467</v>
      </c>
      <c r="CD17" s="59">
        <f ca="1">AVERAGE(OFFSET($CC$3,0,0,'Données projet'!$E$12+1,1))-AVERAGE(OFFSET($H$3,0,0,'Données projet'!$E$12+1,1))</f>
        <v>207.02306964567629</v>
      </c>
      <c r="CE17" s="59">
        <f t="shared" si="40"/>
        <v>342.06887933351783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3.95</v>
      </c>
      <c r="N18" s="13">
        <f>IF('Données projet'!$A$36&gt;35,N17+M18-V17,IF(A18&lt;'Données projet'!$A$36,$K$205^A18,IF(A18='Données projet'!$A$36,'Données projet'!$B$36,N17+M18-V17)))</f>
        <v>26.498440689367563</v>
      </c>
      <c r="O18" s="13">
        <f>N18*VLOOKUP('Données projet'!$B$9,Paramètres!$A$1:$I$89,3,0)*VLOOKUP('Données projet'!$B$9,Paramètres!$A$1:$I$89,5,0)</f>
        <v>23.149037786231506</v>
      </c>
      <c r="P18" s="13">
        <f t="shared" si="33"/>
        <v>7.4003689797172942</v>
      </c>
      <c r="Q18" s="20">
        <f t="shared" si="2"/>
        <v>53.206883450694164</v>
      </c>
      <c r="R18" s="59">
        <f t="shared" si="0"/>
        <v>328.20688345069414</v>
      </c>
      <c r="S18" s="59">
        <f ca="1">AVERAGE(OFFSET($R$3,0,0,'Données projet'!$E$9+1,1))-AVERAGE(OFFSET($H$3,0,0,'Données projet'!$E$9+1,1))</f>
        <v>268.31928207836495</v>
      </c>
      <c r="T18" s="59">
        <f t="shared" si="34"/>
        <v>277.61304526670204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15.15</v>
      </c>
      <c r="AI18" s="13">
        <f>IF('Données projet'!$A$62&gt;35,AI17+AH18-AQ17,IF(A18&lt;'Données projet'!$A$62,$AF$205^A18,IF(A18='Données projet'!$A$62,'Données projet'!$B$62,AI17+AH18-AQ17)))</f>
        <v>72.624302001570669</v>
      </c>
      <c r="AJ18" s="13">
        <f>AI18*VLOOKUP('Données projet'!$B$10,Paramètres!$A$1:$I$89,3,0)*VLOOKUP('Données projet'!$B$10,Paramètres!$A$1:$I$89,5,0)</f>
        <v>40.596984818878006</v>
      </c>
      <c r="AK18" s="13">
        <f t="shared" si="35"/>
        <v>12.156741114683665</v>
      </c>
      <c r="AL18" s="20">
        <f t="shared" si="4"/>
        <v>91.879406000953239</v>
      </c>
      <c r="AM18" s="59">
        <f t="shared" si="5"/>
        <v>366.87940600095322</v>
      </c>
      <c r="AN18" s="59">
        <f ca="1">AVERAGE(OFFSET($AM$3,0,0,'Données projet'!$E$10+1,1))-AVERAGE(OFFSET($H$3,0,0,'Données projet'!$E$10+1,1))</f>
        <v>544.48194192356823</v>
      </c>
      <c r="AO18" s="59">
        <f t="shared" si="36"/>
        <v>668.20427590250733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2.5</v>
      </c>
      <c r="BD18" s="12">
        <f>IF('Données projet'!$A$88&gt;35,BD17+BC18-BL17,IF(A18&lt;'Données projet'!$A$88,$BA$205^A18,IF(A18='Données projet'!$A$88,'Données projet'!$B$88,BD17+BC18-BL17)))</f>
        <v>31.763711431687096</v>
      </c>
      <c r="BE18" s="13">
        <f>BD18*VLOOKUP('Données projet'!$B$11,Paramètres!$A$1:$I$89,3,0)*VLOOKUP('Données projet'!$B$11,Paramètres!$A$1:$I$89,5,0)</f>
        <v>18.994699436148885</v>
      </c>
      <c r="BF18" s="13">
        <f t="shared" si="37"/>
        <v>6.2137199569458668</v>
      </c>
      <c r="BG18" s="20">
        <f t="shared" si="7"/>
        <v>43.904663776306684</v>
      </c>
      <c r="BH18" s="59">
        <f t="shared" si="8"/>
        <v>318.90466377630668</v>
      </c>
      <c r="BI18" s="59">
        <f ca="1">AVERAGE(OFFSET($BH$3,0,0,'Données projet'!$E$11+1,1))-AVERAGE(OFFSET($H$3,0,0,'Données projet'!$E$11+1,1))</f>
        <v>162.86181551380446</v>
      </c>
      <c r="BJ18" s="59">
        <f t="shared" si="38"/>
        <v>184.96823352120742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168</v>
      </c>
      <c r="BW18" s="12">
        <f>VLOOKUP(A18,'Données projet'!$A$113:$I$133,9,0)</f>
        <v>24.333333333333332</v>
      </c>
      <c r="BX18" s="12">
        <f t="array" ref="BX18">INDEX(BW:BW,MIN(IF(ISNUMBER(BW18:BW214),ROW(BW18:BW214),"")))</f>
        <v>24.333333333333332</v>
      </c>
      <c r="BY18" s="12">
        <f>IF('Données projet'!$A$114&gt;35,BY17+BX18-CG17,IF(A18&lt;'Données projet'!$A$114,$BV$205^A18,IF(A18='Données projet'!$A$114,'Données projet'!$B$114,BY17+BX18-CG17)))</f>
        <v>168.00000000000003</v>
      </c>
      <c r="BZ18" s="13">
        <f>BY18*VLOOKUP('Données projet'!$B$12,Paramètres!$A$1:$I$89,3,0)*VLOOKUP('Données projet'!$B$12,Paramètres!$A$1:$I$89,5,0)</f>
        <v>91.728000000000009</v>
      </c>
      <c r="CA18" s="13">
        <f t="shared" si="39"/>
        <v>24.981514582386563</v>
      </c>
      <c r="CB18" s="20">
        <f t="shared" si="10"/>
        <v>203.26907123098991</v>
      </c>
      <c r="CC18" s="59">
        <f t="shared" si="11"/>
        <v>478.26907123098988</v>
      </c>
      <c r="CD18" s="59">
        <f ca="1">AVERAGE(OFFSET($CC$3,0,0,'Données projet'!$E$12+1,1))-AVERAGE(OFFSET($H$3,0,0,'Données projet'!$E$12+1,1))</f>
        <v>207.02306964567629</v>
      </c>
      <c r="CE18" s="59">
        <f t="shared" si="40"/>
        <v>342.06887933351783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47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1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29.055345219124163</v>
      </c>
      <c r="CN18" s="22">
        <f t="shared" si="12"/>
        <v>29.055345219124163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3.95</v>
      </c>
      <c r="N19" s="13">
        <f>IF('Données projet'!$A$36&gt;35,N18+M19-V18,IF(A19&lt;'Données projet'!$A$36,$K$205^A19,IF(A19='Données projet'!$A$36,'Données projet'!$B$36,N18+M19-V18)))</f>
        <v>32.968688640702432</v>
      </c>
      <c r="O19" s="13">
        <f>N19*VLOOKUP('Données projet'!$B$9,Paramètres!$A$1:$I$89,3,0)*VLOOKUP('Données projet'!$B$9,Paramètres!$A$1:$I$89,5,0)</f>
        <v>28.801446396517651</v>
      </c>
      <c r="P19" s="13">
        <f t="shared" si="33"/>
        <v>8.9761590420605479</v>
      </c>
      <c r="Q19" s="20">
        <f t="shared" si="2"/>
        <v>65.795996138857035</v>
      </c>
      <c r="R19" s="59">
        <f t="shared" si="0"/>
        <v>342.01821836107928</v>
      </c>
      <c r="S19" s="59">
        <f ca="1">AVERAGE(OFFSET($R$3,0,0,'Données projet'!$E$9+1,1))-AVERAGE(OFFSET($H$3,0,0,'Données projet'!$E$9+1,1))</f>
        <v>268.31928207836495</v>
      </c>
      <c r="T19" s="59">
        <f t="shared" si="34"/>
        <v>277.61304526670204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15.15</v>
      </c>
      <c r="AI19" s="13">
        <f>IF('Données projet'!$A$62&gt;35,AI18+AH19-AQ18,IF(A19&lt;'Données projet'!$A$62,$AF$205^A19,IF(A19='Données projet'!$A$62,'Données projet'!$B$62,AI18+AH19-AQ18)))</f>
        <v>96.639372829791554</v>
      </c>
      <c r="AJ19" s="13">
        <f>AI19*VLOOKUP('Données projet'!$B$10,Paramètres!$A$1:$I$89,3,0)*VLOOKUP('Données projet'!$B$10,Paramètres!$A$1:$I$89,5,0)</f>
        <v>54.021409411853483</v>
      </c>
      <c r="AK19" s="13">
        <f t="shared" si="35"/>
        <v>15.647584429646512</v>
      </c>
      <c r="AL19" s="20">
        <f t="shared" si="4"/>
        <v>121.34016427394583</v>
      </c>
      <c r="AM19" s="59">
        <f t="shared" si="5"/>
        <v>397.56238649616807</v>
      </c>
      <c r="AN19" s="59">
        <f ca="1">AVERAGE(OFFSET($AM$3,0,0,'Données projet'!$E$10+1,1))-AVERAGE(OFFSET($H$3,0,0,'Données projet'!$E$10+1,1))</f>
        <v>544.48194192356823</v>
      </c>
      <c r="AO19" s="59">
        <f t="shared" si="36"/>
        <v>668.20427590250733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40</v>
      </c>
      <c r="BB19" s="12">
        <f>VLOOKUP(A19,'Données projet'!$A$87:$I$107,9,0)</f>
        <v>2.5</v>
      </c>
      <c r="BC19" s="12">
        <f t="array" ref="BC19">INDEX(BB:BB,MIN(IF(ISNUMBER(BB19:BB215),ROW(BB19:BB215),"")))</f>
        <v>2.5</v>
      </c>
      <c r="BD19" s="12">
        <f>IF('Données projet'!$A$88&gt;35,BD18+BC19-BL18,IF(A19&lt;'Données projet'!$A$88,$BA$205^A19,IF(A19='Données projet'!$A$88,'Données projet'!$B$88,BD18+BC19-BL18)))</f>
        <v>40</v>
      </c>
      <c r="BE19" s="13">
        <f>BD19*VLOOKUP('Données projet'!$B$11,Paramètres!$A$1:$I$89,3,0)*VLOOKUP('Données projet'!$B$11,Paramètres!$A$1:$I$89,5,0)</f>
        <v>23.920000000000005</v>
      </c>
      <c r="BF19" s="13">
        <f t="shared" si="37"/>
        <v>7.6177276101832296</v>
      </c>
      <c r="BG19" s="20">
        <f t="shared" si="7"/>
        <v>54.928208921069135</v>
      </c>
      <c r="BH19" s="59">
        <f t="shared" si="8"/>
        <v>331.15043114329137</v>
      </c>
      <c r="BI19" s="59">
        <f ca="1">AVERAGE(OFFSET($BH$3,0,0,'Données projet'!$E$11+1,1))-AVERAGE(OFFSET($H$3,0,0,'Données projet'!$E$11+1,1))</f>
        <v>162.86181551380446</v>
      </c>
      <c r="BJ19" s="59">
        <f t="shared" si="38"/>
        <v>184.96823352120742</v>
      </c>
      <c r="BK19" s="15">
        <f>IF(ISNA(VLOOKUP(A19,'Données projet'!$A$87:$I$107,3,0)),0,VLOOKUP(A19,'Données projet'!$A$87:$I$107,3,0))</f>
        <v>1</v>
      </c>
      <c r="BL19" s="15">
        <f>IF(ISNA(VLOOKUP(A19,'Données projet'!$A$87:$I$107,4,0)),0,VLOOKUP(A19,'Données projet'!$A$87:$I$107,4,0))</f>
        <v>4</v>
      </c>
      <c r="BM19" s="16">
        <f>IF(ISNA(VLOOKUP(A19,'Données projet'!$A$87:$I$107,5,0)),0%,VLOOKUP(A19,'Données projet'!$A$87:$I$107,5,0)*VLOOKUP('Données projet'!$B$11,Paramètres!$A$1:$I$89,7,0))</f>
        <v>9.0000000000000011E-2</v>
      </c>
      <c r="BN19" s="16">
        <f>IF(ISNA(VLOOKUP(A19,'Données projet'!$A$87:$I$107,6,0)),0%,VLOOKUP(A19,'Données projet'!$A$87:$I$107,6,0)*VLOOKUP('Données projet'!$B$11,Paramètres!$A$1:$I$89,7,0))</f>
        <v>9.0000000000000011E-2</v>
      </c>
      <c r="BO19" s="16">
        <f>IF(ISNA(VLOOKUP(A19,'Données projet'!$A$87:$I$107,7,0)),0%,VLOOKUP(A19,'Données projet'!$A$87:$I$107,7,0))</f>
        <v>0.6</v>
      </c>
      <c r="BP19" s="21">
        <f>EXP(-LN(2)/35)*BP18+(1-EXP(-LN(2)/35))/(LN(2)/35)*BL19*BM19*VLOOKUP('Données projet'!$B$11,Paramètres!$A$1:$I$89,3,0)*0.475*44/12</f>
        <v>0.28558279596702424</v>
      </c>
      <c r="BQ19" s="21">
        <f>EXP(-LN(2)/25)*BQ18+(1-EXP(-LN(2)/25))/(LN(2)/25)*Calculateur!BL19*Calculateur!BN19*VLOOKUP('Données projet'!$B$11,Paramètres!$A$1:$I$89,3,0)*0.475*44/12</f>
        <v>0.2844583476837258</v>
      </c>
      <c r="BR19" s="21">
        <f>EXP(-LN(2)/2)*BR18+(1-EXP(-LN(2)/2))/(LN(2)/2)*BL19*BO19*VLOOKUP('Données projet'!$B$11,Paramètres!$A$1:$I$89,3,0)*0.475*44/12</f>
        <v>1.6249797934099837</v>
      </c>
      <c r="BS19" s="22">
        <f t="shared" si="9"/>
        <v>2.1950209370607334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21.333333333333332</v>
      </c>
      <c r="BY19" s="12">
        <f>IF('Données projet'!$A$114&gt;35,BY18+BX19-CG18,IF(A19&lt;'Données projet'!$A$114,$BV$205^A19,IF(A19='Données projet'!$A$114,'Données projet'!$B$114,BY18+BX19-CG18)))</f>
        <v>142.33333333333337</v>
      </c>
      <c r="BZ19" s="13">
        <f>BY19*VLOOKUP('Données projet'!$B$12,Paramètres!$A$1:$I$89,3,0)*VLOOKUP('Données projet'!$B$12,Paramètres!$A$1:$I$89,5,0)</f>
        <v>77.714000000000027</v>
      </c>
      <c r="CA19" s="13">
        <f t="shared" si="39"/>
        <v>21.577305655991772</v>
      </c>
      <c r="CB19" s="20">
        <f t="shared" si="10"/>
        <v>172.93235735085239</v>
      </c>
      <c r="CC19" s="59">
        <f t="shared" si="11"/>
        <v>449.15457957307461</v>
      </c>
      <c r="CD19" s="59">
        <f ca="1">AVERAGE(OFFSET($CC$3,0,0,'Données projet'!$E$12+1,1))-AVERAGE(OFFSET($H$3,0,0,'Données projet'!$E$12+1,1))</f>
        <v>207.02306964567629</v>
      </c>
      <c r="CE19" s="59">
        <f t="shared" si="40"/>
        <v>342.06887933351783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20.545231634158831</v>
      </c>
      <c r="CN19" s="22">
        <f t="shared" si="12"/>
        <v>20.545231634158831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3.95</v>
      </c>
      <c r="N20" s="13">
        <f>IF('Données projet'!$A$36&gt;35,N19+M20-V19,IF(A20&lt;'Données projet'!$A$36,$K$205^A20,IF(A20='Données projet'!$A$36,'Données projet'!$B$36,N19+M20-V19)))</f>
        <v>41.018807235842807</v>
      </c>
      <c r="O20" s="13">
        <f>N20*VLOOKUP('Données projet'!$B$9,Paramètres!$A$1:$I$89,3,0)*VLOOKUP('Données projet'!$B$9,Paramètres!$A$1:$I$89,5,0)</f>
        <v>35.834030001232279</v>
      </c>
      <c r="P20" s="13">
        <f t="shared" si="33"/>
        <v>10.887488362971231</v>
      </c>
      <c r="Q20" s="20">
        <f t="shared" si="2"/>
        <v>81.373311150987774</v>
      </c>
      <c r="R20" s="59">
        <f t="shared" si="0"/>
        <v>358.81775559543223</v>
      </c>
      <c r="S20" s="59">
        <f ca="1">AVERAGE(OFFSET($R$3,0,0,'Données projet'!$E$9+1,1))-AVERAGE(OFFSET($H$3,0,0,'Données projet'!$E$9+1,1))</f>
        <v>268.31928207836495</v>
      </c>
      <c r="T20" s="59">
        <f t="shared" si="34"/>
        <v>277.61304526670204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15.15</v>
      </c>
      <c r="AI20" s="13">
        <f>IF('Données projet'!$A$62&gt;35,AI19+AH20-AQ19,IF(A20&lt;'Données projet'!$A$62,$AF$205^A20,IF(A20='Données projet'!$A$62,'Données projet'!$B$62,AI19+AH20-AQ19)))</f>
        <v>128.59563704630816</v>
      </c>
      <c r="AJ20" s="13">
        <f>AI20*VLOOKUP('Données projet'!$B$10,Paramètres!$A$1:$I$89,3,0)*VLOOKUP('Données projet'!$B$10,Paramètres!$A$1:$I$89,5,0)</f>
        <v>71.884961108886259</v>
      </c>
      <c r="AK20" s="13">
        <f t="shared" si="35"/>
        <v>20.140833482681852</v>
      </c>
      <c r="AL20" s="20">
        <f t="shared" si="4"/>
        <v>160.27825891364779</v>
      </c>
      <c r="AM20" s="59">
        <f t="shared" si="5"/>
        <v>437.72270335809225</v>
      </c>
      <c r="AN20" s="59">
        <f ca="1">AVERAGE(OFFSET($AM$3,0,0,'Données projet'!$E$10+1,1))-AVERAGE(OFFSET($H$3,0,0,'Données projet'!$E$10+1,1))</f>
        <v>544.48194192356823</v>
      </c>
      <c r="AO20" s="59">
        <f t="shared" si="36"/>
        <v>668.20427590250733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6.25</v>
      </c>
      <c r="BD20" s="12">
        <f>IF('Données projet'!$A$88&gt;35,BD19+BC20-BL19,IF(A20&lt;'Données projet'!$A$88,$BA$205^A20,IF(A20='Données projet'!$A$88,'Données projet'!$B$88,BD19+BC20-BL19)))</f>
        <v>42.25</v>
      </c>
      <c r="BE20" s="13">
        <f>BD20*VLOOKUP('Données projet'!$B$11,Paramètres!$A$1:$I$89,3,0)*VLOOKUP('Données projet'!$B$11,Paramètres!$A$1:$I$89,5,0)</f>
        <v>25.265500000000003</v>
      </c>
      <c r="BF20" s="13">
        <f t="shared" si="37"/>
        <v>7.9951334090148665</v>
      </c>
      <c r="BG20" s="20">
        <f t="shared" si="7"/>
        <v>57.928936520700894</v>
      </c>
      <c r="BH20" s="59">
        <f t="shared" si="8"/>
        <v>335.37338096514537</v>
      </c>
      <c r="BI20" s="59">
        <f ca="1">AVERAGE(OFFSET($BH$3,0,0,'Données projet'!$E$11+1,1))-AVERAGE(OFFSET($H$3,0,0,'Données projet'!$E$11+1,1))</f>
        <v>162.86181551380446</v>
      </c>
      <c r="BJ20" s="59">
        <f t="shared" si="38"/>
        <v>184.96823352120742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0.27998269152641675</v>
      </c>
      <c r="BQ20" s="21">
        <f>EXP(-LN(2)/25)*BQ19+(1-EXP(-LN(2)/25))/(LN(2)/25)*Calculateur!BL20*Calculateur!BN20*VLOOKUP('Données projet'!$B$11,Paramètres!$A$1:$I$89,3,0)*0.475*44/12</f>
        <v>0.27667981920729995</v>
      </c>
      <c r="BR20" s="21">
        <f>EXP(-LN(2)/2)*BR19+(1-EXP(-LN(2)/2))/(LN(2)/2)*BL20*BO20*VLOOKUP('Données projet'!$B$11,Paramètres!$A$1:$I$89,3,0)*0.475*44/12</f>
        <v>1.1490342312113146</v>
      </c>
      <c r="BS20" s="22">
        <f t="shared" si="9"/>
        <v>1.7056967419450313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21.333333333333332</v>
      </c>
      <c r="BY20" s="12">
        <f>IF('Données projet'!$A$114&gt;35,BY19+BX20-CG19,IF(A20&lt;'Données projet'!$A$114,$BV$205^A20,IF(A20='Données projet'!$A$114,'Données projet'!$B$114,BY19+BX20-CG19)))</f>
        <v>163.66666666666671</v>
      </c>
      <c r="BZ20" s="13">
        <f>BY20*VLOOKUP('Données projet'!$B$12,Paramètres!$A$1:$I$89,3,0)*VLOOKUP('Données projet'!$B$12,Paramètres!$A$1:$I$89,5,0)</f>
        <v>89.362000000000037</v>
      </c>
      <c r="CA20" s="13">
        <f t="shared" si="39"/>
        <v>24.411291106060958</v>
      </c>
      <c r="CB20" s="20">
        <f t="shared" si="10"/>
        <v>198.15514867638956</v>
      </c>
      <c r="CC20" s="59">
        <f t="shared" si="11"/>
        <v>475.59959312083402</v>
      </c>
      <c r="CD20" s="59">
        <f ca="1">AVERAGE(OFFSET($CC$3,0,0,'Données projet'!$E$12+1,1))-AVERAGE(OFFSET($H$3,0,0,'Données projet'!$E$12+1,1))</f>
        <v>207.02306964567629</v>
      </c>
      <c r="CE20" s="59">
        <f t="shared" si="40"/>
        <v>342.06887933351783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14.527672609562083</v>
      </c>
      <c r="CN20" s="22">
        <f t="shared" si="12"/>
        <v>14.527672609562083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3.95</v>
      </c>
      <c r="N21" s="13">
        <f>IF('Données projet'!$A$36&gt;35,N20+M21-V20,IF(A21&lt;'Données projet'!$A$36,$K$205^A21,IF(A21='Données projet'!$A$36,'Données projet'!$B$36,N20+M21-V20)))</f>
        <v>51.034560864334757</v>
      </c>
      <c r="O21" s="13">
        <f>N21*VLOOKUP('Données projet'!$B$9,Paramètres!$A$1:$I$89,3,0)*VLOOKUP('Données projet'!$B$9,Paramètres!$A$1:$I$89,5,0)</f>
        <v>44.583792371082851</v>
      </c>
      <c r="P21" s="13">
        <f t="shared" si="33"/>
        <v>13.205804654127736</v>
      </c>
      <c r="Q21" s="20">
        <f t="shared" si="2"/>
        <v>100.65021481890842</v>
      </c>
      <c r="R21" s="59">
        <f t="shared" si="0"/>
        <v>379.3168814855751</v>
      </c>
      <c r="S21" s="59">
        <f ca="1">AVERAGE(OFFSET($R$3,0,0,'Données projet'!$E$9+1,1))-AVERAGE(OFFSET($H$3,0,0,'Données projet'!$E$9+1,1))</f>
        <v>268.31928207836495</v>
      </c>
      <c r="T21" s="59">
        <f t="shared" si="34"/>
        <v>277.61304526670204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15.15</v>
      </c>
      <c r="AI21" s="13">
        <f>IF('Données projet'!$A$62&gt;35,AI20+AH21-AQ20,IF(A21&lt;'Données projet'!$A$62,$AF$205^A21,IF(A21='Données projet'!$A$62,'Données projet'!$B$62,AI20+AH21-AQ20)))</f>
        <v>171.11905202936001</v>
      </c>
      <c r="AJ21" s="13">
        <f>AI21*VLOOKUP('Données projet'!$B$10,Paramètres!$A$1:$I$89,3,0)*VLOOKUP('Données projet'!$B$10,Paramètres!$A$1:$I$89,5,0)</f>
        <v>95.655550084412241</v>
      </c>
      <c r="AK21" s="13">
        <f t="shared" si="35"/>
        <v>25.924331976030281</v>
      </c>
      <c r="AL21" s="20">
        <f t="shared" si="4"/>
        <v>211.75162792193737</v>
      </c>
      <c r="AM21" s="59">
        <f t="shared" si="5"/>
        <v>490.41829458860406</v>
      </c>
      <c r="AN21" s="59">
        <f ca="1">AVERAGE(OFFSET($AM$3,0,0,'Données projet'!$E$10+1,1))-AVERAGE(OFFSET($H$3,0,0,'Données projet'!$E$10+1,1))</f>
        <v>544.48194192356823</v>
      </c>
      <c r="AO21" s="59">
        <f t="shared" si="36"/>
        <v>668.20427590250733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6.25</v>
      </c>
      <c r="BD21" s="12">
        <f>IF('Données projet'!$A$88&gt;35,BD20+BC21-BL20,IF(A21&lt;'Données projet'!$A$88,$BA$205^A21,IF(A21='Données projet'!$A$88,'Données projet'!$B$88,BD20+BC21-BL20)))</f>
        <v>48.5</v>
      </c>
      <c r="BE21" s="13">
        <f>BD21*VLOOKUP('Données projet'!$B$11,Paramètres!$A$1:$I$89,3,0)*VLOOKUP('Données projet'!$B$11,Paramètres!$A$1:$I$89,5,0)</f>
        <v>29.003000000000004</v>
      </c>
      <c r="BF21" s="13">
        <f t="shared" si="37"/>
        <v>9.0316402689048942</v>
      </c>
      <c r="BG21" s="20">
        <f t="shared" si="7"/>
        <v>66.243665135009351</v>
      </c>
      <c r="BH21" s="59">
        <f t="shared" si="8"/>
        <v>344.91033180167602</v>
      </c>
      <c r="BI21" s="59">
        <f ca="1">AVERAGE(OFFSET($BH$3,0,0,'Données projet'!$E$11+1,1))-AVERAGE(OFFSET($H$3,0,0,'Données projet'!$E$11+1,1))</f>
        <v>162.86181551380446</v>
      </c>
      <c r="BJ21" s="59">
        <f t="shared" si="38"/>
        <v>184.96823352120742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0.27449240171816314</v>
      </c>
      <c r="BQ21" s="21">
        <f>EXP(-LN(2)/25)*BQ20+(1-EXP(-LN(2)/25))/(LN(2)/25)*Calculateur!BL21*Calculateur!BN21*VLOOKUP('Données projet'!$B$11,Paramètres!$A$1:$I$89,3,0)*0.475*44/12</f>
        <v>0.26911399500111699</v>
      </c>
      <c r="BR21" s="21">
        <f>EXP(-LN(2)/2)*BR20+(1-EXP(-LN(2)/2))/(LN(2)/2)*BL21*BO21*VLOOKUP('Données projet'!$B$11,Paramètres!$A$1:$I$89,3,0)*0.475*44/12</f>
        <v>0.81248989670499194</v>
      </c>
      <c r="BS21" s="22">
        <f t="shared" si="9"/>
        <v>1.356096293424272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185</v>
      </c>
      <c r="BW21" s="12">
        <f>VLOOKUP(A21,'Données projet'!$A$113:$I$133,9,0)</f>
        <v>21.333333333333332</v>
      </c>
      <c r="BX21" s="12">
        <f t="array" ref="BX21">INDEX(BW:BW,MIN(IF(ISNUMBER(BW21:BW217),ROW(BW21:BW217),"")))</f>
        <v>21.333333333333332</v>
      </c>
      <c r="BY21" s="12">
        <f>IF('Données projet'!$A$114&gt;35,BY20+BX21-CG20,IF(A21&lt;'Données projet'!$A$114,$BV$205^A21,IF(A21='Données projet'!$A$114,'Données projet'!$B$114,BY20+BX21-CG20)))</f>
        <v>185.00000000000006</v>
      </c>
      <c r="BZ21" s="13">
        <f>BY21*VLOOKUP('Données projet'!$B$12,Paramètres!$A$1:$I$89,3,0)*VLOOKUP('Données projet'!$B$12,Paramètres!$A$1:$I$89,5,0)</f>
        <v>101.01000000000002</v>
      </c>
      <c r="CA21" s="13">
        <f t="shared" si="39"/>
        <v>27.202475209169602</v>
      </c>
      <c r="CB21" s="20">
        <f t="shared" si="10"/>
        <v>223.30339432263705</v>
      </c>
      <c r="CC21" s="59">
        <f t="shared" si="11"/>
        <v>501.97006098930376</v>
      </c>
      <c r="CD21" s="59">
        <f ca="1">AVERAGE(OFFSET($CC$3,0,0,'Données projet'!$E$12+1,1))-AVERAGE(OFFSET($H$3,0,0,'Données projet'!$E$12+1,1))</f>
        <v>207.02306964567629</v>
      </c>
      <c r="CE21" s="59">
        <f t="shared" si="40"/>
        <v>342.06887933351783</v>
      </c>
      <c r="CF21" s="15">
        <f>IF(ISNA(VLOOKUP(A21,'Données projet'!$A$113:$I$133,3,0)),0,VLOOKUP(A21,'Données projet'!$A$113:$I$133,3,0))</f>
        <v>3</v>
      </c>
      <c r="CG21" s="15">
        <f>IF(ISNA(VLOOKUP(A21,'Données projet'!$A$113:$I$133,4,0)),0,VLOOKUP(A21,'Données projet'!$A$113:$I$133,4,0))</f>
        <v>61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0.12</v>
      </c>
      <c r="CJ21" s="16">
        <f>IF(ISNA(VLOOKUP(A21,'Données projet'!$A$113:$I$133,7,0)),0%,VLOOKUP(A21,'Données projet'!$A$113:$I$133,7,0))</f>
        <v>0.8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5.2810310635196052</v>
      </c>
      <c r="CM21" s="21">
        <f>EXP(-LN(2)/2)*CM20+(1-EXP(-LN(2)/2))/(LN(2)/2)*CG21*CJ21*VLOOKUP('Données projet'!$B$12,Paramètres!$A$1:$I$89,3,0)*0.475*44/12</f>
        <v>40.440718938212591</v>
      </c>
      <c r="CN21" s="22">
        <f t="shared" si="12"/>
        <v>45.721750001732197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3.95</v>
      </c>
      <c r="N22" s="13">
        <f>IF('Données projet'!$A$36&gt;35,N21+M22-V21,IF(A22&lt;'Données projet'!$A$36,$K$205^A22,IF(A22='Données projet'!$A$36,'Données projet'!$B$36,N21+M22-V21)))</f>
        <v>63.495907807373236</v>
      </c>
      <c r="O22" s="13">
        <f>N22*VLOOKUP('Données projet'!$B$9,Paramètres!$A$1:$I$89,3,0)*VLOOKUP('Données projet'!$B$9,Paramètres!$A$1:$I$89,5,0)</f>
        <v>55.470025060521266</v>
      </c>
      <c r="P22" s="13">
        <f t="shared" si="33"/>
        <v>16.01776927322376</v>
      </c>
      <c r="Q22" s="20">
        <f t="shared" si="2"/>
        <v>124.50790846460593</v>
      </c>
      <c r="R22" s="59">
        <f t="shared" si="0"/>
        <v>404.39679735349478</v>
      </c>
      <c r="S22" s="59">
        <f ca="1">AVERAGE(OFFSET($R$3,0,0,'Données projet'!$E$9+1,1))-AVERAGE(OFFSET($H$3,0,0,'Données projet'!$E$9+1,1))</f>
        <v>268.31928207836495</v>
      </c>
      <c r="T22" s="59">
        <f t="shared" si="34"/>
        <v>277.61304526670204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15.15</v>
      </c>
      <c r="AI22" s="13">
        <f>IF('Données projet'!$A$62&gt;35,AI21+AH22-AQ21,IF(A22&lt;'Données projet'!$A$62,$AF$205^A22,IF(A22='Données projet'!$A$62,'Données projet'!$B$62,AI21+AH22-AQ21)))</f>
        <v>227.70391468944055</v>
      </c>
      <c r="AJ22" s="13">
        <f>AI22*VLOOKUP('Données projet'!$B$10,Paramètres!$A$1:$I$89,3,0)*VLOOKUP('Données projet'!$B$10,Paramètres!$A$1:$I$89,5,0)</f>
        <v>127.28648831139728</v>
      </c>
      <c r="AK22" s="13">
        <f t="shared" si="35"/>
        <v>33.368578762209985</v>
      </c>
      <c r="AL22" s="20">
        <f t="shared" si="4"/>
        <v>279.80757515319931</v>
      </c>
      <c r="AM22" s="59">
        <f t="shared" si="5"/>
        <v>559.69646404208811</v>
      </c>
      <c r="AN22" s="59">
        <f ca="1">AVERAGE(OFFSET($AM$3,0,0,'Données projet'!$E$10+1,1))-AVERAGE(OFFSET($H$3,0,0,'Données projet'!$E$10+1,1))</f>
        <v>544.48194192356823</v>
      </c>
      <c r="AO22" s="59">
        <f t="shared" si="36"/>
        <v>668.20427590250733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6.25</v>
      </c>
      <c r="BD22" s="12">
        <f>IF('Données projet'!$A$88&gt;35,BD21+BC22-BL21,IF(A22&lt;'Données projet'!$A$88,$BA$205^A22,IF(A22='Données projet'!$A$88,'Données projet'!$B$88,BD21+BC22-BL21)))</f>
        <v>54.75</v>
      </c>
      <c r="BE22" s="13">
        <f>BD22*VLOOKUP('Données projet'!$B$11,Paramètres!$A$1:$I$89,3,0)*VLOOKUP('Données projet'!$B$11,Paramètres!$A$1:$I$89,5,0)</f>
        <v>32.740500000000004</v>
      </c>
      <c r="BF22" s="13">
        <f t="shared" si="37"/>
        <v>10.052670379991662</v>
      </c>
      <c r="BG22" s="20">
        <f t="shared" si="7"/>
        <v>74.531438411818826</v>
      </c>
      <c r="BH22" s="59">
        <f t="shared" si="8"/>
        <v>354.4203273007077</v>
      </c>
      <c r="BI22" s="59">
        <f ca="1">AVERAGE(OFFSET($BH$3,0,0,'Données projet'!$E$11+1,1))-AVERAGE(OFFSET($H$3,0,0,'Données projet'!$E$11+1,1))</f>
        <v>162.86181551380446</v>
      </c>
      <c r="BJ22" s="59">
        <f t="shared" si="38"/>
        <v>184.96823352120742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0.26910977314430329</v>
      </c>
      <c r="BQ22" s="21">
        <f>EXP(-LN(2)/25)*BQ21+(1-EXP(-LN(2)/25))/(LN(2)/25)*Calculateur!BL22*Calculateur!BN22*VLOOKUP('Données projet'!$B$11,Paramètres!$A$1:$I$89,3,0)*0.475*44/12</f>
        <v>0.26175505865572152</v>
      </c>
      <c r="BR22" s="21">
        <f>EXP(-LN(2)/2)*BR21+(1-EXP(-LN(2)/2))/(LN(2)/2)*BL22*BO22*VLOOKUP('Données projet'!$B$11,Paramètres!$A$1:$I$89,3,0)*0.475*44/12</f>
        <v>0.57451711560565732</v>
      </c>
      <c r="BS22" s="22">
        <f t="shared" si="9"/>
        <v>1.1053819474056823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19.166666666666668</v>
      </c>
      <c r="BY22" s="12">
        <f>IF('Données projet'!$A$114&gt;35,BY21+BX22-CG21,IF(A22&lt;'Données projet'!$A$114,$BV$205^A22,IF(A22='Données projet'!$A$114,'Données projet'!$B$114,BY21+BX22-CG21)))</f>
        <v>143.16666666666671</v>
      </c>
      <c r="BZ22" s="13">
        <f>BY22*VLOOKUP('Données projet'!$B$12,Paramètres!$A$1:$I$89,3,0)*VLOOKUP('Données projet'!$B$12,Paramètres!$A$1:$I$89,5,0)</f>
        <v>78.169000000000025</v>
      </c>
      <c r="CA22" s="13">
        <f t="shared" si="39"/>
        <v>21.688893622970639</v>
      </c>
      <c r="CB22" s="20">
        <f t="shared" si="10"/>
        <v>173.9191647266739</v>
      </c>
      <c r="CC22" s="59">
        <f t="shared" si="11"/>
        <v>453.80805361556276</v>
      </c>
      <c r="CD22" s="59">
        <f ca="1">AVERAGE(OFFSET($CC$3,0,0,'Données projet'!$E$12+1,1))-AVERAGE(OFFSET($H$3,0,0,'Données projet'!$E$12+1,1))</f>
        <v>207.02306964567629</v>
      </c>
      <c r="CE22" s="59">
        <f t="shared" si="40"/>
        <v>342.06887933351783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5.1366209913703083</v>
      </c>
      <c r="CM22" s="21">
        <f>EXP(-LN(2)/2)*CM21+(1-EXP(-LN(2)/2))/(LN(2)/2)*CG22*CJ22*VLOOKUP('Données projet'!$B$12,Paramètres!$A$1:$I$89,3,0)*0.475*44/12</f>
        <v>28.595906597269362</v>
      </c>
      <c r="CN22" s="22">
        <f t="shared" si="12"/>
        <v>33.73252758863967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79</v>
      </c>
      <c r="L23" s="12">
        <f>VLOOKUP(A23,'Données projet'!$A$35:$I$55,9,0)</f>
        <v>3.95</v>
      </c>
      <c r="M23" s="12">
        <f t="array" ref="M23">INDEX(L:L,MIN(IF(ISNUMBER(L23:L219),ROW(L23:L219),"")))</f>
        <v>3.95</v>
      </c>
      <c r="N23" s="13">
        <f>IF('Données projet'!$A$36&gt;35,N22+M23-V22,IF(A23&lt;'Données projet'!$A$36,$K$205^A23,IF(A23='Données projet'!$A$36,'Données projet'!$B$36,N22+M23-V22)))</f>
        <v>79</v>
      </c>
      <c r="O23" s="13">
        <f>N23*VLOOKUP('Données projet'!$B$9,Paramètres!$A$1:$I$89,3,0)*VLOOKUP('Données projet'!$B$9,Paramètres!$A$1:$I$89,5,0)</f>
        <v>69.014400000000009</v>
      </c>
      <c r="P23" s="13">
        <f t="shared" si="33"/>
        <v>19.428496726251055</v>
      </c>
      <c r="Q23" s="20">
        <f t="shared" si="2"/>
        <v>154.03804513155393</v>
      </c>
      <c r="R23" s="59">
        <f t="shared" si="0"/>
        <v>435.14915624266507</v>
      </c>
      <c r="S23" s="59">
        <f ca="1">AVERAGE(OFFSET($R$3,0,0,'Données projet'!$E$9+1,1))-AVERAGE(OFFSET($H$3,0,0,'Données projet'!$E$9+1,1))</f>
        <v>268.31928207836495</v>
      </c>
      <c r="T23" s="59">
        <f t="shared" si="34"/>
        <v>277.61304526670204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17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4.3000000000000003E-2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0.70317553869450489</v>
      </c>
      <c r="AB23" s="21">
        <f>EXP(-LN(2)/2)*AB22+(1-EXP(-LN(2)/2))/(LN(2)/2)*V23*Y23*VLOOKUP('Données projet'!$B$9,Paramètres!$A$1:$I$89,3,0)*0.475*44/12</f>
        <v>7.0062534570937709</v>
      </c>
      <c r="AC23" s="22">
        <f t="shared" si="3"/>
        <v>7.7094289957882758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303</v>
      </c>
      <c r="AG23" s="12">
        <f>VLOOKUP(A23,'Données projet'!$A$61:$I$81,9,0)</f>
        <v>15.15</v>
      </c>
      <c r="AH23" s="12">
        <f t="array" ref="AH23">INDEX(AG:AG,MIN(IF(ISNUMBER(AG23:AG219),ROW(AG23:AG219),"")))</f>
        <v>15.15</v>
      </c>
      <c r="AI23" s="13">
        <f>IF('Données projet'!$A$62&gt;35,AI22+AH23-AQ22,IF(A23&lt;'Données projet'!$A$62,$AF$205^A23,IF(A23='Données projet'!$A$62,'Données projet'!$B$62,AI22+AH23-AQ22)))</f>
        <v>303</v>
      </c>
      <c r="AJ23" s="13">
        <f>AI23*VLOOKUP('Données projet'!$B$10,Paramètres!$A$1:$I$89,3,0)*VLOOKUP('Données projet'!$B$10,Paramètres!$A$1:$I$89,5,0)</f>
        <v>169.37700000000001</v>
      </c>
      <c r="AK23" s="13">
        <f t="shared" si="35"/>
        <v>42.950462509094685</v>
      </c>
      <c r="AL23" s="20">
        <f t="shared" si="4"/>
        <v>369.80366387000657</v>
      </c>
      <c r="AM23" s="59">
        <f t="shared" si="5"/>
        <v>650.91477498111772</v>
      </c>
      <c r="AN23" s="59">
        <f ca="1">AVERAGE(OFFSET($AM$3,0,0,'Données projet'!$E$10+1,1))-AVERAGE(OFFSET($H$3,0,0,'Données projet'!$E$10+1,1))</f>
        <v>544.48194192356823</v>
      </c>
      <c r="AO23" s="59">
        <f t="shared" si="36"/>
        <v>668.20427590250733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0.22000000000000003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6.9874376008928722</v>
      </c>
      <c r="AW23" s="21">
        <f>EXP(-LN(2)/2)*AW22+(1-EXP(-LN(2)/2))/(LN(2)/2)*AQ23*AT23*VLOOKUP('Données projet'!$B$10,Paramètres!$A$1:$I$89,3,0)*0.475*44/12</f>
        <v>16.329280641386195</v>
      </c>
      <c r="AX23" s="21">
        <f t="shared" si="6"/>
        <v>23.316718242279066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61</v>
      </c>
      <c r="BB23" s="12">
        <f>VLOOKUP(A23,'Données projet'!$A$87:$I$107,9,0)</f>
        <v>6.25</v>
      </c>
      <c r="BC23" s="12">
        <f t="array" ref="BC23">INDEX(BB:BB,MIN(IF(ISNUMBER(BB23:BB219),ROW(BB23:BB219),"")))</f>
        <v>6.25</v>
      </c>
      <c r="BD23" s="12">
        <f>IF('Données projet'!$A$88&gt;35,BD22+BC23-BL22,IF(A23&lt;'Données projet'!$A$88,$BA$205^A23,IF(A23='Données projet'!$A$88,'Données projet'!$B$88,BD22+BC23-BL22)))</f>
        <v>61</v>
      </c>
      <c r="BE23" s="13">
        <f>BD23*VLOOKUP('Données projet'!$B$11,Paramètres!$A$1:$I$89,3,0)*VLOOKUP('Données projet'!$B$11,Paramètres!$A$1:$I$89,5,0)</f>
        <v>36.478000000000002</v>
      </c>
      <c r="BF23" s="13">
        <f t="shared" si="37"/>
        <v>11.06019217991456</v>
      </c>
      <c r="BG23" s="20">
        <f t="shared" si="7"/>
        <v>82.795684713351179</v>
      </c>
      <c r="BH23" s="59">
        <f t="shared" si="8"/>
        <v>363.90679582446234</v>
      </c>
      <c r="BI23" s="59">
        <f ca="1">AVERAGE(OFFSET($BH$3,0,0,'Données projet'!$E$11+1,1))-AVERAGE(OFFSET($H$3,0,0,'Données projet'!$E$11+1,1))</f>
        <v>162.86181551380446</v>
      </c>
      <c r="BJ23" s="59">
        <f t="shared" si="38"/>
        <v>184.96823352120742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5</v>
      </c>
      <c r="BM23" s="16">
        <f>IF(ISNA(VLOOKUP(A23,'Données projet'!$A$87:$I$107,5,0)),0%,VLOOKUP(A23,'Données projet'!$A$87:$I$107,5,0)*VLOOKUP('Données projet'!$B$11,Paramètres!$A$1:$I$89,7,0))</f>
        <v>0.13500000000000001</v>
      </c>
      <c r="BN23" s="16">
        <f>IF(ISNA(VLOOKUP(A23,'Données projet'!$A$87:$I$107,6,0)),0%,VLOOKUP(A23,'Données projet'!$A$87:$I$107,6,0)*VLOOKUP('Données projet'!$B$11,Paramètres!$A$1:$I$89,7,0))</f>
        <v>0.18000000000000002</v>
      </c>
      <c r="BO23" s="16">
        <f>IF(ISNA(VLOOKUP(A23,'Données projet'!$A$87:$I$107,7,0)),0%,VLOOKUP(A23,'Données projet'!$A$87:$I$107,7,0))</f>
        <v>0.3</v>
      </c>
      <c r="BP23" s="21">
        <f>EXP(-LN(2)/35)*BP22+(1-EXP(-LN(2)/35))/(LN(2)/35)*BL23*BM23*VLOOKUP('Données projet'!$B$11,Paramètres!$A$1:$I$89,3,0)*0.475*44/12</f>
        <v>0.79930043707186815</v>
      </c>
      <c r="BQ23" s="21">
        <f>EXP(-LN(2)/25)*BQ22+(1-EXP(-LN(2)/25))/(LN(2)/25)*Calculateur!BL23*Calculateur!BN23*VLOOKUP('Données projet'!$B$11,Paramètres!$A$1:$I$89,3,0)*0.475*44/12</f>
        <v>0.96574322202099494</v>
      </c>
      <c r="BR23" s="21">
        <f>EXP(-LN(2)/2)*BR22+(1-EXP(-LN(2)/2))/(LN(2)/2)*BL23*BO23*VLOOKUP('Données projet'!$B$11,Paramètres!$A$1:$I$89,3,0)*0.475*44/12</f>
        <v>1.4218573192337358</v>
      </c>
      <c r="BS23" s="22">
        <f t="shared" si="9"/>
        <v>3.1869009783265989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19.166666666666668</v>
      </c>
      <c r="BY23" s="12">
        <f>IF('Données projet'!$A$114&gt;35,BY22+BX23-CG22,IF(A23&lt;'Données projet'!$A$114,$BV$205^A23,IF(A23='Données projet'!$A$114,'Données projet'!$B$114,BY22+BX23-CG22)))</f>
        <v>162.33333333333337</v>
      </c>
      <c r="BZ23" s="13">
        <f>BY23*VLOOKUP('Données projet'!$B$12,Paramètres!$A$1:$I$89,3,0)*VLOOKUP('Données projet'!$B$12,Paramètres!$A$1:$I$89,5,0)</f>
        <v>88.634000000000015</v>
      </c>
      <c r="CA23" s="13">
        <f t="shared" si="39"/>
        <v>24.235486014796273</v>
      </c>
      <c r="CB23" s="20">
        <f t="shared" si="10"/>
        <v>196.58102147577017</v>
      </c>
      <c r="CC23" s="59">
        <f t="shared" si="11"/>
        <v>477.69213258688131</v>
      </c>
      <c r="CD23" s="59">
        <f ca="1">AVERAGE(OFFSET($CC$3,0,0,'Données projet'!$E$12+1,1))-AVERAGE(OFFSET($H$3,0,0,'Données projet'!$E$12+1,1))</f>
        <v>207.02306964567629</v>
      </c>
      <c r="CE23" s="59">
        <f t="shared" si="40"/>
        <v>342.06887933351783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4.9961598202381294</v>
      </c>
      <c r="CM23" s="21">
        <f>EXP(-LN(2)/2)*CM22+(1-EXP(-LN(2)/2))/(LN(2)/2)*CG23*CJ23*VLOOKUP('Données projet'!$B$12,Paramètres!$A$1:$I$89,3,0)*0.475*44/12</f>
        <v>20.220359469106299</v>
      </c>
      <c r="CN23" s="22">
        <f t="shared" si="12"/>
        <v>25.216519289344429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71.2</v>
      </c>
      <c r="O24" s="13">
        <f>N24*VLOOKUP('Données projet'!$B$9,Paramètres!$A$1:$I$89,3,0)*VLOOKUP('Données projet'!$B$9,Paramètres!$A$1:$I$89,5,0)</f>
        <v>62.200320000000012</v>
      </c>
      <c r="P24" s="13">
        <f t="shared" si="33"/>
        <v>17.723407501510042</v>
      </c>
      <c r="Q24" s="20">
        <f t="shared" si="2"/>
        <v>139.20049206513002</v>
      </c>
      <c r="R24" s="59">
        <f t="shared" si="0"/>
        <v>421.53382539846336</v>
      </c>
      <c r="S24" s="59">
        <f ca="1">AVERAGE(OFFSET($R$3,0,0,'Données projet'!$E$9+1,1))-AVERAGE(OFFSET($H$3,0,0,'Données projet'!$E$9+1,1))</f>
        <v>268.31928207836495</v>
      </c>
      <c r="T24" s="59">
        <f t="shared" si="34"/>
        <v>277.61304526670204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0.68394716661050925</v>
      </c>
      <c r="AB24" s="21">
        <f>EXP(-LN(2)/2)*AB23+(1-EXP(-LN(2)/2))/(LN(2)/2)*V24*Y24*VLOOKUP('Données projet'!$B$9,Paramètres!$A$1:$I$89,3,0)*0.475*44/12</f>
        <v>4.9541693302226975</v>
      </c>
      <c r="AC24" s="22">
        <f t="shared" si="3"/>
        <v>5.6381164968332067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31.8</v>
      </c>
      <c r="AI24" s="13">
        <f>IF('Données projet'!$A$62&gt;35,AI23+AH24-AQ23,IF(A24&lt;'Données projet'!$A$62,$AF$205^A24,IF(A24='Données projet'!$A$62,'Données projet'!$B$62,AI23+AH24-AQ23)))</f>
        <v>291.8</v>
      </c>
      <c r="AJ24" s="13">
        <f>AI24*VLOOKUP('Données projet'!$B$10,Paramètres!$A$1:$I$89,3,0)*VLOOKUP('Données projet'!$B$10,Paramètres!$A$1:$I$89,5,0)</f>
        <v>163.11620000000002</v>
      </c>
      <c r="AK24" s="13">
        <f t="shared" si="35"/>
        <v>41.544592017733144</v>
      </c>
      <c r="AL24" s="20">
        <f t="shared" si="4"/>
        <v>356.45087943088532</v>
      </c>
      <c r="AM24" s="59">
        <f t="shared" si="5"/>
        <v>638.78421276421864</v>
      </c>
      <c r="AN24" s="59">
        <f ca="1">AVERAGE(OFFSET($AM$3,0,0,'Données projet'!$E$10+1,1))-AVERAGE(OFFSET($H$3,0,0,'Données projet'!$E$10+1,1))</f>
        <v>544.48194192356823</v>
      </c>
      <c r="AO24" s="59">
        <f t="shared" si="36"/>
        <v>668.20427590250733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6.7963657522430836</v>
      </c>
      <c r="AW24" s="21">
        <f>EXP(-LN(2)/2)*AW23+(1-EXP(-LN(2)/2))/(LN(2)/2)*AQ24*AT24*VLOOKUP('Données projet'!$B$10,Paramètres!$A$1:$I$89,3,0)*0.475*44/12</f>
        <v>11.546545073422395</v>
      </c>
      <c r="AX24" s="21">
        <f t="shared" si="6"/>
        <v>18.342910825665477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8.25</v>
      </c>
      <c r="BD24" s="12">
        <f>IF('Données projet'!$A$88&gt;35,BD23+BC24-BL23,IF(A24&lt;'Données projet'!$A$88,$BA$205^A24,IF(A24='Données projet'!$A$88,'Données projet'!$B$88,BD23+BC24-BL23)))</f>
        <v>64.25</v>
      </c>
      <c r="BE24" s="13">
        <f>BD24*VLOOKUP('Données projet'!$B$11,Paramètres!$A$1:$I$89,3,0)*VLOOKUP('Données projet'!$B$11,Paramètres!$A$1:$I$89,5,0)</f>
        <v>38.421500000000002</v>
      </c>
      <c r="BF24" s="13">
        <f t="shared" si="37"/>
        <v>11.579289990190409</v>
      </c>
      <c r="BG24" s="20">
        <f t="shared" si="7"/>
        <v>87.08470923291496</v>
      </c>
      <c r="BH24" s="59">
        <f t="shared" si="8"/>
        <v>369.41804256624829</v>
      </c>
      <c r="BI24" s="59">
        <f ca="1">AVERAGE(OFFSET($BH$3,0,0,'Données projet'!$E$11+1,1))-AVERAGE(OFFSET($H$3,0,0,'Données projet'!$E$11+1,1))</f>
        <v>162.86181551380446</v>
      </c>
      <c r="BJ24" s="59">
        <f t="shared" si="38"/>
        <v>184.96823352120742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0.78362664302601637</v>
      </c>
      <c r="BQ24" s="21">
        <f>EXP(-LN(2)/25)*BQ23+(1-EXP(-LN(2)/25))/(LN(2)/25)*Calculateur!BL24*Calculateur!BN24*VLOOKUP('Données projet'!$B$11,Paramètres!$A$1:$I$89,3,0)*0.475*44/12</f>
        <v>0.93933492282860198</v>
      </c>
      <c r="BR24" s="21">
        <f>EXP(-LN(2)/2)*BR23+(1-EXP(-LN(2)/2))/(LN(2)/2)*BL24*BO24*VLOOKUP('Données projet'!$B$11,Paramètres!$A$1:$I$89,3,0)*0.475*44/12</f>
        <v>1.0054049523099005</v>
      </c>
      <c r="BS24" s="22">
        <f t="shared" si="9"/>
        <v>2.7283665181645187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19.166666666666668</v>
      </c>
      <c r="BY24" s="12">
        <f>IF('Données projet'!$A$114&gt;35,BY23+BX24-CG23,IF(A24&lt;'Données projet'!$A$114,$BV$205^A24,IF(A24='Données projet'!$A$114,'Données projet'!$B$114,BY23+BX24-CG23)))</f>
        <v>181.50000000000003</v>
      </c>
      <c r="BZ24" s="13">
        <f>BY24*VLOOKUP('Données projet'!$B$12,Paramètres!$A$1:$I$89,3,0)*VLOOKUP('Données projet'!$B$12,Paramètres!$A$1:$I$89,5,0)</f>
        <v>99.099000000000004</v>
      </c>
      <c r="CA24" s="13">
        <f t="shared" si="39"/>
        <v>26.747233784597075</v>
      </c>
      <c r="CB24" s="20">
        <f t="shared" si="10"/>
        <v>219.18219050817322</v>
      </c>
      <c r="CC24" s="59">
        <f t="shared" si="11"/>
        <v>501.51552384150654</v>
      </c>
      <c r="CD24" s="59">
        <f ca="1">AVERAGE(OFFSET($CC$3,0,0,'Données projet'!$E$12+1,1))-AVERAGE(OFFSET($H$3,0,0,'Données projet'!$E$12+1,1))</f>
        <v>207.02306964567629</v>
      </c>
      <c r="CE24" s="59">
        <f t="shared" si="40"/>
        <v>342.06887933351783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4.8595395672170918</v>
      </c>
      <c r="CM24" s="21">
        <f>EXP(-LN(2)/2)*CM23+(1-EXP(-LN(2)/2))/(LN(2)/2)*CG24*CJ24*VLOOKUP('Données projet'!$B$12,Paramètres!$A$1:$I$89,3,0)*0.475*44/12</f>
        <v>14.297953298634683</v>
      </c>
      <c r="CN24" s="22">
        <f t="shared" si="12"/>
        <v>19.157492865851776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80.400000000000006</v>
      </c>
      <c r="O25" s="13">
        <f>N25*VLOOKUP('Données projet'!$B$9,Paramètres!$A$1:$I$89,3,0)*VLOOKUP('Données projet'!$B$9,Paramètres!$A$1:$I$89,5,0)</f>
        <v>70.237440000000021</v>
      </c>
      <c r="P25" s="13">
        <f t="shared" si="33"/>
        <v>19.732410665998678</v>
      </c>
      <c r="Q25" s="20">
        <f t="shared" si="2"/>
        <v>156.69748990994773</v>
      </c>
      <c r="R25" s="59">
        <f t="shared" si="0"/>
        <v>440.25304546550331</v>
      </c>
      <c r="S25" s="59">
        <f ca="1">AVERAGE(OFFSET($R$3,0,0,'Données projet'!$E$9+1,1))-AVERAGE(OFFSET($H$3,0,0,'Données projet'!$E$9+1,1))</f>
        <v>268.31928207836495</v>
      </c>
      <c r="T25" s="59">
        <f t="shared" si="34"/>
        <v>277.61304526670204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0.66524459537232661</v>
      </c>
      <c r="AB25" s="21">
        <f>EXP(-LN(2)/2)*AB24+(1-EXP(-LN(2)/2))/(LN(2)/2)*V25*Y25*VLOOKUP('Données projet'!$B$9,Paramètres!$A$1:$I$89,3,0)*0.475*44/12</f>
        <v>3.5031267285468859</v>
      </c>
      <c r="AC25" s="22">
        <f t="shared" si="3"/>
        <v>4.1683713239192128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31.8</v>
      </c>
      <c r="AI25" s="13">
        <f>IF('Données projet'!$A$62&gt;35,AI24+AH25-AQ24,IF(A25&lt;'Données projet'!$A$62,$AF$205^A25,IF(A25='Données projet'!$A$62,'Données projet'!$B$62,AI24+AH25-AQ24)))</f>
        <v>323.60000000000002</v>
      </c>
      <c r="AJ25" s="13">
        <f>AI25*VLOOKUP('Données projet'!$B$10,Paramètres!$A$1:$I$89,3,0)*VLOOKUP('Données projet'!$B$10,Paramètres!$A$1:$I$89,5,0)</f>
        <v>180.89240000000001</v>
      </c>
      <c r="AK25" s="13">
        <f t="shared" si="35"/>
        <v>45.520671542487669</v>
      </c>
      <c r="AL25" s="20">
        <f t="shared" si="4"/>
        <v>394.33609960316602</v>
      </c>
      <c r="AM25" s="59">
        <f t="shared" si="5"/>
        <v>677.89165515872151</v>
      </c>
      <c r="AN25" s="59">
        <f ca="1">AVERAGE(OFFSET($AM$3,0,0,'Données projet'!$E$10+1,1))-AVERAGE(OFFSET($H$3,0,0,'Données projet'!$E$10+1,1))</f>
        <v>544.48194192356823</v>
      </c>
      <c r="AO25" s="59">
        <f t="shared" si="36"/>
        <v>668.20427590250733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6.6105187733426547</v>
      </c>
      <c r="AW25" s="21">
        <f>EXP(-LN(2)/2)*AW24+(1-EXP(-LN(2)/2))/(LN(2)/2)*AQ25*AT25*VLOOKUP('Données projet'!$B$10,Paramètres!$A$1:$I$89,3,0)*0.475*44/12</f>
        <v>8.1646403206930991</v>
      </c>
      <c r="AX25" s="21">
        <f t="shared" si="6"/>
        <v>14.775159094035754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8.25</v>
      </c>
      <c r="BD25" s="12">
        <f>IF('Données projet'!$A$88&gt;35,BD24+BC25-BL24,IF(A25&lt;'Données projet'!$A$88,$BA$205^A25,IF(A25='Données projet'!$A$88,'Données projet'!$B$88,BD24+BC25-BL24)))</f>
        <v>72.5</v>
      </c>
      <c r="BE25" s="13">
        <f>BD25*VLOOKUP('Données projet'!$B$11,Paramètres!$A$1:$I$89,3,0)*VLOOKUP('Données projet'!$B$11,Paramètres!$A$1:$I$89,5,0)</f>
        <v>43.355000000000004</v>
      </c>
      <c r="BF25" s="13">
        <f t="shared" si="37"/>
        <v>12.883678938241102</v>
      </c>
      <c r="BG25" s="20">
        <f t="shared" si="7"/>
        <v>97.94903248410327</v>
      </c>
      <c r="BH25" s="59">
        <f t="shared" si="8"/>
        <v>381.50458803965881</v>
      </c>
      <c r="BI25" s="59">
        <f ca="1">AVERAGE(OFFSET($BH$3,0,0,'Données projet'!$E$11+1,1))-AVERAGE(OFFSET($H$3,0,0,'Données projet'!$E$11+1,1))</f>
        <v>162.86181551380446</v>
      </c>
      <c r="BJ25" s="59">
        <f t="shared" si="38"/>
        <v>184.96823352120742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0.76826020252133331</v>
      </c>
      <c r="BQ25" s="21">
        <f>EXP(-LN(2)/25)*BQ24+(1-EXP(-LN(2)/25))/(LN(2)/25)*Calculateur!BL25*Calculateur!BN25*VLOOKUP('Données projet'!$B$11,Paramètres!$A$1:$I$89,3,0)*0.475*44/12</f>
        <v>0.91364875996637718</v>
      </c>
      <c r="BR25" s="21">
        <f>EXP(-LN(2)/2)*BR24+(1-EXP(-LN(2)/2))/(LN(2)/2)*BL25*BO25*VLOOKUP('Données projet'!$B$11,Paramètres!$A$1:$I$89,3,0)*0.475*44/12</f>
        <v>0.71092865961686813</v>
      </c>
      <c r="BS25" s="22">
        <f t="shared" si="9"/>
        <v>2.3928376221045786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19.166666666666668</v>
      </c>
      <c r="BY25" s="12">
        <f>IF('Données projet'!$A$114&gt;35,BY24+BX25-CG24,IF(A25&lt;'Données projet'!$A$114,$BV$205^A25,IF(A25='Données projet'!$A$114,'Données projet'!$B$114,BY24+BX25-CG24)))</f>
        <v>200.66666666666669</v>
      </c>
      <c r="BZ25" s="13">
        <f>BY25*VLOOKUP('Données projet'!$B$12,Paramètres!$A$1:$I$89,3,0)*VLOOKUP('Données projet'!$B$12,Paramètres!$A$1:$I$89,5,0)</f>
        <v>109.56400000000001</v>
      </c>
      <c r="CA25" s="13">
        <f t="shared" si="39"/>
        <v>29.228235839881371</v>
      </c>
      <c r="CB25" s="20">
        <f t="shared" si="10"/>
        <v>241.72981075446003</v>
      </c>
      <c r="CC25" s="59">
        <f t="shared" si="11"/>
        <v>525.28536631001555</v>
      </c>
      <c r="CD25" s="59">
        <f ca="1">AVERAGE(OFFSET($CC$3,0,0,'Données projet'!$E$12+1,1))-AVERAGE(OFFSET($H$3,0,0,'Données projet'!$E$12+1,1))</f>
        <v>207.02306964567629</v>
      </c>
      <c r="CE25" s="59">
        <f t="shared" si="40"/>
        <v>342.06887933351783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4.7266552021994608</v>
      </c>
      <c r="CM25" s="21">
        <f>EXP(-LN(2)/2)*CM24+(1-EXP(-LN(2)/2))/(LN(2)/2)*CG25*CJ25*VLOOKUP('Données projet'!$B$12,Paramètres!$A$1:$I$89,3,0)*0.475*44/12</f>
        <v>10.110179734553151</v>
      </c>
      <c r="CN25" s="22">
        <f t="shared" si="12"/>
        <v>14.836834936752613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89.600000000000009</v>
      </c>
      <c r="O26" s="13">
        <f>N26*VLOOKUP('Données projet'!$B$9,Paramètres!$A$1:$I$89,3,0)*VLOOKUP('Données projet'!$B$9,Paramètres!$A$1:$I$89,5,0)</f>
        <v>78.274560000000022</v>
      </c>
      <c r="P26" s="13">
        <f t="shared" si="33"/>
        <v>21.714771212170209</v>
      </c>
      <c r="Q26" s="20">
        <f t="shared" si="2"/>
        <v>174.14808519452981</v>
      </c>
      <c r="R26" s="59">
        <f t="shared" si="0"/>
        <v>458.92586297230758</v>
      </c>
      <c r="S26" s="59">
        <f ca="1">AVERAGE(OFFSET($R$3,0,0,'Données projet'!$E$9+1,1))-AVERAGE(OFFSET($H$3,0,0,'Données projet'!$E$9+1,1))</f>
        <v>268.31928207836495</v>
      </c>
      <c r="T26" s="59">
        <f t="shared" si="34"/>
        <v>277.61304526670204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0.64705344692817746</v>
      </c>
      <c r="AB26" s="21">
        <f>EXP(-LN(2)/2)*AB25+(1-EXP(-LN(2)/2))/(LN(2)/2)*V26*Y26*VLOOKUP('Données projet'!$B$9,Paramètres!$A$1:$I$89,3,0)*0.475*44/12</f>
        <v>2.4770846651113492</v>
      </c>
      <c r="AC26" s="22">
        <f t="shared" si="3"/>
        <v>3.1241381120395264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31.8</v>
      </c>
      <c r="AI26" s="13">
        <f>IF('Données projet'!$A$62&gt;35,AI25+AH26-AQ25,IF(A26&lt;'Données projet'!$A$62,$AF$205^A26,IF(A26='Données projet'!$A$62,'Données projet'!$B$62,AI25+AH26-AQ25)))</f>
        <v>355.40000000000003</v>
      </c>
      <c r="AJ26" s="13">
        <f>AI26*VLOOKUP('Données projet'!$B$10,Paramètres!$A$1:$I$89,3,0)*VLOOKUP('Données projet'!$B$10,Paramètres!$A$1:$I$89,5,0)</f>
        <v>198.6686</v>
      </c>
      <c r="AK26" s="13">
        <f t="shared" si="35"/>
        <v>49.451452656287465</v>
      </c>
      <c r="AL26" s="20">
        <f t="shared" si="4"/>
        <v>432.14242504303394</v>
      </c>
      <c r="AM26" s="59">
        <f t="shared" si="5"/>
        <v>716.92020282081171</v>
      </c>
      <c r="AN26" s="59">
        <f ca="1">AVERAGE(OFFSET($AM$3,0,0,'Données projet'!$E$10+1,1))-AVERAGE(OFFSET($H$3,0,0,'Données projet'!$E$10+1,1))</f>
        <v>544.48194192356823</v>
      </c>
      <c r="AO26" s="59">
        <f t="shared" si="36"/>
        <v>668.20427590250733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6.4297537898535264</v>
      </c>
      <c r="AW26" s="21">
        <f>EXP(-LN(2)/2)*AW25+(1-EXP(-LN(2)/2))/(LN(2)/2)*AQ26*AT26*VLOOKUP('Données projet'!$B$10,Paramètres!$A$1:$I$89,3,0)*0.475*44/12</f>
        <v>5.7732725367111986</v>
      </c>
      <c r="AX26" s="21">
        <f t="shared" si="6"/>
        <v>12.203026326564725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8.25</v>
      </c>
      <c r="BD26" s="12">
        <f>IF('Données projet'!$A$88&gt;35,BD25+BC26-BL25,IF(A26&lt;'Données projet'!$A$88,$BA$205^A26,IF(A26='Données projet'!$A$88,'Données projet'!$B$88,BD25+BC26-BL25)))</f>
        <v>80.75</v>
      </c>
      <c r="BE26" s="13">
        <f>BD26*VLOOKUP('Données projet'!$B$11,Paramètres!$A$1:$I$89,3,0)*VLOOKUP('Données projet'!$B$11,Paramètres!$A$1:$I$89,5,0)</f>
        <v>48.288500000000006</v>
      </c>
      <c r="BF26" s="13">
        <f t="shared" si="37"/>
        <v>14.170865349972004</v>
      </c>
      <c r="BG26" s="20">
        <f t="shared" si="7"/>
        <v>108.78339465120125</v>
      </c>
      <c r="BH26" s="59">
        <f t="shared" si="8"/>
        <v>393.56117242897903</v>
      </c>
      <c r="BI26" s="59">
        <f ca="1">AVERAGE(OFFSET($BH$3,0,0,'Données projet'!$E$11+1,1))-AVERAGE(OFFSET($H$3,0,0,'Données projet'!$E$11+1,1))</f>
        <v>162.86181551380446</v>
      </c>
      <c r="BJ26" s="59">
        <f t="shared" si="38"/>
        <v>184.96823352120742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0.75319508854234385</v>
      </c>
      <c r="BQ26" s="21">
        <f>EXP(-LN(2)/25)*BQ25+(1-EXP(-LN(2)/25))/(LN(2)/25)*Calculateur!BL26*Calculateur!BN26*VLOOKUP('Données projet'!$B$11,Paramètres!$A$1:$I$89,3,0)*0.475*44/12</f>
        <v>0.88866498657839643</v>
      </c>
      <c r="BR26" s="21">
        <f>EXP(-LN(2)/2)*BR25+(1-EXP(-LN(2)/2))/(LN(2)/2)*BL26*BO26*VLOOKUP('Données projet'!$B$11,Paramètres!$A$1:$I$89,3,0)*0.475*44/12</f>
        <v>0.50270247615495034</v>
      </c>
      <c r="BS26" s="22">
        <f t="shared" si="9"/>
        <v>2.1445625512756905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19.166666666666668</v>
      </c>
      <c r="BY26" s="12">
        <f>IF('Données projet'!$A$114&gt;35,BY25+BX26-CG25,IF(A26&lt;'Données projet'!$A$114,$BV$205^A26,IF(A26='Données projet'!$A$114,'Données projet'!$B$114,BY25+BX26-CG25)))</f>
        <v>219.83333333333334</v>
      </c>
      <c r="BZ26" s="13">
        <f>BY26*VLOOKUP('Données projet'!$B$12,Paramètres!$A$1:$I$89,3,0)*VLOOKUP('Données projet'!$B$12,Paramètres!$A$1:$I$89,5,0)</f>
        <v>120.029</v>
      </c>
      <c r="CA26" s="13">
        <f t="shared" si="39"/>
        <v>31.68176297276506</v>
      </c>
      <c r="CB26" s="20">
        <f t="shared" si="10"/>
        <v>264.22957884423249</v>
      </c>
      <c r="CC26" s="59">
        <f t="shared" si="11"/>
        <v>549.00735662201032</v>
      </c>
      <c r="CD26" s="59">
        <f ca="1">AVERAGE(OFFSET($CC$3,0,0,'Données projet'!$E$12+1,1))-AVERAGE(OFFSET($H$3,0,0,'Données projet'!$E$12+1,1))</f>
        <v>207.02306964567629</v>
      </c>
      <c r="CE26" s="59">
        <f t="shared" si="40"/>
        <v>342.06887933351783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4.5974045671313224</v>
      </c>
      <c r="CM26" s="21">
        <f>EXP(-LN(2)/2)*CM25+(1-EXP(-LN(2)/2))/(LN(2)/2)*CG26*CJ26*VLOOKUP('Données projet'!$B$12,Paramètres!$A$1:$I$89,3,0)*0.475*44/12</f>
        <v>7.1489766493173423</v>
      </c>
      <c r="CN26" s="22">
        <f t="shared" si="12"/>
        <v>11.746381216448665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98.800000000000011</v>
      </c>
      <c r="O27" s="13">
        <f>N27*VLOOKUP('Données projet'!$B$9,Paramètres!$A$1:$I$89,3,0)*VLOOKUP('Données projet'!$B$9,Paramètres!$A$1:$I$89,5,0)</f>
        <v>86.311680000000024</v>
      </c>
      <c r="P27" s="13">
        <f t="shared" si="33"/>
        <v>23.673536308765961</v>
      </c>
      <c r="Q27" s="20">
        <f t="shared" si="2"/>
        <v>191.55758507110076</v>
      </c>
      <c r="R27" s="59">
        <f t="shared" si="0"/>
        <v>477.55758507110079</v>
      </c>
      <c r="S27" s="59">
        <f ca="1">AVERAGE(OFFSET($R$3,0,0,'Données projet'!$E$9+1,1))-AVERAGE(OFFSET($H$3,0,0,'Données projet'!$E$9+1,1))</f>
        <v>268.31928207836495</v>
      </c>
      <c r="T27" s="59">
        <f t="shared" si="34"/>
        <v>277.61304526670204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0.62935973639486453</v>
      </c>
      <c r="AB27" s="21">
        <f>EXP(-LN(2)/2)*AB26+(1-EXP(-LN(2)/2))/(LN(2)/2)*V27*Y27*VLOOKUP('Données projet'!$B$9,Paramètres!$A$1:$I$89,3,0)*0.475*44/12</f>
        <v>1.7515633642734432</v>
      </c>
      <c r="AC27" s="22">
        <f t="shared" si="3"/>
        <v>2.3809231006683076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31.8</v>
      </c>
      <c r="AI27" s="13">
        <f>IF('Données projet'!$A$62&gt;35,AI26+AH27-AQ26,IF(A27&lt;'Données projet'!$A$62,$AF$205^A27,IF(A27='Données projet'!$A$62,'Données projet'!$B$62,AI26+AH27-AQ26)))</f>
        <v>387.20000000000005</v>
      </c>
      <c r="AJ27" s="13">
        <f>AI27*VLOOKUP('Données projet'!$B$10,Paramètres!$A$1:$I$89,3,0)*VLOOKUP('Données projet'!$B$10,Paramètres!$A$1:$I$89,5,0)</f>
        <v>216.44480000000001</v>
      </c>
      <c r="AK27" s="13">
        <f t="shared" si="35"/>
        <v>53.341449419561528</v>
      </c>
      <c r="AL27" s="20">
        <f t="shared" si="4"/>
        <v>469.87771773906974</v>
      </c>
      <c r="AM27" s="59">
        <f t="shared" si="5"/>
        <v>755.87771773906979</v>
      </c>
      <c r="AN27" s="59">
        <f ca="1">AVERAGE(OFFSET($AM$3,0,0,'Données projet'!$E$10+1,1))-AVERAGE(OFFSET($H$3,0,0,'Données projet'!$E$10+1,1))</f>
        <v>544.48194192356823</v>
      </c>
      <c r="AO27" s="59">
        <f t="shared" si="36"/>
        <v>668.20427590250733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6.2539318343439252</v>
      </c>
      <c r="AW27" s="21">
        <f>EXP(-LN(2)/2)*AW26+(1-EXP(-LN(2)/2))/(LN(2)/2)*AQ27*AT27*VLOOKUP('Données projet'!$B$10,Paramètres!$A$1:$I$89,3,0)*0.475*44/12</f>
        <v>4.0823201603465495</v>
      </c>
      <c r="AX27" s="21">
        <f t="shared" si="6"/>
        <v>10.336251994690475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89</v>
      </c>
      <c r="BB27" s="12">
        <f>VLOOKUP(A27,'Données projet'!$A$87:$I$107,9,0)</f>
        <v>8.25</v>
      </c>
      <c r="BC27" s="12">
        <f t="array" ref="BC27">INDEX(BB:BB,MIN(IF(ISNUMBER(BB27:BB223),ROW(BB27:BB223),"")))</f>
        <v>8.25</v>
      </c>
      <c r="BD27" s="12">
        <f>IF('Données projet'!$A$88&gt;35,BD26+BC27-BL26,IF(A27&lt;'Données projet'!$A$88,$BA$205^A27,IF(A27='Données projet'!$A$88,'Données projet'!$B$88,BD26+BC27-BL26)))</f>
        <v>89</v>
      </c>
      <c r="BE27" s="13">
        <f>BD27*VLOOKUP('Données projet'!$B$11,Paramètres!$A$1:$I$89,3,0)*VLOOKUP('Données projet'!$B$11,Paramètres!$A$1:$I$89,5,0)</f>
        <v>53.222000000000008</v>
      </c>
      <c r="BF27" s="13">
        <f t="shared" si="37"/>
        <v>15.442806897867877</v>
      </c>
      <c r="BG27" s="20">
        <f t="shared" si="7"/>
        <v>119.59120534711991</v>
      </c>
      <c r="BH27" s="59">
        <f t="shared" si="8"/>
        <v>405.59120534711991</v>
      </c>
      <c r="BI27" s="59">
        <f ca="1">AVERAGE(OFFSET($BH$3,0,0,'Données projet'!$E$11+1,1))-AVERAGE(OFFSET($H$3,0,0,'Données projet'!$E$11+1,1))</f>
        <v>162.86181551380446</v>
      </c>
      <c r="BJ27" s="59">
        <f t="shared" si="38"/>
        <v>184.96823352120742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12</v>
      </c>
      <c r="BM27" s="16">
        <f>IF(ISNA(VLOOKUP(A27,'Données projet'!$A$87:$I$107,5,0)),0%,VLOOKUP(A27,'Données projet'!$A$87:$I$107,5,0)*VLOOKUP('Données projet'!$B$11,Paramètres!$A$1:$I$89,7,0))</f>
        <v>0.18000000000000002</v>
      </c>
      <c r="BN27" s="16">
        <f>IF(ISNA(VLOOKUP(A27,'Données projet'!$A$87:$I$107,6,0)),0%,VLOOKUP(A27,'Données projet'!$A$87:$I$107,6,0)*VLOOKUP('Données projet'!$B$11,Paramètres!$A$1:$I$89,7,0))</f>
        <v>0.13500000000000001</v>
      </c>
      <c r="BO27" s="16">
        <f>IF(ISNA(VLOOKUP(A27,'Données projet'!$A$87:$I$107,7,0)),0%,VLOOKUP(A27,'Données projet'!$A$87:$I$107,7,0))</f>
        <v>0.3</v>
      </c>
      <c r="BP27" s="21">
        <f>EXP(-LN(2)/35)*BP26+(1-EXP(-LN(2)/35))/(LN(2)/35)*BL27*BM27*VLOOKUP('Données projet'!$B$11,Paramètres!$A$1:$I$89,3,0)*0.475*44/12</f>
        <v>2.4519221680618157</v>
      </c>
      <c r="BQ27" s="21">
        <f>EXP(-LN(2)/25)*BQ26+(1-EXP(-LN(2)/25))/(LN(2)/25)*Calculateur!BL27*Calculateur!BN27*VLOOKUP('Données projet'!$B$11,Paramètres!$A$1:$I$89,3,0)*0.475*44/12</f>
        <v>2.1444269603643158</v>
      </c>
      <c r="BR27" s="21">
        <f>EXP(-LN(2)/2)*BR26+(1-EXP(-LN(2)/2))/(LN(2)/2)*BL27*BO27*VLOOKUP('Données projet'!$B$11,Paramètres!$A$1:$I$89,3,0)*0.475*44/12</f>
        <v>2.7929340199234094</v>
      </c>
      <c r="BS27" s="22">
        <f t="shared" si="9"/>
        <v>7.3892831483495414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239</v>
      </c>
      <c r="BW27" s="12">
        <f>VLOOKUP(A27,'Données projet'!$A$113:$I$133,9,0)</f>
        <v>19.166666666666668</v>
      </c>
      <c r="BX27" s="12">
        <f t="array" ref="BX27">INDEX(BW:BW,MIN(IF(ISNUMBER(BW27:BW223),ROW(BW27:BW223),"")))</f>
        <v>19.166666666666668</v>
      </c>
      <c r="BY27" s="12">
        <f>IF('Données projet'!$A$114&gt;35,BY26+BX27-CG26,IF(A27&lt;'Données projet'!$A$114,$BV$205^A27,IF(A27='Données projet'!$A$114,'Données projet'!$B$114,BY26+BX27-CG26)))</f>
        <v>239</v>
      </c>
      <c r="BZ27" s="13">
        <f>BY27*VLOOKUP('Données projet'!$B$12,Paramètres!$A$1:$I$89,3,0)*VLOOKUP('Données projet'!$B$12,Paramètres!$A$1:$I$89,5,0)</f>
        <v>130.494</v>
      </c>
      <c r="CA27" s="13">
        <f t="shared" si="39"/>
        <v>34.110483018610772</v>
      </c>
      <c r="CB27" s="20">
        <f t="shared" si="10"/>
        <v>286.68614125741374</v>
      </c>
      <c r="CC27" s="59">
        <f t="shared" si="11"/>
        <v>572.68614125741374</v>
      </c>
      <c r="CD27" s="59">
        <f ca="1">AVERAGE(OFFSET($CC$3,0,0,'Données projet'!$E$12+1,1))-AVERAGE(OFFSET($H$3,0,0,'Données projet'!$E$12+1,1))</f>
        <v>207.02306964567629</v>
      </c>
      <c r="CE27" s="59">
        <f t="shared" si="40"/>
        <v>342.06887933351783</v>
      </c>
      <c r="CF27" s="15">
        <f>IF(ISNA(VLOOKUP(A27,'Données projet'!$A$113:$I$133,3,0)),0,VLOOKUP(A27,'Données projet'!$A$113:$I$133,3,0))</f>
        <v>4</v>
      </c>
      <c r="CG27" s="15">
        <f>IF(ISNA(VLOOKUP(A27,'Données projet'!$A$113:$I$133,4,0)),0,VLOOKUP(A27,'Données projet'!$A$113:$I$133,4,0))</f>
        <v>84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0.3</v>
      </c>
      <c r="CJ27" s="16">
        <f>IF(ISNA(VLOOKUP(A27,'Données projet'!$A$113:$I$133,7,0)),0%,VLOOKUP(A27,'Données projet'!$A$113:$I$133,7,0))</f>
        <v>0.5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22.652287040740333</v>
      </c>
      <c r="CM27" s="21">
        <f>EXP(-LN(2)/2)*CM26+(1-EXP(-LN(2)/2))/(LN(2)/2)*CG27*CJ27*VLOOKUP('Données projet'!$B$12,Paramètres!$A$1:$I$89,3,0)*0.475*44/12</f>
        <v>31.019440914153488</v>
      </c>
      <c r="CN27" s="22">
        <f t="shared" si="12"/>
        <v>53.671727954893825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108</v>
      </c>
      <c r="L28" s="12">
        <f>VLOOKUP(A28,'Données projet'!$A$35:$I$55,9,0)</f>
        <v>9.1999999999999993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94.348800000000026</v>
      </c>
      <c r="P28" s="13">
        <f t="shared" si="33"/>
        <v>25.611153022386485</v>
      </c>
      <c r="Q28" s="20">
        <f t="shared" si="2"/>
        <v>208.93025151398982</v>
      </c>
      <c r="R28" s="59">
        <f t="shared" si="0"/>
        <v>496.15247373621207</v>
      </c>
      <c r="S28" s="59">
        <f ca="1">AVERAGE(OFFSET($R$3,0,0,'Données projet'!$E$9+1,1))-AVERAGE(OFFSET($H$3,0,0,'Données projet'!$E$9+1,1))</f>
        <v>268.31928207836495</v>
      </c>
      <c r="T28" s="59">
        <f t="shared" si="34"/>
        <v>277.61304526670204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26</v>
      </c>
      <c r="W28" s="16">
        <f>IF(ISNA(VLOOKUP(A28,'Données projet'!$A$35:$I$55,5,0)),0%,VLOOKUP(A28,'Données projet'!$A$35:$I$55,5,0)*VLOOKUP('Données projet'!$B$9,Paramètres!$A$1:$I$89,7,0))</f>
        <v>4.3000000000000003E-2</v>
      </c>
      <c r="X28" s="16">
        <f>IF(ISNA(VLOOKUP(A28,'Données projet'!$A$35:$I$55,6,0)),0%,VLOOKUP(A28,'Données projet'!$A$35:$I$55,6,0)*VLOOKUP('Données projet'!$B$9,Paramètres!$A$1:$I$89,7,0))</f>
        <v>8.6000000000000007E-2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1.0796961165400638</v>
      </c>
      <c r="AA28" s="21">
        <f>EXP(-LN(2)/25)*AA27+(1-EXP(-LN(2)/25))/(LN(2)/25)*Calculateur!V28*Calculateur!X28*VLOOKUP('Données projet'!$B$9,Paramètres!$A$1:$I$89,3,0)*0.475*44/12</f>
        <v>2.7630397443721009</v>
      </c>
      <c r="AB28" s="21">
        <f>EXP(-LN(2)/2)*AB27+(1-EXP(-LN(2)/2))/(LN(2)/2)*V28*Y28*VLOOKUP('Données projet'!$B$9,Paramètres!$A$1:$I$89,3,0)*0.475*44/12</f>
        <v>9.8108995035880522</v>
      </c>
      <c r="AC28" s="22">
        <f t="shared" si="3"/>
        <v>13.653635364500218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419</v>
      </c>
      <c r="AG28" s="12">
        <f>VLOOKUP(A28,'Données projet'!$A$61:$I$81,9,0)</f>
        <v>31.8</v>
      </c>
      <c r="AH28" s="12">
        <f t="array" ref="AH28">INDEX(AG:AG,MIN(IF(ISNUMBER(AG28:AG224),ROW(AG28:AG224),"")))</f>
        <v>31.8</v>
      </c>
      <c r="AI28" s="13">
        <f>IF('Données projet'!$A$62&gt;35,AI27+AH28-AQ27,IF(A28&lt;'Données projet'!$A$62,$AF$205^A28,IF(A28='Données projet'!$A$62,'Données projet'!$B$62,AI27+AH28-AQ27)))</f>
        <v>419.00000000000006</v>
      </c>
      <c r="AJ28" s="13">
        <f>AI28*VLOOKUP('Données projet'!$B$10,Paramètres!$A$1:$I$89,3,0)*VLOOKUP('Données projet'!$B$10,Paramètres!$A$1:$I$89,5,0)</f>
        <v>234.22100000000003</v>
      </c>
      <c r="AK28" s="13">
        <f t="shared" si="35"/>
        <v>57.194392182630075</v>
      </c>
      <c r="AL28" s="20">
        <f t="shared" si="4"/>
        <v>507.5484747180808</v>
      </c>
      <c r="AM28" s="59">
        <f t="shared" si="5"/>
        <v>794.77069694030297</v>
      </c>
      <c r="AN28" s="59">
        <f ca="1">AVERAGE(OFFSET($AM$3,0,0,'Données projet'!$E$10+1,1))-AVERAGE(OFFSET($H$3,0,0,'Données projet'!$E$10+1,1))</f>
        <v>544.48194192356823</v>
      </c>
      <c r="AO28" s="59">
        <f t="shared" si="36"/>
        <v>668.20427590250733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60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0.22000000000000003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15.832830670932236</v>
      </c>
      <c r="AW28" s="21">
        <f>EXP(-LN(2)/2)*AW27+(1-EXP(-LN(2)/2))/(LN(2)/2)*AQ28*AT28*VLOOKUP('Données projet'!$B$10,Paramètres!$A$1:$I$89,3,0)*0.475*44/12</f>
        <v>25.671679023778196</v>
      </c>
      <c r="AX28" s="21">
        <f t="shared" si="6"/>
        <v>41.504509694710435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7.75</v>
      </c>
      <c r="BD28" s="12">
        <f>IF('Données projet'!$A$88&gt;35,BD27+BC28-BL27,IF(A28&lt;'Données projet'!$A$88,$BA$205^A28,IF(A28='Données projet'!$A$88,'Données projet'!$B$88,BD27+BC28-BL27)))</f>
        <v>84.75</v>
      </c>
      <c r="BE28" s="13">
        <f>BD28*VLOOKUP('Données projet'!$B$11,Paramètres!$A$1:$I$89,3,0)*VLOOKUP('Données projet'!$B$11,Paramètres!$A$1:$I$89,5,0)</f>
        <v>50.680500000000002</v>
      </c>
      <c r="BF28" s="13">
        <f t="shared" si="37"/>
        <v>14.789363250301948</v>
      </c>
      <c r="BG28" s="20">
        <f t="shared" si="7"/>
        <v>114.02667849427588</v>
      </c>
      <c r="BH28" s="59">
        <f t="shared" si="8"/>
        <v>401.2489007164981</v>
      </c>
      <c r="BI28" s="59">
        <f ca="1">AVERAGE(OFFSET($BH$3,0,0,'Données projet'!$E$11+1,1))-AVERAGE(OFFSET($H$3,0,0,'Données projet'!$E$11+1,1))</f>
        <v>162.86181551380446</v>
      </c>
      <c r="BJ28" s="59">
        <f t="shared" si="38"/>
        <v>184.96823352120742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2.4038414698709754</v>
      </c>
      <c r="BQ28" s="21">
        <f>EXP(-LN(2)/25)*BQ27+(1-EXP(-LN(2)/25))/(LN(2)/25)*Calculateur!BL28*Calculateur!BN28*VLOOKUP('Données projet'!$B$11,Paramètres!$A$1:$I$89,3,0)*0.475*44/12</f>
        <v>2.0857874923626407</v>
      </c>
      <c r="BR28" s="21">
        <f>EXP(-LN(2)/2)*BR27+(1-EXP(-LN(2)/2))/(LN(2)/2)*BL28*BO28*VLOOKUP('Données projet'!$B$11,Paramètres!$A$1:$I$89,3,0)*0.475*44/12</f>
        <v>1.974902584894447</v>
      </c>
      <c r="BS28" s="22">
        <f t="shared" si="9"/>
        <v>6.4645315471280629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16.666666666666668</v>
      </c>
      <c r="BY28" s="12">
        <f>IF('Données projet'!$A$114&gt;35,BY27+BX28-CG27,IF(A28&lt;'Données projet'!$A$114,$BV$205^A28,IF(A28='Données projet'!$A$114,'Données projet'!$B$114,BY27+BX28-CG27)))</f>
        <v>171.66666666666666</v>
      </c>
      <c r="BZ28" s="13">
        <f>BY28*VLOOKUP('Données projet'!$B$12,Paramètres!$A$1:$I$89,3,0)*VLOOKUP('Données projet'!$B$12,Paramètres!$A$1:$I$89,5,0)</f>
        <v>93.72999999999999</v>
      </c>
      <c r="CA28" s="13">
        <f t="shared" si="39"/>
        <v>25.462674063925309</v>
      </c>
      <c r="CB28" s="20">
        <f t="shared" si="10"/>
        <v>207.59390732800321</v>
      </c>
      <c r="CC28" s="59">
        <f t="shared" si="11"/>
        <v>494.81612955022547</v>
      </c>
      <c r="CD28" s="59">
        <f ca="1">AVERAGE(OFFSET($CC$3,0,0,'Données projet'!$E$12+1,1))-AVERAGE(OFFSET($H$3,0,0,'Données projet'!$E$12+1,1))</f>
        <v>207.02306964567629</v>
      </c>
      <c r="CE28" s="59">
        <f t="shared" si="40"/>
        <v>342.06887933351783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22.032859060379288</v>
      </c>
      <c r="CM28" s="21">
        <f>EXP(-LN(2)/2)*CM27+(1-EXP(-LN(2)/2))/(LN(2)/2)*CG28*CJ28*VLOOKUP('Données projet'!$B$12,Paramètres!$A$1:$I$89,3,0)*0.475*44/12</f>
        <v>21.934057019013373</v>
      </c>
      <c r="CN28" s="22">
        <f t="shared" si="12"/>
        <v>43.966916079392661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8.6</v>
      </c>
      <c r="N29" s="13">
        <f>IF('Données projet'!$A$36&gt;35,N28+M29-V28,IF(A29&lt;'Données projet'!$A$36,$K$205^A29,IF(A29='Données projet'!$A$36,'Données projet'!$B$36,N28+M29-V28)))</f>
        <v>90.600000000000009</v>
      </c>
      <c r="O29" s="13">
        <f>N29*VLOOKUP('Données projet'!$B$9,Paramètres!$A$1:$I$89,3,0)*VLOOKUP('Données projet'!$B$9,Paramètres!$A$1:$I$89,5,0)</f>
        <v>79.148160000000018</v>
      </c>
      <c r="P29" s="13">
        <f t="shared" si="33"/>
        <v>21.928775232328398</v>
      </c>
      <c r="Q29" s="20">
        <f t="shared" si="2"/>
        <v>176.042328862972</v>
      </c>
      <c r="R29" s="59">
        <f t="shared" si="0"/>
        <v>464.48677330741646</v>
      </c>
      <c r="S29" s="59">
        <f ca="1">AVERAGE(OFFSET($R$3,0,0,'Données projet'!$E$9+1,1))-AVERAGE(OFFSET($H$3,0,0,'Données projet'!$E$9+1,1))</f>
        <v>268.31928207836495</v>
      </c>
      <c r="T29" s="59">
        <f t="shared" si="34"/>
        <v>277.61304526670204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1.0585239342443178</v>
      </c>
      <c r="AA29" s="21">
        <f>EXP(-LN(2)/25)*AA28+(1-EXP(-LN(2)/25))/(LN(2)/25)*Calculateur!V29*Calculateur!X29*VLOOKUP('Données projet'!$B$9,Paramètres!$A$1:$I$89,3,0)*0.475*44/12</f>
        <v>2.6874842772603005</v>
      </c>
      <c r="AB29" s="21">
        <f>EXP(-LN(2)/2)*AB28+(1-EXP(-LN(2)/2))/(LN(2)/2)*V29*Y29*VLOOKUP('Données projet'!$B$9,Paramètres!$A$1:$I$89,3,0)*0.475*44/12</f>
        <v>6.937353568526845</v>
      </c>
      <c r="AC29" s="22">
        <f t="shared" si="3"/>
        <v>10.683361780031463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33</v>
      </c>
      <c r="AI29" s="13">
        <f>IF('Données projet'!$A$62&gt;35,AI28+AH29-AQ28,IF(A29&lt;'Données projet'!$A$62,$AF$205^A29,IF(A29='Données projet'!$A$62,'Données projet'!$B$62,AI28+AH29-AQ28)))</f>
        <v>392.00000000000006</v>
      </c>
      <c r="AJ29" s="13">
        <f>AI29*VLOOKUP('Données projet'!$B$10,Paramètres!$A$1:$I$89,3,0)*VLOOKUP('Données projet'!$B$10,Paramètres!$A$1:$I$89,5,0)</f>
        <v>219.12800000000004</v>
      </c>
      <c r="AK29" s="13">
        <f t="shared" si="35"/>
        <v>53.925317044064428</v>
      </c>
      <c r="AL29" s="20">
        <f t="shared" si="4"/>
        <v>475.56786051841215</v>
      </c>
      <c r="AM29" s="59">
        <f t="shared" si="5"/>
        <v>764.01230496285666</v>
      </c>
      <c r="AN29" s="59">
        <f ca="1">AVERAGE(OFFSET($AM$3,0,0,'Données projet'!$E$10+1,1))-AVERAGE(OFFSET($H$3,0,0,'Données projet'!$E$10+1,1))</f>
        <v>544.48194192356823</v>
      </c>
      <c r="AO29" s="59">
        <f t="shared" si="36"/>
        <v>668.20427590250733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15.399881083623216</v>
      </c>
      <c r="AW29" s="21">
        <f>EXP(-LN(2)/2)*AW28+(1-EXP(-LN(2)/2))/(LN(2)/2)*AQ29*AT29*VLOOKUP('Données projet'!$B$10,Paramètres!$A$1:$I$89,3,0)*0.475*44/12</f>
        <v>18.152618322158013</v>
      </c>
      <c r="AX29" s="21">
        <f t="shared" si="6"/>
        <v>33.552499405781226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7.75</v>
      </c>
      <c r="BD29" s="12">
        <f>IF('Données projet'!$A$88&gt;35,BD28+BC29-BL28,IF(A29&lt;'Données projet'!$A$88,$BA$205^A29,IF(A29='Données projet'!$A$88,'Données projet'!$B$88,BD28+BC29-BL28)))</f>
        <v>92.5</v>
      </c>
      <c r="BE29" s="13">
        <f>BD29*VLOOKUP('Données projet'!$B$11,Paramètres!$A$1:$I$89,3,0)*VLOOKUP('Données projet'!$B$11,Paramètres!$A$1:$I$89,5,0)</f>
        <v>55.315000000000005</v>
      </c>
      <c r="BF29" s="13">
        <f t="shared" si="37"/>
        <v>15.978207841877614</v>
      </c>
      <c r="BG29" s="20">
        <f t="shared" si="7"/>
        <v>124.16900365793684</v>
      </c>
      <c r="BH29" s="59">
        <f t="shared" si="8"/>
        <v>412.61344810238131</v>
      </c>
      <c r="BI29" s="59">
        <f ca="1">AVERAGE(OFFSET($BH$3,0,0,'Données projet'!$E$11+1,1))-AVERAGE(OFFSET($H$3,0,0,'Données projet'!$E$11+1,1))</f>
        <v>162.86181551380446</v>
      </c>
      <c r="BJ29" s="59">
        <f t="shared" si="38"/>
        <v>184.96823352120742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2.3567036048453271</v>
      </c>
      <c r="BQ29" s="21">
        <f>EXP(-LN(2)/25)*BQ28+(1-EXP(-LN(2)/25))/(LN(2)/25)*Calculateur!BL29*Calculateur!BN29*VLOOKUP('Données projet'!$B$11,Paramètres!$A$1:$I$89,3,0)*0.475*44/12</f>
        <v>2.0287515236971871</v>
      </c>
      <c r="BR29" s="21">
        <f>EXP(-LN(2)/2)*BR28+(1-EXP(-LN(2)/2))/(LN(2)/2)*BL29*BO29*VLOOKUP('Données projet'!$B$11,Paramètres!$A$1:$I$89,3,0)*0.475*44/12</f>
        <v>1.3964670099617049</v>
      </c>
      <c r="BS29" s="22">
        <f t="shared" si="9"/>
        <v>5.7819221385042185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16.666666666666668</v>
      </c>
      <c r="BY29" s="12">
        <f>IF('Données projet'!$A$114&gt;35,BY28+BX29-CG28,IF(A29&lt;'Données projet'!$A$114,$BV$205^A29,IF(A29='Données projet'!$A$114,'Données projet'!$B$114,BY28+BX29-CG28)))</f>
        <v>188.33333333333331</v>
      </c>
      <c r="BZ29" s="13">
        <f>BY29*VLOOKUP('Données projet'!$B$12,Paramètres!$A$1:$I$89,3,0)*VLOOKUP('Données projet'!$B$12,Paramètres!$A$1:$I$89,5,0)</f>
        <v>102.83</v>
      </c>
      <c r="CA29" s="13">
        <f t="shared" si="39"/>
        <v>27.635107084401234</v>
      </c>
      <c r="CB29" s="20">
        <f t="shared" si="10"/>
        <v>227.22672817199881</v>
      </c>
      <c r="CC29" s="59">
        <f t="shared" si="11"/>
        <v>515.6711726164433</v>
      </c>
      <c r="CD29" s="59">
        <f ca="1">AVERAGE(OFFSET($CC$3,0,0,'Données projet'!$E$12+1,1))-AVERAGE(OFFSET($H$3,0,0,'Données projet'!$E$12+1,1))</f>
        <v>207.02306964567629</v>
      </c>
      <c r="CE29" s="59">
        <f t="shared" si="40"/>
        <v>342.06887933351783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21.430369370715514</v>
      </c>
      <c r="CM29" s="21">
        <f>EXP(-LN(2)/2)*CM28+(1-EXP(-LN(2)/2))/(LN(2)/2)*CG29*CJ29*VLOOKUP('Données projet'!$B$12,Paramètres!$A$1:$I$89,3,0)*0.475*44/12</f>
        <v>15.509720457076748</v>
      </c>
      <c r="CN29" s="22">
        <f t="shared" si="12"/>
        <v>36.940089827792264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8.6</v>
      </c>
      <c r="N30" s="13">
        <f>IF('Données projet'!$A$36&gt;35,N29+M30-V29,IF(A30&lt;'Données projet'!$A$36,$K$205^A30,IF(A30='Données projet'!$A$36,'Données projet'!$B$36,N29+M30-V29)))</f>
        <v>99.2</v>
      </c>
      <c r="O30" s="13">
        <f>N30*VLOOKUP('Données projet'!$B$9,Paramètres!$A$1:$I$89,3,0)*VLOOKUP('Données projet'!$B$9,Paramètres!$A$1:$I$89,5,0)</f>
        <v>86.661120000000011</v>
      </c>
      <c r="P30" s="13">
        <f t="shared" si="33"/>
        <v>23.75820438670381</v>
      </c>
      <c r="Q30" s="20">
        <f t="shared" si="2"/>
        <v>192.31365664017582</v>
      </c>
      <c r="R30" s="59">
        <f t="shared" si="0"/>
        <v>481.98032330684248</v>
      </c>
      <c r="S30" s="59">
        <f ca="1">AVERAGE(OFFSET($R$3,0,0,'Données projet'!$E$9+1,1))-AVERAGE(OFFSET($H$3,0,0,'Données projet'!$E$9+1,1))</f>
        <v>268.31928207836495</v>
      </c>
      <c r="T30" s="59">
        <f t="shared" si="34"/>
        <v>277.61304526670204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1.0377669255296353</v>
      </c>
      <c r="AA30" s="21">
        <f>EXP(-LN(2)/25)*AA29+(1-EXP(-LN(2)/25))/(LN(2)/25)*Calculateur!V30*Calculateur!X30*VLOOKUP('Données projet'!$B$9,Paramètres!$A$1:$I$89,3,0)*0.475*44/12</f>
        <v>2.6139948783699616</v>
      </c>
      <c r="AB30" s="21">
        <f>EXP(-LN(2)/2)*AB29+(1-EXP(-LN(2)/2))/(LN(2)/2)*V30*Y30*VLOOKUP('Données projet'!$B$9,Paramètres!$A$1:$I$89,3,0)*0.475*44/12</f>
        <v>4.905449751794027</v>
      </c>
      <c r="AC30" s="22">
        <f t="shared" si="3"/>
        <v>8.5572115556936232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33</v>
      </c>
      <c r="AI30" s="13">
        <f>IF('Données projet'!$A$62&gt;35,AI29+AH30-AQ29,IF(A30&lt;'Données projet'!$A$62,$AF$205^A30,IF(A30='Données projet'!$A$62,'Données projet'!$B$62,AI29+AH30-AQ29)))</f>
        <v>425.00000000000006</v>
      </c>
      <c r="AJ30" s="13">
        <f>AI30*VLOOKUP('Données projet'!$B$10,Paramètres!$A$1:$I$89,3,0)*VLOOKUP('Données projet'!$B$10,Paramètres!$A$1:$I$89,5,0)</f>
        <v>237.57500000000005</v>
      </c>
      <c r="AK30" s="13">
        <f t="shared" si="35"/>
        <v>57.917471937261212</v>
      </c>
      <c r="AL30" s="20">
        <f t="shared" si="4"/>
        <v>514.64938862406336</v>
      </c>
      <c r="AM30" s="59">
        <f t="shared" si="5"/>
        <v>804.31605529072999</v>
      </c>
      <c r="AN30" s="59">
        <f ca="1">AVERAGE(OFFSET($AM$3,0,0,'Données projet'!$E$10+1,1))-AVERAGE(OFFSET($H$3,0,0,'Données projet'!$E$10+1,1))</f>
        <v>544.48194192356823</v>
      </c>
      <c r="AO30" s="59">
        <f t="shared" si="36"/>
        <v>668.20427590250733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14.97877052554699</v>
      </c>
      <c r="AW30" s="21">
        <f>EXP(-LN(2)/2)*AW29+(1-EXP(-LN(2)/2))/(LN(2)/2)*AQ30*AT30*VLOOKUP('Données projet'!$B$10,Paramètres!$A$1:$I$89,3,0)*0.475*44/12</f>
        <v>12.8358395118891</v>
      </c>
      <c r="AX30" s="21">
        <f t="shared" si="6"/>
        <v>27.81461003743609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7.75</v>
      </c>
      <c r="BD30" s="12">
        <f>IF('Données projet'!$A$88&gt;35,BD29+BC30-BL29,IF(A30&lt;'Données projet'!$A$88,$BA$205^A30,IF(A30='Données projet'!$A$88,'Données projet'!$B$88,BD29+BC30-BL29)))</f>
        <v>100.25</v>
      </c>
      <c r="BE30" s="13">
        <f>BD30*VLOOKUP('Données projet'!$B$11,Paramètres!$A$1:$I$89,3,0)*VLOOKUP('Données projet'!$B$11,Paramètres!$A$1:$I$89,5,0)</f>
        <v>59.949500000000008</v>
      </c>
      <c r="BF30" s="13">
        <f t="shared" si="37"/>
        <v>17.155500402424575</v>
      </c>
      <c r="BG30" s="20">
        <f t="shared" si="7"/>
        <v>134.29120903422282</v>
      </c>
      <c r="BH30" s="59">
        <f t="shared" si="8"/>
        <v>423.95787570088953</v>
      </c>
      <c r="BI30" s="59">
        <f ca="1">AVERAGE(OFFSET($BH$3,0,0,'Données projet'!$E$11+1,1))-AVERAGE(OFFSET($H$3,0,0,'Données projet'!$E$11+1,1))</f>
        <v>162.86181551380446</v>
      </c>
      <c r="BJ30" s="59">
        <f t="shared" si="38"/>
        <v>184.96823352120742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2.310490084601573</v>
      </c>
      <c r="BQ30" s="21">
        <f>EXP(-LN(2)/25)*BQ29+(1-EXP(-LN(2)/25))/(LN(2)/25)*Calculateur!BL30*Calculateur!BN30*VLOOKUP('Données projet'!$B$11,Paramètres!$A$1:$I$89,3,0)*0.475*44/12</f>
        <v>1.9732752065942818</v>
      </c>
      <c r="BR30" s="21">
        <f>EXP(-LN(2)/2)*BR29+(1-EXP(-LN(2)/2))/(LN(2)/2)*BL30*BO30*VLOOKUP('Données projet'!$B$11,Paramètres!$A$1:$I$89,3,0)*0.475*44/12</f>
        <v>0.98745129244722363</v>
      </c>
      <c r="BS30" s="22">
        <f t="shared" si="9"/>
        <v>5.2712165836430787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16.666666666666668</v>
      </c>
      <c r="BY30" s="12">
        <f>IF('Données projet'!$A$114&gt;35,BY29+BX30-CG29,IF(A30&lt;'Données projet'!$A$114,$BV$205^A30,IF(A30='Données projet'!$A$114,'Données projet'!$B$114,BY29+BX30-CG29)))</f>
        <v>204.99999999999997</v>
      </c>
      <c r="BZ30" s="13">
        <f>BY30*VLOOKUP('Données projet'!$B$12,Paramètres!$A$1:$I$89,3,0)*VLOOKUP('Données projet'!$B$12,Paramètres!$A$1:$I$89,5,0)</f>
        <v>111.92999999999998</v>
      </c>
      <c r="CA30" s="13">
        <f t="shared" si="39"/>
        <v>29.785246291563833</v>
      </c>
      <c r="CB30" s="20">
        <f t="shared" si="10"/>
        <v>246.82072062447358</v>
      </c>
      <c r="CC30" s="59">
        <f t="shared" si="11"/>
        <v>536.48738729114029</v>
      </c>
      <c r="CD30" s="59">
        <f ca="1">AVERAGE(OFFSET($CC$3,0,0,'Données projet'!$E$12+1,1))-AVERAGE(OFFSET($H$3,0,0,'Données projet'!$E$12+1,1))</f>
        <v>207.02306964567629</v>
      </c>
      <c r="CE30" s="59">
        <f t="shared" si="40"/>
        <v>342.06887933351783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20.844354793299154</v>
      </c>
      <c r="CM30" s="21">
        <f>EXP(-LN(2)/2)*CM29+(1-EXP(-LN(2)/2))/(LN(2)/2)*CG30*CJ30*VLOOKUP('Données projet'!$B$12,Paramètres!$A$1:$I$89,3,0)*0.475*44/12</f>
        <v>10.967028509506688</v>
      </c>
      <c r="CN30" s="22">
        <f t="shared" si="12"/>
        <v>31.811383302805844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8.6</v>
      </c>
      <c r="N31" s="13">
        <f>IF('Données projet'!$A$36&gt;35,N30+M31-V30,IF(A31&lt;'Données projet'!$A$36,$K$205^A31,IF(A31='Données projet'!$A$36,'Données projet'!$B$36,N30+M31-V30)))</f>
        <v>107.8</v>
      </c>
      <c r="O31" s="13">
        <f>N31*VLOOKUP('Données projet'!$B$9,Paramètres!$A$1:$I$89,3,0)*VLOOKUP('Données projet'!$B$9,Paramètres!$A$1:$I$89,5,0)</f>
        <v>94.174080000000004</v>
      </c>
      <c r="P31" s="13">
        <f t="shared" si="33"/>
        <v>25.569241067746205</v>
      </c>
      <c r="Q31" s="20">
        <f t="shared" si="2"/>
        <v>208.55295085965795</v>
      </c>
      <c r="R31" s="59">
        <f t="shared" si="0"/>
        <v>499.44183974854684</v>
      </c>
      <c r="S31" s="59">
        <f ca="1">AVERAGE(OFFSET($R$3,0,0,'Données projet'!$E$9+1,1))-AVERAGE(OFFSET($H$3,0,0,'Données projet'!$E$9+1,1))</f>
        <v>268.31928207836495</v>
      </c>
      <c r="T31" s="59">
        <f t="shared" si="34"/>
        <v>277.61304526670204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1.0174169490953227</v>
      </c>
      <c r="AA31" s="21">
        <f>EXP(-LN(2)/25)*AA30+(1-EXP(-LN(2)/25))/(LN(2)/25)*Calculateur!V31*Calculateur!X31*VLOOKUP('Données projet'!$B$9,Paramètres!$A$1:$I$89,3,0)*0.475*44/12</f>
        <v>2.5425150509569185</v>
      </c>
      <c r="AB31" s="21">
        <f>EXP(-LN(2)/2)*AB30+(1-EXP(-LN(2)/2))/(LN(2)/2)*V31*Y31*VLOOKUP('Données projet'!$B$9,Paramètres!$A$1:$I$89,3,0)*0.475*44/12</f>
        <v>3.468676784263423</v>
      </c>
      <c r="AC31" s="22">
        <f t="shared" si="3"/>
        <v>7.0286087843156642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33</v>
      </c>
      <c r="AI31" s="13">
        <f>IF('Données projet'!$A$62&gt;35,AI30+AH31-AQ30,IF(A31&lt;'Données projet'!$A$62,$AF$205^A31,IF(A31='Données projet'!$A$62,'Données projet'!$B$62,AI30+AH31-AQ30)))</f>
        <v>458.00000000000006</v>
      </c>
      <c r="AJ31" s="13">
        <f>AI31*VLOOKUP('Données projet'!$B$10,Paramètres!$A$1:$I$89,3,0)*VLOOKUP('Données projet'!$B$10,Paramètres!$A$1:$I$89,5,0)</f>
        <v>256.02200000000005</v>
      </c>
      <c r="AK31" s="13">
        <f t="shared" si="35"/>
        <v>61.87366971205131</v>
      </c>
      <c r="AL31" s="20">
        <f t="shared" si="4"/>
        <v>553.66829141515609</v>
      </c>
      <c r="AM31" s="59">
        <f t="shared" si="5"/>
        <v>844.557180304045</v>
      </c>
      <c r="AN31" s="59">
        <f ca="1">AVERAGE(OFFSET($AM$3,0,0,'Données projet'!$E$10+1,1))-AVERAGE(OFFSET($H$3,0,0,'Données projet'!$E$10+1,1))</f>
        <v>544.48194192356823</v>
      </c>
      <c r="AO31" s="59">
        <f t="shared" si="36"/>
        <v>668.20427590250733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14.569175257826601</v>
      </c>
      <c r="AW31" s="21">
        <f>EXP(-LN(2)/2)*AW30+(1-EXP(-LN(2)/2))/(LN(2)/2)*AQ31*AT31*VLOOKUP('Données projet'!$B$10,Paramètres!$A$1:$I$89,3,0)*0.475*44/12</f>
        <v>9.0763091610790081</v>
      </c>
      <c r="AX31" s="21">
        <f t="shared" si="6"/>
        <v>23.64548441890561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108</v>
      </c>
      <c r="BB31" s="12">
        <f>VLOOKUP(A31,'Données projet'!$A$87:$I$107,9,0)</f>
        <v>7.75</v>
      </c>
      <c r="BC31" s="12">
        <f t="array" ref="BC31">INDEX(BB:BB,MIN(IF(ISNUMBER(BB31:BB227),ROW(BB31:BB227),"")))</f>
        <v>7.75</v>
      </c>
      <c r="BD31" s="12">
        <f>IF('Données projet'!$A$88&gt;35,BD30+BC31-BL30,IF(A31&lt;'Données projet'!$A$88,$BA$205^A31,IF(A31='Données projet'!$A$88,'Données projet'!$B$88,BD30+BC31-BL30)))</f>
        <v>108</v>
      </c>
      <c r="BE31" s="13">
        <f>BD31*VLOOKUP('Données projet'!$B$11,Paramètres!$A$1:$I$89,3,0)*VLOOKUP('Données projet'!$B$11,Paramètres!$A$1:$I$89,5,0)</f>
        <v>64.584000000000003</v>
      </c>
      <c r="BF31" s="13">
        <f t="shared" si="37"/>
        <v>18.322235519392734</v>
      </c>
      <c r="BG31" s="20">
        <f t="shared" si="7"/>
        <v>144.39502686294233</v>
      </c>
      <c r="BH31" s="59">
        <f t="shared" si="8"/>
        <v>435.28391575183116</v>
      </c>
      <c r="BI31" s="59">
        <f ca="1">AVERAGE(OFFSET($BH$3,0,0,'Données projet'!$E$11+1,1))-AVERAGE(OFFSET($H$3,0,0,'Données projet'!$E$11+1,1))</f>
        <v>162.86181551380446</v>
      </c>
      <c r="BJ31" s="59">
        <f t="shared" si="38"/>
        <v>184.96823352120742</v>
      </c>
      <c r="BK31" s="15">
        <f>IF(ISNA(VLOOKUP(A31,'Données projet'!$A$87:$I$107,3,0)),0,VLOOKUP(A31,'Données projet'!$A$87:$I$107,3,0))</f>
        <v>4</v>
      </c>
      <c r="BL31" s="15">
        <f>IF(ISNA(VLOOKUP(A31,'Données projet'!$A$87:$I$107,4,0)),0,VLOOKUP(A31,'Données projet'!$A$87:$I$107,4,0))</f>
        <v>13</v>
      </c>
      <c r="BM31" s="16">
        <f>IF(ISNA(VLOOKUP(A31,'Données projet'!$A$87:$I$107,5,0)),0%,VLOOKUP(A31,'Données projet'!$A$87:$I$107,5,0)*VLOOKUP('Données projet'!$B$11,Paramètres!$A$1:$I$89,7,0))</f>
        <v>0.18000000000000002</v>
      </c>
      <c r="BN31" s="16">
        <f>IF(ISNA(VLOOKUP(A31,'Données projet'!$A$87:$I$107,6,0)),0%,VLOOKUP(A31,'Données projet'!$A$87:$I$107,6,0)*VLOOKUP('Données projet'!$B$11,Paramètres!$A$1:$I$89,7,0))</f>
        <v>0.13500000000000001</v>
      </c>
      <c r="BO31" s="16">
        <f>IF(ISNA(VLOOKUP(A31,'Données projet'!$A$87:$I$107,7,0)),0%,VLOOKUP(A31,'Données projet'!$A$87:$I$107,7,0))</f>
        <v>0.3</v>
      </c>
      <c r="BP31" s="21">
        <f>EXP(-LN(2)/35)*BP30+(1-EXP(-LN(2)/35))/(LN(2)/35)*BL31*BM31*VLOOKUP('Données projet'!$B$11,Paramètres!$A$1:$I$89,3,0)*0.475*44/12</f>
        <v>4.1214709570879924</v>
      </c>
      <c r="BQ31" s="21">
        <f>EXP(-LN(2)/25)*BQ30+(1-EXP(-LN(2)/25))/(LN(2)/25)*Calculateur!BL31*Calculateur!BN31*VLOOKUP('Données projet'!$B$11,Paramètres!$A$1:$I$89,3,0)*0.475*44/12</f>
        <v>3.3060503372580916</v>
      </c>
      <c r="BR31" s="21">
        <f>EXP(-LN(2)/2)*BR30+(1-EXP(-LN(2)/2))/(LN(2)/2)*BL31*BO31*VLOOKUP('Données projet'!$B$11,Paramètres!$A$1:$I$89,3,0)*0.475*44/12</f>
        <v>3.3388256692720759</v>
      </c>
      <c r="BS31" s="22">
        <f t="shared" si="9"/>
        <v>10.76634696361816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16.666666666666668</v>
      </c>
      <c r="BY31" s="12">
        <f>IF('Données projet'!$A$114&gt;35,BY30+BX31-CG30,IF(A31&lt;'Données projet'!$A$114,$BV$205^A31,IF(A31='Données projet'!$A$114,'Données projet'!$B$114,BY30+BX31-CG30)))</f>
        <v>221.66666666666663</v>
      </c>
      <c r="BZ31" s="13">
        <f>BY31*VLOOKUP('Données projet'!$B$12,Paramètres!$A$1:$I$89,3,0)*VLOOKUP('Données projet'!$B$12,Paramètres!$A$1:$I$89,5,0)</f>
        <v>121.02999999999997</v>
      </c>
      <c r="CA31" s="13">
        <f t="shared" si="39"/>
        <v>31.915110254002617</v>
      </c>
      <c r="CB31" s="20">
        <f t="shared" si="10"/>
        <v>266.3794003590545</v>
      </c>
      <c r="CC31" s="59">
        <f t="shared" si="11"/>
        <v>557.26828924794336</v>
      </c>
      <c r="CD31" s="59">
        <f ca="1">AVERAGE(OFFSET($CC$3,0,0,'Données projet'!$E$12+1,1))-AVERAGE(OFFSET($H$3,0,0,'Données projet'!$E$12+1,1))</f>
        <v>207.02306964567629</v>
      </c>
      <c r="CE31" s="59">
        <f t="shared" si="40"/>
        <v>342.06887933351783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20.274364815319409</v>
      </c>
      <c r="CM31" s="21">
        <f>EXP(-LN(2)/2)*CM30+(1-EXP(-LN(2)/2))/(LN(2)/2)*CG31*CJ31*VLOOKUP('Données projet'!$B$12,Paramètres!$A$1:$I$89,3,0)*0.475*44/12</f>
        <v>7.7548602285383748</v>
      </c>
      <c r="CN31" s="22">
        <f t="shared" si="12"/>
        <v>28.029225043857785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8.6</v>
      </c>
      <c r="N32" s="13">
        <f>IF('Données projet'!$A$36&gt;35,N31+M32-V31,IF(A32&lt;'Données projet'!$A$36,$K$205^A32,IF(A32='Données projet'!$A$36,'Données projet'!$B$36,N31+M32-V31)))</f>
        <v>116.39999999999999</v>
      </c>
      <c r="O32" s="13">
        <f>N32*VLOOKUP('Données projet'!$B$9,Paramètres!$A$1:$I$89,3,0)*VLOOKUP('Données projet'!$B$9,Paramètres!$A$1:$I$89,5,0)</f>
        <v>101.68704</v>
      </c>
      <c r="P32" s="13">
        <f t="shared" si="33"/>
        <v>27.363519398004541</v>
      </c>
      <c r="Q32" s="20">
        <f t="shared" si="2"/>
        <v>224.76305761819125</v>
      </c>
      <c r="R32" s="59">
        <f t="shared" si="0"/>
        <v>516.87416872930237</v>
      </c>
      <c r="S32" s="59">
        <f ca="1">AVERAGE(OFFSET($R$3,0,0,'Données projet'!$E$9+1,1))-AVERAGE(OFFSET($H$3,0,0,'Données projet'!$E$9+1,1))</f>
        <v>268.31928207836495</v>
      </c>
      <c r="T32" s="59">
        <f t="shared" si="34"/>
        <v>277.61304526670204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0.99746602328662681</v>
      </c>
      <c r="AA32" s="21">
        <f>EXP(-LN(2)/25)*AA31+(1-EXP(-LN(2)/25))/(LN(2)/25)*Calculateur!V32*Calculateur!X32*VLOOKUP('Données projet'!$B$9,Paramètres!$A$1:$I$89,3,0)*0.475*44/12</f>
        <v>2.4729898431834463</v>
      </c>
      <c r="AB32" s="21">
        <f>EXP(-LN(2)/2)*AB31+(1-EXP(-LN(2)/2))/(LN(2)/2)*V32*Y32*VLOOKUP('Données projet'!$B$9,Paramètres!$A$1:$I$89,3,0)*0.475*44/12</f>
        <v>2.4527248758970135</v>
      </c>
      <c r="AC32" s="22">
        <f t="shared" si="3"/>
        <v>5.9231807423670864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33</v>
      </c>
      <c r="AI32" s="13">
        <f>IF('Données projet'!$A$62&gt;35,AI31+AH32-AQ31,IF(A32&lt;'Données projet'!$A$62,$AF$205^A32,IF(A32='Données projet'!$A$62,'Données projet'!$B$62,AI31+AH32-AQ31)))</f>
        <v>491.00000000000006</v>
      </c>
      <c r="AJ32" s="13">
        <f>AI32*VLOOKUP('Données projet'!$B$10,Paramètres!$A$1:$I$89,3,0)*VLOOKUP('Données projet'!$B$10,Paramètres!$A$1:$I$89,5,0)</f>
        <v>274.46900000000005</v>
      </c>
      <c r="AK32" s="13">
        <f t="shared" si="35"/>
        <v>65.796795812732981</v>
      </c>
      <c r="AL32" s="20">
        <f t="shared" si="4"/>
        <v>592.62959437384325</v>
      </c>
      <c r="AM32" s="59">
        <f t="shared" si="5"/>
        <v>884.74070548495433</v>
      </c>
      <c r="AN32" s="59">
        <f ca="1">AVERAGE(OFFSET($AM$3,0,0,'Données projet'!$E$10+1,1))-AVERAGE(OFFSET($H$3,0,0,'Données projet'!$E$10+1,1))</f>
        <v>544.48194192356823</v>
      </c>
      <c r="AO32" s="59">
        <f t="shared" si="36"/>
        <v>668.20427590250733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14.170780394241703</v>
      </c>
      <c r="AW32" s="21">
        <f>EXP(-LN(2)/2)*AW31+(1-EXP(-LN(2)/2))/(LN(2)/2)*AQ32*AT32*VLOOKUP('Données projet'!$B$10,Paramètres!$A$1:$I$89,3,0)*0.475*44/12</f>
        <v>6.4179197559445518</v>
      </c>
      <c r="AX32" s="21">
        <f t="shared" si="6"/>
        <v>20.588700150186256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</v>
      </c>
      <c r="BD32" s="12">
        <f>IF('Données projet'!$A$88&gt;35,BD31+BC32-BL31,IF(A32&lt;'Données projet'!$A$88,$BA$205^A32,IF(A32='Données projet'!$A$88,'Données projet'!$B$88,BD31+BC32-BL31)))</f>
        <v>103</v>
      </c>
      <c r="BE32" s="13">
        <f>BD32*VLOOKUP('Données projet'!$B$11,Paramètres!$A$1:$I$89,3,0)*VLOOKUP('Données projet'!$B$11,Paramètres!$A$1:$I$89,5,0)</f>
        <v>61.594000000000008</v>
      </c>
      <c r="BF32" s="13">
        <f t="shared" si="37"/>
        <v>17.570665168564613</v>
      </c>
      <c r="BG32" s="20">
        <f t="shared" si="7"/>
        <v>137.8784585019167</v>
      </c>
      <c r="BH32" s="59">
        <f t="shared" si="8"/>
        <v>429.98956961302781</v>
      </c>
      <c r="BI32" s="59">
        <f ca="1">AVERAGE(OFFSET($BH$3,0,0,'Données projet'!$E$11+1,1))-AVERAGE(OFFSET($H$3,0,0,'Données projet'!$E$11+1,1))</f>
        <v>162.86181551380446</v>
      </c>
      <c r="BJ32" s="59">
        <f t="shared" si="38"/>
        <v>184.96823352120742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4.0406514254685586</v>
      </c>
      <c r="BQ32" s="21">
        <f>EXP(-LN(2)/25)*BQ31+(1-EXP(-LN(2)/25))/(LN(2)/25)*Calculateur!BL32*Calculateur!BN32*VLOOKUP('Données projet'!$B$11,Paramètres!$A$1:$I$89,3,0)*0.475*44/12</f>
        <v>3.2156462169281381</v>
      </c>
      <c r="BR32" s="21">
        <f>EXP(-LN(2)/2)*BR31+(1-EXP(-LN(2)/2))/(LN(2)/2)*BL32*BO32*VLOOKUP('Données projet'!$B$11,Paramètres!$A$1:$I$89,3,0)*0.475*44/12</f>
        <v>2.3609062719419982</v>
      </c>
      <c r="BS32" s="22">
        <f t="shared" si="9"/>
        <v>9.6172039143386954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16.666666666666668</v>
      </c>
      <c r="BY32" s="12">
        <f>IF('Données projet'!$A$114&gt;35,BY31+BX32-CG31,IF(A32&lt;'Données projet'!$A$114,$BV$205^A32,IF(A32='Données projet'!$A$114,'Données projet'!$B$114,BY31+BX32-CG31)))</f>
        <v>238.33333333333329</v>
      </c>
      <c r="BZ32" s="13">
        <f>BY32*VLOOKUP('Données projet'!$B$12,Paramètres!$A$1:$I$89,3,0)*VLOOKUP('Données projet'!$B$12,Paramètres!$A$1:$I$89,5,0)</f>
        <v>130.12999999999997</v>
      </c>
      <c r="CA32" s="13">
        <f t="shared" si="39"/>
        <v>34.026396767825609</v>
      </c>
      <c r="CB32" s="20">
        <f t="shared" si="10"/>
        <v>285.90572437062957</v>
      </c>
      <c r="CC32" s="59">
        <f t="shared" si="11"/>
        <v>578.01683548174071</v>
      </c>
      <c r="CD32" s="59">
        <f ca="1">AVERAGE(OFFSET($CC$3,0,0,'Données projet'!$E$12+1,1))-AVERAGE(OFFSET($H$3,0,0,'Données projet'!$E$12+1,1))</f>
        <v>207.02306964567629</v>
      </c>
      <c r="CE32" s="59">
        <f t="shared" si="40"/>
        <v>342.06887933351783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19.719961243261992</v>
      </c>
      <c r="CM32" s="21">
        <f>EXP(-LN(2)/2)*CM31+(1-EXP(-LN(2)/2))/(LN(2)/2)*CG32*CJ32*VLOOKUP('Données projet'!$B$12,Paramètres!$A$1:$I$89,3,0)*0.475*44/12</f>
        <v>5.4835142547533451</v>
      </c>
      <c r="CN32" s="22">
        <f t="shared" si="12"/>
        <v>25.203475498015337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125</v>
      </c>
      <c r="L33" s="12">
        <f>VLOOKUP(A33,'Données projet'!$A$35:$I$55,9,0)</f>
        <v>8.6</v>
      </c>
      <c r="M33" s="12">
        <f t="array" ref="M33">INDEX(L:L,MIN(IF(ISNUMBER(L33:L229),ROW(L33:L229),"")))</f>
        <v>8.6</v>
      </c>
      <c r="N33" s="13">
        <f>IF('Données projet'!$A$36&gt;35,N32+M33-V32,IF(A33&lt;'Données projet'!$A$36,$K$205^A33,IF(A33='Données projet'!$A$36,'Données projet'!$B$36,N32+M33-V32)))</f>
        <v>124.99999999999999</v>
      </c>
      <c r="O33" s="13">
        <f>N33*VLOOKUP('Données projet'!$B$9,Paramètres!$A$1:$I$89,3,0)*VLOOKUP('Données projet'!$B$9,Paramètres!$A$1:$I$89,5,0)</f>
        <v>109.2</v>
      </c>
      <c r="P33" s="13">
        <f t="shared" si="33"/>
        <v>29.142418334948612</v>
      </c>
      <c r="Q33" s="20">
        <f t="shared" si="2"/>
        <v>240.94637860003544</v>
      </c>
      <c r="R33" s="59">
        <f t="shared" si="0"/>
        <v>534.27971193336873</v>
      </c>
      <c r="S33" s="59">
        <f ca="1">AVERAGE(OFFSET($R$3,0,0,'Données projet'!$E$9+1,1))-AVERAGE(OFFSET($H$3,0,0,'Données projet'!$E$9+1,1))</f>
        <v>268.31928207836495</v>
      </c>
      <c r="T33" s="59">
        <f t="shared" si="34"/>
        <v>277.61304526670204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0.129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2.0576024395042403</v>
      </c>
      <c r="AA33" s="21">
        <f>EXP(-LN(2)/25)*AA32+(1-EXP(-LN(2)/25))/(LN(2)/25)*Calculateur!V33*Calculateur!X33*VLOOKUP('Données projet'!$B$9,Paramètres!$A$1:$I$89,3,0)*0.475*44/12</f>
        <v>5.6317006304710269</v>
      </c>
      <c r="AB33" s="21">
        <f>EXP(-LN(2)/2)*AB32+(1-EXP(-LN(2)/2))/(LN(2)/2)*V33*Y33*VLOOKUP('Données projet'!$B$9,Paramètres!$A$1:$I$89,3,0)*0.475*44/12</f>
        <v>8.163606270405996</v>
      </c>
      <c r="AC33" s="22">
        <f t="shared" si="3"/>
        <v>15.852909340381263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524</v>
      </c>
      <c r="AG33" s="12">
        <f>VLOOKUP(A33,'Données projet'!$A$61:$I$81,9,0)</f>
        <v>33</v>
      </c>
      <c r="AH33" s="12">
        <f t="array" ref="AH33">INDEX(AG:AG,MIN(IF(ISNUMBER(AG33:AG229),ROW(AG33:AG229),"")))</f>
        <v>33</v>
      </c>
      <c r="AI33" s="13">
        <f>IF('Données projet'!$A$62&gt;35,AI32+AH33-AQ32,IF(A33&lt;'Données projet'!$A$62,$AF$205^A33,IF(A33='Données projet'!$A$62,'Données projet'!$B$62,AI32+AH33-AQ32)))</f>
        <v>524</v>
      </c>
      <c r="AJ33" s="13">
        <f>AI33*VLOOKUP('Données projet'!$B$10,Paramètres!$A$1:$I$89,3,0)*VLOOKUP('Données projet'!$B$10,Paramètres!$A$1:$I$89,5,0)</f>
        <v>292.916</v>
      </c>
      <c r="AK33" s="13">
        <f t="shared" si="35"/>
        <v>69.68932587703776</v>
      </c>
      <c r="AL33" s="20">
        <f t="shared" si="4"/>
        <v>631.53760923584082</v>
      </c>
      <c r="AM33" s="59">
        <f t="shared" si="5"/>
        <v>924.87094256917408</v>
      </c>
      <c r="AN33" s="59">
        <f ca="1">AVERAGE(OFFSET($AM$3,0,0,'Données projet'!$E$10+1,1))-AVERAGE(OFFSET($H$3,0,0,'Données projet'!$E$10+1,1))</f>
        <v>544.48194192356823</v>
      </c>
      <c r="AO33" s="59">
        <f t="shared" si="36"/>
        <v>668.20427590250733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90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0.33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7.3413403528479604</v>
      </c>
      <c r="AV33" s="21">
        <f>EXP(-LN(2)/25)*AV32+(1-EXP(-LN(2)/25))/(LN(2)/25)*Calculateur!AQ33*Calculateur!AS33*VLOOKUP('Données projet'!$B$10,Paramètres!$A$1:$I$89,3,0)*0.475*44/12</f>
        <v>35.720583754978676</v>
      </c>
      <c r="AW33" s="21">
        <f>EXP(-LN(2)/2)*AW32+(1-EXP(-LN(2)/2))/(LN(2)/2)*AQ33*AT33*VLOOKUP('Données projet'!$B$10,Paramètres!$A$1:$I$89,3,0)*0.475*44/12</f>
        <v>15.930675958250804</v>
      </c>
      <c r="AX33" s="21">
        <f t="shared" si="6"/>
        <v>58.992600066077436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8</v>
      </c>
      <c r="BD33" s="12">
        <f>IF('Données projet'!$A$88&gt;35,BD32+BC33-BL32,IF(A33&lt;'Données projet'!$A$88,$BA$205^A33,IF(A33='Données projet'!$A$88,'Données projet'!$B$88,BD32+BC33-BL32)))</f>
        <v>111</v>
      </c>
      <c r="BE33" s="13">
        <f>BD33*VLOOKUP('Données projet'!$B$11,Paramètres!$A$1:$I$89,3,0)*VLOOKUP('Données projet'!$B$11,Paramètres!$A$1:$I$89,5,0)</f>
        <v>66.378</v>
      </c>
      <c r="BF33" s="13">
        <f t="shared" si="37"/>
        <v>18.771224988253085</v>
      </c>
      <c r="BG33" s="20">
        <f t="shared" si="7"/>
        <v>148.30156685454077</v>
      </c>
      <c r="BH33" s="59">
        <f t="shared" si="8"/>
        <v>441.63490018787411</v>
      </c>
      <c r="BI33" s="59">
        <f ca="1">AVERAGE(OFFSET($BH$3,0,0,'Données projet'!$E$11+1,1))-AVERAGE(OFFSET($H$3,0,0,'Données projet'!$E$11+1,1))</f>
        <v>162.86181551380446</v>
      </c>
      <c r="BJ33" s="59">
        <f t="shared" si="38"/>
        <v>184.96823352120742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3.9614167155691353</v>
      </c>
      <c r="BQ33" s="21">
        <f>EXP(-LN(2)/25)*BQ32+(1-EXP(-LN(2)/25))/(LN(2)/25)*Calculateur!BL33*Calculateur!BN33*VLOOKUP('Données projet'!$B$11,Paramètres!$A$1:$I$89,3,0)*0.475*44/12</f>
        <v>3.1277142020227533</v>
      </c>
      <c r="BR33" s="21">
        <f>EXP(-LN(2)/2)*BR32+(1-EXP(-LN(2)/2))/(LN(2)/2)*BL33*BO33*VLOOKUP('Données projet'!$B$11,Paramètres!$A$1:$I$89,3,0)*0.475*44/12</f>
        <v>1.6694128346360384</v>
      </c>
      <c r="BS33" s="22">
        <f t="shared" si="9"/>
        <v>8.7585437522279275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255</v>
      </c>
      <c r="BW33" s="12">
        <f>VLOOKUP(A33,'Données projet'!$A$113:$I$133,9,0)</f>
        <v>16.666666666666668</v>
      </c>
      <c r="BX33" s="12">
        <f t="array" ref="BX33">INDEX(BW:BW,MIN(IF(ISNUMBER(BW33:BW229),ROW(BW33:BW229),"")))</f>
        <v>16.666666666666668</v>
      </c>
      <c r="BY33" s="12">
        <f>IF('Données projet'!$A$114&gt;35,BY32+BX33-CG32,IF(A33&lt;'Données projet'!$A$114,$BV$205^A33,IF(A33='Données projet'!$A$114,'Données projet'!$B$114,BY32+BX33-CG32)))</f>
        <v>254.99999999999994</v>
      </c>
      <c r="BZ33" s="13">
        <f>BY33*VLOOKUP('Données projet'!$B$12,Paramètres!$A$1:$I$89,3,0)*VLOOKUP('Données projet'!$B$12,Paramètres!$A$1:$I$89,5,0)</f>
        <v>139.22999999999996</v>
      </c>
      <c r="CA33" s="13">
        <f t="shared" si="39"/>
        <v>36.120552727378737</v>
      </c>
      <c r="CB33" s="20">
        <f t="shared" si="10"/>
        <v>305.4022126668512</v>
      </c>
      <c r="CC33" s="59">
        <f t="shared" si="11"/>
        <v>598.73554600018451</v>
      </c>
      <c r="CD33" s="59">
        <f ca="1">AVERAGE(OFFSET($CC$3,0,0,'Données projet'!$E$12+1,1))-AVERAGE(OFFSET($H$3,0,0,'Données projet'!$E$12+1,1))</f>
        <v>207.02306964567629</v>
      </c>
      <c r="CE33" s="59">
        <f t="shared" si="40"/>
        <v>342.06887933351783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76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0.36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6.605654237150298</v>
      </c>
      <c r="CL33" s="21">
        <f>EXP(-LN(2)/25)*CL32+(1-EXP(-LN(2)/25))/(LN(2)/25)*Calculateur!CG33*Calculateur!CI33*VLOOKUP('Données projet'!$B$12,Paramètres!$A$1:$I$89,3,0)*0.475*44/12</f>
        <v>38.919653644438441</v>
      </c>
      <c r="CM33" s="21">
        <f>EXP(-LN(2)/2)*CM32+(1-EXP(-LN(2)/2))/(LN(2)/2)*CG33*CJ33*VLOOKUP('Données projet'!$B$12,Paramètres!$A$1:$I$89,3,0)*0.475*44/12</f>
        <v>13.274052397900833</v>
      </c>
      <c r="CN33" s="22">
        <f t="shared" si="12"/>
        <v>58.799360279489569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7.8</v>
      </c>
      <c r="N34" s="13">
        <f>IF('Données projet'!$A$36&gt;35,N33+M34-V33,IF(A34&lt;'Données projet'!$A$36,$K$205^A34,IF(A34='Données projet'!$A$36,'Données projet'!$B$36,N33+M34-V33)))</f>
        <v>106.79999999999998</v>
      </c>
      <c r="O34" s="13">
        <f>N34*VLOOKUP('Données projet'!$B$9,Paramètres!$A$1:$I$89,3,0)*VLOOKUP('Données projet'!$B$9,Paramètres!$A$1:$I$89,5,0)</f>
        <v>93.300479999999993</v>
      </c>
      <c r="P34" s="13">
        <f t="shared" si="33"/>
        <v>25.35954513622837</v>
      </c>
      <c r="Q34" s="20">
        <f t="shared" si="2"/>
        <v>206.66621044559773</v>
      </c>
      <c r="R34" s="59">
        <f t="shared" si="0"/>
        <v>499.99954377893107</v>
      </c>
      <c r="S34" s="59">
        <f ca="1">AVERAGE(OFFSET($R$3,0,0,'Données projet'!$E$9+1,1))-AVERAGE(OFFSET($H$3,0,0,'Données projet'!$E$9+1,1))</f>
        <v>268.31928207836495</v>
      </c>
      <c r="T34" s="59">
        <f t="shared" si="34"/>
        <v>277.61304526670204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2.017254110679128</v>
      </c>
      <c r="AA34" s="21">
        <f>EXP(-LN(2)/25)*AA33+(1-EXP(-LN(2)/25))/(LN(2)/25)*Calculateur!V34*Calculateur!X34*VLOOKUP('Données projet'!$B$9,Paramètres!$A$1:$I$89,3,0)*0.475*44/12</f>
        <v>5.4777014805725317</v>
      </c>
      <c r="AB34" s="21">
        <f>EXP(-LN(2)/2)*AB33+(1-EXP(-LN(2)/2))/(LN(2)/2)*V34*Y34*VLOOKUP('Données projet'!$B$9,Paramètres!$A$1:$I$89,3,0)*0.475*44/12</f>
        <v>5.7725413527411007</v>
      </c>
      <c r="AC34" s="22">
        <f t="shared" si="3"/>
        <v>13.267496943992761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28.4</v>
      </c>
      <c r="AI34" s="13">
        <f>IF('Données projet'!$A$62&gt;35,AI33+AH34-AQ33,IF(A34&lt;'Données projet'!$A$62,$AF$205^A34,IF(A34='Données projet'!$A$62,'Données projet'!$B$62,AI33+AH34-AQ33)))</f>
        <v>462.4</v>
      </c>
      <c r="AJ34" s="13">
        <f>AI34*VLOOKUP('Données projet'!$B$10,Paramètres!$A$1:$I$89,3,0)*VLOOKUP('Données projet'!$B$10,Paramètres!$A$1:$I$89,5,0)</f>
        <v>258.48160000000001</v>
      </c>
      <c r="AK34" s="13">
        <f t="shared" si="35"/>
        <v>62.398606187610767</v>
      </c>
      <c r="AL34" s="20">
        <f t="shared" si="4"/>
        <v>558.86635911008875</v>
      </c>
      <c r="AM34" s="59">
        <f t="shared" si="5"/>
        <v>852.19969244342201</v>
      </c>
      <c r="AN34" s="59">
        <f ca="1">AVERAGE(OFFSET($AM$3,0,0,'Données projet'!$E$10+1,1))-AVERAGE(OFFSET($H$3,0,0,'Données projet'!$E$10+1,1))</f>
        <v>544.48194192356823</v>
      </c>
      <c r="AO34" s="59">
        <f t="shared" si="36"/>
        <v>668.20427590250733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7.1973811463040835</v>
      </c>
      <c r="AV34" s="21">
        <f>EXP(-LN(2)/25)*AV33+(1-EXP(-LN(2)/25))/(LN(2)/25)*Calculateur!AQ34*Calculateur!AS34*VLOOKUP('Données projet'!$B$10,Paramètres!$A$1:$I$89,3,0)*0.475*44/12</f>
        <v>34.743802513734927</v>
      </c>
      <c r="AW34" s="21">
        <f>EXP(-LN(2)/2)*AW33+(1-EXP(-LN(2)/2))/(LN(2)/2)*AQ34*AT34*VLOOKUP('Données projet'!$B$10,Paramètres!$A$1:$I$89,3,0)*0.475*44/12</f>
        <v>11.264688998964646</v>
      </c>
      <c r="AX34" s="21">
        <f t="shared" si="6"/>
        <v>53.205872659003653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119</v>
      </c>
      <c r="BE34" s="13">
        <f>BD34*VLOOKUP('Données projet'!$B$11,Paramètres!$A$1:$I$89,3,0)*VLOOKUP('Données projet'!$B$11,Paramètres!$A$1:$I$89,5,0)</f>
        <v>71.162000000000006</v>
      </c>
      <c r="BF34" s="13">
        <f t="shared" si="37"/>
        <v>19.961746043676346</v>
      </c>
      <c r="BG34" s="20">
        <f t="shared" si="7"/>
        <v>158.70719102606964</v>
      </c>
      <c r="BH34" s="59">
        <f t="shared" si="8"/>
        <v>452.04052435940298</v>
      </c>
      <c r="BI34" s="59">
        <f ca="1">AVERAGE(OFFSET($BH$3,0,0,'Données projet'!$E$11+1,1))-AVERAGE(OFFSET($H$3,0,0,'Données projet'!$E$11+1,1))</f>
        <v>162.86181551380446</v>
      </c>
      <c r="BJ34" s="59">
        <f t="shared" si="38"/>
        <v>184.96823352120742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3.8837357500024385</v>
      </c>
      <c r="BQ34" s="21">
        <f>EXP(-LN(2)/25)*BQ33+(1-EXP(-LN(2)/25))/(LN(2)/25)*Calculateur!BL34*Calculateur!BN34*VLOOKUP('Données projet'!$B$11,Paramètres!$A$1:$I$89,3,0)*0.475*44/12</f>
        <v>3.0421866926890999</v>
      </c>
      <c r="BR34" s="21">
        <f>EXP(-LN(2)/2)*BR33+(1-EXP(-LN(2)/2))/(LN(2)/2)*BL34*BO34*VLOOKUP('Données projet'!$B$11,Paramètres!$A$1:$I$89,3,0)*0.475*44/12</f>
        <v>1.1804531359709993</v>
      </c>
      <c r="BS34" s="22">
        <f t="shared" si="9"/>
        <v>8.1063755786625382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</v>
      </c>
      <c r="BY34" s="12">
        <f>IF('Données projet'!$A$114&gt;35,BY33+BX34-CG33,IF(A34&lt;'Données projet'!$A$114,$BV$205^A34,IF(A34='Données projet'!$A$114,'Données projet'!$B$114,BY33+BX34-CG33)))</f>
        <v>193.99999999999994</v>
      </c>
      <c r="BZ34" s="13">
        <f>BY34*VLOOKUP('Données projet'!$B$12,Paramètres!$A$1:$I$89,3,0)*VLOOKUP('Données projet'!$B$12,Paramètres!$A$1:$I$89,5,0)</f>
        <v>105.92399999999998</v>
      </c>
      <c r="CA34" s="13">
        <f t="shared" si="39"/>
        <v>28.36854701055546</v>
      </c>
      <c r="CB34" s="20">
        <f t="shared" si="10"/>
        <v>233.89285271005073</v>
      </c>
      <c r="CC34" s="59">
        <f t="shared" si="11"/>
        <v>527.22618604338402</v>
      </c>
      <c r="CD34" s="59">
        <f ca="1">AVERAGE(OFFSET($CC$3,0,0,'Données projet'!$E$12+1,1))-AVERAGE(OFFSET($H$3,0,0,'Données projet'!$E$12+1,1))</f>
        <v>207.02306964567629</v>
      </c>
      <c r="CE34" s="59">
        <f t="shared" si="40"/>
        <v>342.06887933351783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6.4761213866110294</v>
      </c>
      <c r="CL34" s="21">
        <f>EXP(-LN(2)/25)*CL33+(1-EXP(-LN(2)/25))/(LN(2)/25)*Calculateur!CG34*Calculateur!CI34*VLOOKUP('Données projet'!$B$12,Paramètres!$A$1:$I$89,3,0)*0.475*44/12</f>
        <v>37.855393668835639</v>
      </c>
      <c r="CM34" s="21">
        <f>EXP(-LN(2)/2)*CM33+(1-EXP(-LN(2)/2))/(LN(2)/2)*CG34*CJ34*VLOOKUP('Données projet'!$B$12,Paramètres!$A$1:$I$89,3,0)*0.475*44/12</f>
        <v>9.3861724643812323</v>
      </c>
      <c r="CN34" s="22">
        <f t="shared" si="12"/>
        <v>53.717687519827898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7.8</v>
      </c>
      <c r="N35" s="13">
        <f>IF('Données projet'!$A$36&gt;35,N34+M35-V34,IF(A35&lt;'Données projet'!$A$36,$K$205^A35,IF(A35='Données projet'!$A$36,'Données projet'!$B$36,N34+M35-V34)))</f>
        <v>114.59999999999998</v>
      </c>
      <c r="O35" s="13">
        <f>N35*VLOOKUP('Données projet'!$B$9,Paramètres!$A$1:$I$89,3,0)*VLOOKUP('Données projet'!$B$9,Paramètres!$A$1:$I$89,5,0)</f>
        <v>100.11456000000001</v>
      </c>
      <c r="P35" s="13">
        <f t="shared" si="33"/>
        <v>26.989288069695206</v>
      </c>
      <c r="Q35" s="20">
        <f t="shared" ref="Q35:Q66" si="53">(O35+P35)*0.475*44/12</f>
        <v>221.37253538805248</v>
      </c>
      <c r="R35" s="59">
        <f t="shared" si="0"/>
        <v>514.70586872138574</v>
      </c>
      <c r="S35" s="59">
        <f ca="1">AVERAGE(OFFSET($R$3,0,0,'Données projet'!$E$9+1,1))-AVERAGE(OFFSET($H$3,0,0,'Données projet'!$E$9+1,1))</f>
        <v>268.31928207836495</v>
      </c>
      <c r="T35" s="59">
        <f t="shared" si="34"/>
        <v>277.61304526670204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1.9776969879722255</v>
      </c>
      <c r="AA35" s="21">
        <f>EXP(-LN(2)/25)*AA34+(1-EXP(-LN(2)/25))/(LN(2)/25)*Calculateur!V35*Calculateur!X35*VLOOKUP('Données projet'!$B$9,Paramètres!$A$1:$I$89,3,0)*0.475*44/12</f>
        <v>5.3279134455264741</v>
      </c>
      <c r="AB35" s="21">
        <f>EXP(-LN(2)/2)*AB34+(1-EXP(-LN(2)/2))/(LN(2)/2)*V35*Y35*VLOOKUP('Données projet'!$B$9,Paramètres!$A$1:$I$89,3,0)*0.475*44/12</f>
        <v>4.0818031352029989</v>
      </c>
      <c r="AC35" s="22">
        <f t="shared" si="3"/>
        <v>11.3874135687017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28.4</v>
      </c>
      <c r="AI35" s="13">
        <f>IF('Données projet'!$A$62&gt;35,AI34+AH35-AQ34,IF(A35&lt;'Données projet'!$A$62,$AF$205^A35,IF(A35='Données projet'!$A$62,'Données projet'!$B$62,AI34+AH35-AQ34)))</f>
        <v>490.79999999999995</v>
      </c>
      <c r="AJ35" s="13">
        <f>AI35*VLOOKUP('Données projet'!$B$10,Paramètres!$A$1:$I$89,3,0)*VLOOKUP('Données projet'!$B$10,Paramètres!$A$1:$I$89,5,0)</f>
        <v>274.35719999999998</v>
      </c>
      <c r="AK35" s="13">
        <f t="shared" si="35"/>
        <v>65.773113764972635</v>
      </c>
      <c r="AL35" s="20">
        <f t="shared" si="4"/>
        <v>592.39362980732722</v>
      </c>
      <c r="AM35" s="59">
        <f t="shared" si="5"/>
        <v>885.72696314066047</v>
      </c>
      <c r="AN35" s="59">
        <f ca="1">AVERAGE(OFFSET($AM$3,0,0,'Données projet'!$E$10+1,1))-AVERAGE(OFFSET($H$3,0,0,'Données projet'!$E$10+1,1))</f>
        <v>544.48194192356823</v>
      </c>
      <c r="AO35" s="59">
        <f t="shared" si="36"/>
        <v>668.20427590250733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7.0562448919940861</v>
      </c>
      <c r="AV35" s="21">
        <f>EXP(-LN(2)/25)*AV34+(1-EXP(-LN(2)/25))/(LN(2)/25)*Calculateur!AQ35*Calculateur!AS35*VLOOKUP('Données projet'!$B$10,Paramètres!$A$1:$I$89,3,0)*0.475*44/12</f>
        <v>33.793731406899681</v>
      </c>
      <c r="AW35" s="21">
        <f>EXP(-LN(2)/2)*AW34+(1-EXP(-LN(2)/2))/(LN(2)/2)*AQ35*AT35*VLOOKUP('Données projet'!$B$10,Paramètres!$A$1:$I$89,3,0)*0.475*44/12</f>
        <v>7.9653379791254038</v>
      </c>
      <c r="AX35" s="21">
        <f t="shared" si="6"/>
        <v>48.815314278019166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127</v>
      </c>
      <c r="BE35" s="13">
        <f>BD35*VLOOKUP('Données projet'!$B$11,Paramètres!$A$1:$I$89,3,0)*VLOOKUP('Données projet'!$B$11,Paramètres!$A$1:$I$89,5,0)</f>
        <v>75.945999999999998</v>
      </c>
      <c r="BF35" s="13">
        <f t="shared" si="37"/>
        <v>21.142979995226831</v>
      </c>
      <c r="BG35" s="20">
        <f t="shared" si="7"/>
        <v>169.09664015835338</v>
      </c>
      <c r="BH35" s="59">
        <f t="shared" si="8"/>
        <v>462.42997349168672</v>
      </c>
      <c r="BI35" s="59">
        <f ca="1">AVERAGE(OFFSET($BH$3,0,0,'Données projet'!$E$11+1,1))-AVERAGE(OFFSET($H$3,0,0,'Données projet'!$E$11+1,1))</f>
        <v>162.86181551380446</v>
      </c>
      <c r="BJ35" s="59">
        <f t="shared" si="38"/>
        <v>184.96823352120742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3.807578060789794</v>
      </c>
      <c r="BQ35" s="21">
        <f>EXP(-LN(2)/25)*BQ34+(1-EXP(-LN(2)/25))/(LN(2)/25)*Calculateur!BL35*Calculateur!BN35*VLOOKUP('Données projet'!$B$11,Paramètres!$A$1:$I$89,3,0)*0.475*44/12</f>
        <v>2.9589979375958713</v>
      </c>
      <c r="BR35" s="21">
        <f>EXP(-LN(2)/2)*BR34+(1-EXP(-LN(2)/2))/(LN(2)/2)*BL35*BO35*VLOOKUP('Données projet'!$B$11,Paramètres!$A$1:$I$89,3,0)*0.475*44/12</f>
        <v>0.83470641731801931</v>
      </c>
      <c r="BS35" s="22">
        <f t="shared" si="9"/>
        <v>7.6012824157036842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</v>
      </c>
      <c r="BY35" s="12">
        <f>IF('Données projet'!$A$114&gt;35,BY34+BX35-CG34,IF(A35&lt;'Données projet'!$A$114,$BV$205^A35,IF(A35='Données projet'!$A$114,'Données projet'!$B$114,BY34+BX35-CG34)))</f>
        <v>208.99999999999994</v>
      </c>
      <c r="BZ35" s="13">
        <f>BY35*VLOOKUP('Données projet'!$B$12,Paramètres!$A$1:$I$89,3,0)*VLOOKUP('Données projet'!$B$12,Paramètres!$A$1:$I$89,5,0)</f>
        <v>114.11399999999996</v>
      </c>
      <c r="CA35" s="13">
        <f t="shared" si="39"/>
        <v>30.298194021728271</v>
      </c>
      <c r="CB35" s="20">
        <f t="shared" si="10"/>
        <v>251.5179045878433</v>
      </c>
      <c r="CC35" s="59">
        <f t="shared" si="11"/>
        <v>544.85123792117656</v>
      </c>
      <c r="CD35" s="59">
        <f ca="1">AVERAGE(OFFSET($CC$3,0,0,'Données projet'!$E$12+1,1))-AVERAGE(OFFSET($H$3,0,0,'Données projet'!$E$12+1,1))</f>
        <v>207.02306964567629</v>
      </c>
      <c r="CE35" s="59">
        <f t="shared" si="40"/>
        <v>342.06887933351783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6.3491285962635988</v>
      </c>
      <c r="CL35" s="21">
        <f>EXP(-LN(2)/25)*CL34+(1-EXP(-LN(2)/25))/(LN(2)/25)*Calculateur!CG35*Calculateur!CI35*VLOOKUP('Données projet'!$B$12,Paramètres!$A$1:$I$89,3,0)*0.475*44/12</f>
        <v>36.820235938232692</v>
      </c>
      <c r="CM35" s="21">
        <f>EXP(-LN(2)/2)*CM34+(1-EXP(-LN(2)/2))/(LN(2)/2)*CG35*CJ35*VLOOKUP('Données projet'!$B$12,Paramètres!$A$1:$I$89,3,0)*0.475*44/12</f>
        <v>6.6370261989504185</v>
      </c>
      <c r="CN35" s="22">
        <f t="shared" si="12"/>
        <v>49.806390733446705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7.8</v>
      </c>
      <c r="N36" s="13">
        <f>IF('Données projet'!$A$36&gt;35,N35+M36-V35,IF(A36&lt;'Données projet'!$A$36,$K$205^A36,IF(A36='Données projet'!$A$36,'Données projet'!$B$36,N35+M36-V35)))</f>
        <v>122.39999999999998</v>
      </c>
      <c r="O36" s="13">
        <f>N36*VLOOKUP('Données projet'!$B$9,Paramètres!$A$1:$I$89,3,0)*VLOOKUP('Données projet'!$B$9,Paramètres!$A$1:$I$89,5,0)</f>
        <v>106.92864</v>
      </c>
      <c r="P36" s="13">
        <f t="shared" si="33"/>
        <v>28.606159868782942</v>
      </c>
      <c r="Q36" s="20">
        <f t="shared" si="53"/>
        <v>236.05644310479695</v>
      </c>
      <c r="R36" s="59">
        <f t="shared" si="0"/>
        <v>529.3897764381303</v>
      </c>
      <c r="S36" s="59">
        <f ca="1">AVERAGE(OFFSET($R$3,0,0,'Données projet'!$E$9+1,1))-AVERAGE(OFFSET($H$3,0,0,'Données projet'!$E$9+1,1))</f>
        <v>268.31928207836495</v>
      </c>
      <c r="T36" s="59">
        <f t="shared" si="34"/>
        <v>277.61304526670204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1.9389155563141429</v>
      </c>
      <c r="AA36" s="21">
        <f>EXP(-LN(2)/25)*AA35+(1-EXP(-LN(2)/25))/(LN(2)/25)*Calculateur!V36*Calculateur!X36*VLOOKUP('Données projet'!$B$9,Paramètres!$A$1:$I$89,3,0)*0.475*44/12</f>
        <v>5.1822213721757615</v>
      </c>
      <c r="AB36" s="21">
        <f>EXP(-LN(2)/2)*AB35+(1-EXP(-LN(2)/2))/(LN(2)/2)*V36*Y36*VLOOKUP('Données projet'!$B$9,Paramètres!$A$1:$I$89,3,0)*0.475*44/12</f>
        <v>2.8862706763705508</v>
      </c>
      <c r="AC36" s="22">
        <f t="shared" si="3"/>
        <v>10.007407604860456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28.4</v>
      </c>
      <c r="AI36" s="13">
        <f>IF('Données projet'!$A$62&gt;35,AI35+AH36-AQ35,IF(A36&lt;'Données projet'!$A$62,$AF$205^A36,IF(A36='Données projet'!$A$62,'Données projet'!$B$62,AI35+AH36-AQ35)))</f>
        <v>519.19999999999993</v>
      </c>
      <c r="AJ36" s="13">
        <f>AI36*VLOOKUP('Données projet'!$B$10,Paramètres!$A$1:$I$89,3,0)*VLOOKUP('Données projet'!$B$10,Paramètres!$A$1:$I$89,5,0)</f>
        <v>290.2328</v>
      </c>
      <c r="AK36" s="13">
        <f t="shared" si="35"/>
        <v>69.124955529636495</v>
      </c>
      <c r="AL36" s="20">
        <f t="shared" si="4"/>
        <v>625.88142421411692</v>
      </c>
      <c r="AM36" s="59">
        <f t="shared" si="5"/>
        <v>919.21475754745029</v>
      </c>
      <c r="AN36" s="59">
        <f ca="1">AVERAGE(OFFSET($AM$3,0,0,'Données projet'!$E$10+1,1))-AVERAGE(OFFSET($H$3,0,0,'Données projet'!$E$10+1,1))</f>
        <v>544.48194192356823</v>
      </c>
      <c r="AO36" s="59">
        <f t="shared" si="36"/>
        <v>668.20427590250733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6.9178762335464929</v>
      </c>
      <c r="AV36" s="21">
        <f>EXP(-LN(2)/25)*AV35+(1-EXP(-LN(2)/25))/(LN(2)/25)*Calculateur!AQ36*Calculateur!AS36*VLOOKUP('Données projet'!$B$10,Paramètres!$A$1:$I$89,3,0)*0.475*44/12</f>
        <v>32.86964004444291</v>
      </c>
      <c r="AW36" s="21">
        <f>EXP(-LN(2)/2)*AW35+(1-EXP(-LN(2)/2))/(LN(2)/2)*AQ36*AT36*VLOOKUP('Données projet'!$B$10,Paramètres!$A$1:$I$89,3,0)*0.475*44/12</f>
        <v>5.6323444994823237</v>
      </c>
      <c r="AX36" s="21">
        <f t="shared" si="6"/>
        <v>45.419860777471726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135</v>
      </c>
      <c r="BE36" s="13">
        <f>BD36*VLOOKUP('Données projet'!$B$11,Paramètres!$A$1:$I$89,3,0)*VLOOKUP('Données projet'!$B$11,Paramètres!$A$1:$I$89,5,0)</f>
        <v>80.73</v>
      </c>
      <c r="BF36" s="13">
        <f t="shared" si="37"/>
        <v>22.315578453114171</v>
      </c>
      <c r="BG36" s="20">
        <f t="shared" si="7"/>
        <v>179.47104913917386</v>
      </c>
      <c r="BH36" s="59">
        <f t="shared" si="8"/>
        <v>472.8043824725072</v>
      </c>
      <c r="BI36" s="59">
        <f ca="1">AVERAGE(OFFSET($BH$3,0,0,'Données projet'!$E$11+1,1))-AVERAGE(OFFSET($H$3,0,0,'Données projet'!$E$11+1,1))</f>
        <v>162.86181551380446</v>
      </c>
      <c r="BJ36" s="59">
        <f t="shared" si="38"/>
        <v>184.96823352120742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3.7329137774110057</v>
      </c>
      <c r="BQ36" s="21">
        <f>EXP(-LN(2)/25)*BQ35+(1-EXP(-LN(2)/25))/(LN(2)/25)*Calculateur!BL36*Calculateur!BN36*VLOOKUP('Données projet'!$B$11,Paramètres!$A$1:$I$89,3,0)*0.475*44/12</f>
        <v>2.8780839833853733</v>
      </c>
      <c r="BR36" s="21">
        <f>EXP(-LN(2)/2)*BR35+(1-EXP(-LN(2)/2))/(LN(2)/2)*BL36*BO36*VLOOKUP('Données projet'!$B$11,Paramètres!$A$1:$I$89,3,0)*0.475*44/12</f>
        <v>0.59022656798549977</v>
      </c>
      <c r="BS36" s="22">
        <f t="shared" si="9"/>
        <v>7.2012243287818789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</v>
      </c>
      <c r="BY36" s="12">
        <f>IF('Données projet'!$A$114&gt;35,BY35+BX36-CG35,IF(A36&lt;'Données projet'!$A$114,$BV$205^A36,IF(A36='Données projet'!$A$114,'Données projet'!$B$114,BY35+BX36-CG35)))</f>
        <v>223.99999999999994</v>
      </c>
      <c r="BZ36" s="13">
        <f>BY36*VLOOKUP('Données projet'!$B$12,Paramètres!$A$1:$I$89,3,0)*VLOOKUP('Données projet'!$B$12,Paramètres!$A$1:$I$89,5,0)</f>
        <v>122.30399999999996</v>
      </c>
      <c r="CA36" s="13">
        <f t="shared" si="39"/>
        <v>32.211773226559373</v>
      </c>
      <c r="CB36" s="20">
        <f t="shared" si="10"/>
        <v>269.11497170292415</v>
      </c>
      <c r="CC36" s="59">
        <f t="shared" si="11"/>
        <v>562.44830503625747</v>
      </c>
      <c r="CD36" s="59">
        <f ca="1">AVERAGE(OFFSET($CC$3,0,0,'Données projet'!$E$12+1,1))-AVERAGE(OFFSET($H$3,0,0,'Données projet'!$E$12+1,1))</f>
        <v>207.02306964567629</v>
      </c>
      <c r="CE36" s="59">
        <f t="shared" si="40"/>
        <v>342.06887933351783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6.224626057076927</v>
      </c>
      <c r="CL36" s="21">
        <f>EXP(-LN(2)/25)*CL35+(1-EXP(-LN(2)/25))/(LN(2)/25)*Calculateur!CG36*Calculateur!CI36*VLOOKUP('Données projet'!$B$12,Paramètres!$A$1:$I$89,3,0)*0.475*44/12</f>
        <v>35.813384650209663</v>
      </c>
      <c r="CM36" s="21">
        <f>EXP(-LN(2)/2)*CM35+(1-EXP(-LN(2)/2))/(LN(2)/2)*CG36*CJ36*VLOOKUP('Données projet'!$B$12,Paramètres!$A$1:$I$89,3,0)*0.475*44/12</f>
        <v>4.693086232190617</v>
      </c>
      <c r="CN36" s="22">
        <f t="shared" si="12"/>
        <v>46.731096939477204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7.8</v>
      </c>
      <c r="N37" s="13">
        <f>IF('Données projet'!$A$36&gt;35,N36+M37-V36,IF(A37&lt;'Données projet'!$A$36,$K$205^A37,IF(A37='Données projet'!$A$36,'Données projet'!$B$36,N36+M37-V36)))</f>
        <v>130.19999999999999</v>
      </c>
      <c r="O37" s="13">
        <f>N37*VLOOKUP('Données projet'!$B$9,Paramètres!$A$1:$I$89,3,0)*VLOOKUP('Données projet'!$B$9,Paramètres!$A$1:$I$89,5,0)</f>
        <v>113.74272000000002</v>
      </c>
      <c r="P37" s="13">
        <f t="shared" si="33"/>
        <v>30.211074114233345</v>
      </c>
      <c r="Q37" s="20">
        <f t="shared" si="53"/>
        <v>250.71952474895647</v>
      </c>
      <c r="R37" s="59">
        <f t="shared" si="0"/>
        <v>544.05285808228973</v>
      </c>
      <c r="S37" s="59">
        <f ca="1">AVERAGE(OFFSET($R$3,0,0,'Données projet'!$E$9+1,1))-AVERAGE(OFFSET($H$3,0,0,'Données projet'!$E$9+1,1))</f>
        <v>268.31928207836495</v>
      </c>
      <c r="T37" s="59">
        <f t="shared" si="34"/>
        <v>277.61304526670204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1.9008946048765378</v>
      </c>
      <c r="AA37" s="21">
        <f>EXP(-LN(2)/25)*AA36+(1-EXP(-LN(2)/25))/(LN(2)/25)*Calculateur!V37*Calculateur!X37*VLOOKUP('Données projet'!$B$9,Paramètres!$A$1:$I$89,3,0)*0.475*44/12</f>
        <v>5.0405132562324377</v>
      </c>
      <c r="AB37" s="21">
        <f>EXP(-LN(2)/2)*AB36+(1-EXP(-LN(2)/2))/(LN(2)/2)*V37*Y37*VLOOKUP('Données projet'!$B$9,Paramètres!$A$1:$I$89,3,0)*0.475*44/12</f>
        <v>2.0409015676014999</v>
      </c>
      <c r="AC37" s="22">
        <f t="shared" si="3"/>
        <v>8.9823094287104759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28.4</v>
      </c>
      <c r="AI37" s="13">
        <f>IF('Données projet'!$A$62&gt;35,AI36+AH37-AQ36,IF(A37&lt;'Données projet'!$A$62,$AF$205^A37,IF(A37='Données projet'!$A$62,'Données projet'!$B$62,AI36+AH37-AQ36)))</f>
        <v>547.59999999999991</v>
      </c>
      <c r="AJ37" s="13">
        <f>AI37*VLOOKUP('Données projet'!$B$10,Paramètres!$A$1:$I$89,3,0)*VLOOKUP('Données projet'!$B$10,Paramètres!$A$1:$I$89,5,0)</f>
        <v>306.10839999999996</v>
      </c>
      <c r="AK37" s="13">
        <f t="shared" si="35"/>
        <v>72.455512621968097</v>
      </c>
      <c r="AL37" s="20">
        <f t="shared" si="4"/>
        <v>659.33214781659433</v>
      </c>
      <c r="AM37" s="59">
        <f t="shared" si="5"/>
        <v>952.6654811499277</v>
      </c>
      <c r="AN37" s="59">
        <f ca="1">AVERAGE(OFFSET($AM$3,0,0,'Données projet'!$E$10+1,1))-AVERAGE(OFFSET($H$3,0,0,'Données projet'!$E$10+1,1))</f>
        <v>544.48194192356823</v>
      </c>
      <c r="AO37" s="59">
        <f t="shared" si="36"/>
        <v>668.20427590250733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6.7822209000945088</v>
      </c>
      <c r="AV37" s="21">
        <f>EXP(-LN(2)/25)*AV36+(1-EXP(-LN(2)/25))/(LN(2)/25)*Calculateur!AQ37*Calculateur!AS37*VLOOKUP('Données projet'!$B$10,Paramètres!$A$1:$I$89,3,0)*0.475*44/12</f>
        <v>31.970818008888372</v>
      </c>
      <c r="AW37" s="21">
        <f>EXP(-LN(2)/2)*AW36+(1-EXP(-LN(2)/2))/(LN(2)/2)*AQ37*AT37*VLOOKUP('Données projet'!$B$10,Paramètres!$A$1:$I$89,3,0)*0.475*44/12</f>
        <v>3.9826689895627023</v>
      </c>
      <c r="AX37" s="21">
        <f t="shared" si="6"/>
        <v>42.735707898545584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143</v>
      </c>
      <c r="BB37" s="12">
        <f>VLOOKUP(A37,'Données projet'!$A$87:$I$107,9,0)</f>
        <v>8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143</v>
      </c>
      <c r="BE37" s="13">
        <f>BD37*VLOOKUP('Données projet'!$B$11,Paramètres!$A$1:$I$89,3,0)*VLOOKUP('Données projet'!$B$11,Paramètres!$A$1:$I$89,5,0)</f>
        <v>85.51400000000001</v>
      </c>
      <c r="BF37" s="13">
        <f t="shared" si="37"/>
        <v>23.480111436812177</v>
      </c>
      <c r="BG37" s="20">
        <f t="shared" si="7"/>
        <v>189.83141075244791</v>
      </c>
      <c r="BH37" s="59">
        <f t="shared" si="8"/>
        <v>483.16474408578119</v>
      </c>
      <c r="BI37" s="59">
        <f ca="1">AVERAGE(OFFSET($BH$3,0,0,'Données projet'!$E$11+1,1))-AVERAGE(OFFSET($H$3,0,0,'Données projet'!$E$11+1,1))</f>
        <v>162.86181551380446</v>
      </c>
      <c r="BJ37" s="59">
        <f t="shared" si="38"/>
        <v>184.96823352120742</v>
      </c>
      <c r="BK37" s="15">
        <f>IF(ISNA(VLOOKUP(A37,'Données projet'!$A$87:$I$107,3,0)),0,VLOOKUP(A37,'Données projet'!$A$87:$I$107,3,0))</f>
        <v>5</v>
      </c>
      <c r="BL37" s="15">
        <f>IF(ISNA(VLOOKUP(A37,'Données projet'!$A$87:$I$107,4,0)),0,VLOOKUP(A37,'Données projet'!$A$87:$I$107,4,0))</f>
        <v>25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3.6597136150885596</v>
      </c>
      <c r="BQ37" s="21">
        <f>EXP(-LN(2)/25)*BQ36+(1-EXP(-LN(2)/25))/(LN(2)/25)*Calculateur!BL37*Calculateur!BN37*VLOOKUP('Données projet'!$B$11,Paramètres!$A$1:$I$89,3,0)*0.475*44/12</f>
        <v>2.7993826255078416</v>
      </c>
      <c r="BR37" s="21">
        <f>EXP(-LN(2)/2)*BR36+(1-EXP(-LN(2)/2))/(LN(2)/2)*BL37*BO37*VLOOKUP('Données projet'!$B$11,Paramètres!$A$1:$I$89,3,0)*0.475*44/12</f>
        <v>0.41735320865900971</v>
      </c>
      <c r="BS37" s="22">
        <f t="shared" si="9"/>
        <v>6.8764494492554107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</v>
      </c>
      <c r="BY37" s="12">
        <f>IF('Données projet'!$A$114&gt;35,BY36+BX37-CG36,IF(A37&lt;'Données projet'!$A$114,$BV$205^A37,IF(A37='Données projet'!$A$114,'Données projet'!$B$114,BY36+BX37-CG36)))</f>
        <v>238.99999999999994</v>
      </c>
      <c r="BZ37" s="13">
        <f>BY37*VLOOKUP('Données projet'!$B$12,Paramètres!$A$1:$I$89,3,0)*VLOOKUP('Données projet'!$B$12,Paramètres!$A$1:$I$89,5,0)</f>
        <v>130.49399999999997</v>
      </c>
      <c r="CA37" s="13">
        <f t="shared" si="39"/>
        <v>34.110483018610772</v>
      </c>
      <c r="CB37" s="20">
        <f t="shared" si="10"/>
        <v>286.68614125741368</v>
      </c>
      <c r="CC37" s="59">
        <f t="shared" si="11"/>
        <v>580.019474590747</v>
      </c>
      <c r="CD37" s="59">
        <f ca="1">AVERAGE(OFFSET($CC$3,0,0,'Données projet'!$E$12+1,1))-AVERAGE(OFFSET($H$3,0,0,'Données projet'!$E$12+1,1))</f>
        <v>207.02306964567629</v>
      </c>
      <c r="CE37" s="59">
        <f t="shared" si="40"/>
        <v>342.06887933351783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6.1025649367446553</v>
      </c>
      <c r="CL37" s="21">
        <f>EXP(-LN(2)/25)*CL36+(1-EXP(-LN(2)/25))/(LN(2)/25)*Calculateur!CG37*Calculateur!CI37*VLOOKUP('Données projet'!$B$12,Paramètres!$A$1:$I$89,3,0)*0.475*44/12</f>
        <v>34.834065763605636</v>
      </c>
      <c r="CM37" s="21">
        <f>EXP(-LN(2)/2)*CM36+(1-EXP(-LN(2)/2))/(LN(2)/2)*CG37*CJ37*VLOOKUP('Données projet'!$B$12,Paramètres!$A$1:$I$89,3,0)*0.475*44/12</f>
        <v>3.3185130994752097</v>
      </c>
      <c r="CN37" s="22">
        <f t="shared" si="12"/>
        <v>44.255143799825504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138</v>
      </c>
      <c r="L38" s="12">
        <f>VLOOKUP(A38,'Données projet'!$A$35:$I$55,9,0)</f>
        <v>7.8</v>
      </c>
      <c r="M38" s="12">
        <f t="array" ref="M38">INDEX(L:L,MIN(IF(ISNUMBER(L38:L234),ROW(L38:L234),"")))</f>
        <v>7.8</v>
      </c>
      <c r="N38" s="13">
        <f>IF('Données projet'!$A$36&gt;35,N37+M38-V37,IF(A38&lt;'Données projet'!$A$36,$K$205^A38,IF(A38='Données projet'!$A$36,'Données projet'!$B$36,N37+M38-V37)))</f>
        <v>138</v>
      </c>
      <c r="O38" s="13">
        <f>N38*VLOOKUP('Données projet'!$B$9,Paramètres!$A$1:$I$89,3,0)*VLOOKUP('Données projet'!$B$9,Paramètres!$A$1:$I$89,5,0)</f>
        <v>120.55680000000001</v>
      </c>
      <c r="P38" s="13">
        <f t="shared" si="33"/>
        <v>31.804828741198779</v>
      </c>
      <c r="Q38" s="20">
        <f t="shared" si="53"/>
        <v>265.36317005758787</v>
      </c>
      <c r="R38" s="59">
        <f t="shared" si="0"/>
        <v>558.69650339092118</v>
      </c>
      <c r="S38" s="59">
        <f ca="1">AVERAGE(OFFSET($R$3,0,0,'Données projet'!$E$9+1,1))-AVERAGE(OFFSET($H$3,0,0,'Données projet'!$E$9+1,1))</f>
        <v>268.31928207836495</v>
      </c>
      <c r="T38" s="59">
        <f t="shared" si="34"/>
        <v>277.61304526670204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25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1.8636192211061335</v>
      </c>
      <c r="AA38" s="21">
        <f>EXP(-LN(2)/25)*AA37+(1-EXP(-LN(2)/25))/(LN(2)/25)*Calculateur!V38*Calculateur!X38*VLOOKUP('Données projet'!$B$9,Paramètres!$A$1:$I$89,3,0)*0.475*44/12</f>
        <v>4.90268015617169</v>
      </c>
      <c r="AB38" s="21">
        <f>EXP(-LN(2)/2)*AB37+(1-EXP(-LN(2)/2))/(LN(2)/2)*V38*Y38*VLOOKUP('Données projet'!$B$9,Paramètres!$A$1:$I$89,3,0)*0.475*44/12</f>
        <v>1.4431353381852756</v>
      </c>
      <c r="AC38" s="22">
        <f t="shared" si="3"/>
        <v>8.2094347154630984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576</v>
      </c>
      <c r="AG38" s="12">
        <f>VLOOKUP(A38,'Données projet'!$A$61:$I$81,9,0)</f>
        <v>28.4</v>
      </c>
      <c r="AH38" s="12">
        <f t="array" ref="AH38">INDEX(AG:AG,MIN(IF(ISNUMBER(AG38:AG234),ROW(AG38:AG234),"")))</f>
        <v>28.4</v>
      </c>
      <c r="AI38" s="13">
        <f>IF('Données projet'!$A$62&gt;35,AI37+AH38-AQ37,IF(A38&lt;'Données projet'!$A$62,$AF$205^A38,IF(A38='Données projet'!$A$62,'Données projet'!$B$62,AI37+AH38-AQ37)))</f>
        <v>575.99999999999989</v>
      </c>
      <c r="AJ38" s="13">
        <f>AI38*VLOOKUP('Données projet'!$B$10,Paramètres!$A$1:$I$89,3,0)*VLOOKUP('Données projet'!$B$10,Paramètres!$A$1:$I$89,5,0)</f>
        <v>321.98399999999992</v>
      </c>
      <c r="AK38" s="13">
        <f t="shared" si="35"/>
        <v>75.76601483154208</v>
      </c>
      <c r="AL38" s="20">
        <f t="shared" si="4"/>
        <v>692.74794249826891</v>
      </c>
      <c r="AM38" s="59">
        <f t="shared" si="5"/>
        <v>986.08127583160217</v>
      </c>
      <c r="AN38" s="59">
        <f ca="1">AVERAGE(OFFSET($AM$3,0,0,'Données projet'!$E$10+1,1))-AVERAGE(OFFSET($H$3,0,0,'Données projet'!$E$10+1,1))</f>
        <v>544.48194192356823</v>
      </c>
      <c r="AO38" s="59">
        <f t="shared" si="36"/>
        <v>668.20427590250733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6.6492256849899345</v>
      </c>
      <c r="AV38" s="21">
        <f>EXP(-LN(2)/25)*AV37+(1-EXP(-LN(2)/25))/(LN(2)/25)*Calculateur!AQ38*Calculateur!AS38*VLOOKUP('Données projet'!$B$10,Paramètres!$A$1:$I$89,3,0)*0.475*44/12</f>
        <v>31.096574309163071</v>
      </c>
      <c r="AW38" s="21">
        <f>EXP(-LN(2)/2)*AW37+(1-EXP(-LN(2)/2))/(LN(2)/2)*AQ38*AT38*VLOOKUP('Données projet'!$B$10,Paramètres!$A$1:$I$89,3,0)*0.475*44/12</f>
        <v>2.8161722497411623</v>
      </c>
      <c r="AX38" s="21">
        <f t="shared" si="6"/>
        <v>40.561972243894168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7.166666666666667</v>
      </c>
      <c r="BD38" s="12">
        <f>IF('Données projet'!$A$88&gt;35,BD37+BC38-BL37,IF(A38&lt;'Données projet'!$A$88,$BA$205^A38,IF(A38='Données projet'!$A$88,'Données projet'!$B$88,BD37+BC38-BL37)))</f>
        <v>125.16666666666666</v>
      </c>
      <c r="BE38" s="13">
        <f>BD38*VLOOKUP('Données projet'!$B$11,Paramètres!$A$1:$I$89,3,0)*VLOOKUP('Données projet'!$B$11,Paramètres!$A$1:$I$89,5,0)</f>
        <v>74.849666666666664</v>
      </c>
      <c r="BF38" s="13">
        <f t="shared" si="37"/>
        <v>20.873065432934762</v>
      </c>
      <c r="BG38" s="20">
        <f t="shared" si="7"/>
        <v>166.71709174013915</v>
      </c>
      <c r="BH38" s="59">
        <f t="shared" si="8"/>
        <v>460.05042507347247</v>
      </c>
      <c r="BI38" s="59">
        <f ca="1">AVERAGE(OFFSET($BH$3,0,0,'Données projet'!$E$11+1,1))-AVERAGE(OFFSET($H$3,0,0,'Données projet'!$E$11+1,1))</f>
        <v>162.86181551380446</v>
      </c>
      <c r="BJ38" s="59">
        <f t="shared" si="38"/>
        <v>184.96823352120742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3.5879488633015661</v>
      </c>
      <c r="BQ38" s="21">
        <f>EXP(-LN(2)/25)*BQ37+(1-EXP(-LN(2)/25))/(LN(2)/25)*Calculateur!BL38*Calculateur!BN38*VLOOKUP('Données projet'!$B$11,Paramètres!$A$1:$I$89,3,0)*0.475*44/12</f>
        <v>2.7228333604001955</v>
      </c>
      <c r="BR38" s="21">
        <f>EXP(-LN(2)/2)*BR37+(1-EXP(-LN(2)/2))/(LN(2)/2)*BL38*BO38*VLOOKUP('Données projet'!$B$11,Paramètres!$A$1:$I$89,3,0)*0.475*44/12</f>
        <v>0.29511328399274989</v>
      </c>
      <c r="BS38" s="22">
        <f t="shared" si="9"/>
        <v>6.6058955076945116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</v>
      </c>
      <c r="BY38" s="12">
        <f>IF('Données projet'!$A$114&gt;35,BY37+BX38-CG37,IF(A38&lt;'Données projet'!$A$114,$BV$205^A38,IF(A38='Données projet'!$A$114,'Données projet'!$B$114,BY37+BX38-CG37)))</f>
        <v>253.99999999999994</v>
      </c>
      <c r="BZ38" s="13">
        <f>BY38*VLOOKUP('Données projet'!$B$12,Paramètres!$A$1:$I$89,3,0)*VLOOKUP('Données projet'!$B$12,Paramètres!$A$1:$I$89,5,0)</f>
        <v>138.68399999999997</v>
      </c>
      <c r="CA38" s="13">
        <f t="shared" si="39"/>
        <v>35.995362862956796</v>
      </c>
      <c r="CB38" s="20">
        <f t="shared" si="10"/>
        <v>304.23322365298299</v>
      </c>
      <c r="CC38" s="59">
        <f t="shared" si="11"/>
        <v>597.5665569863163</v>
      </c>
      <c r="CD38" s="59">
        <f ca="1">AVERAGE(OFFSET($CC$3,0,0,'Données projet'!$E$12+1,1))-AVERAGE(OFFSET($H$3,0,0,'Données projet'!$E$12+1,1))</f>
        <v>207.02306964567629</v>
      </c>
      <c r="CE38" s="59">
        <f t="shared" si="40"/>
        <v>342.06887933351783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5.9828973605321671</v>
      </c>
      <c r="CL38" s="21">
        <f>EXP(-LN(2)/25)*CL37+(1-EXP(-LN(2)/25))/(LN(2)/25)*Calculateur!CG38*Calculateur!CI38*VLOOKUP('Données projet'!$B$12,Paramètres!$A$1:$I$89,3,0)*0.475*44/12</f>
        <v>33.881526403455936</v>
      </c>
      <c r="CM38" s="21">
        <f>EXP(-LN(2)/2)*CM37+(1-EXP(-LN(2)/2))/(LN(2)/2)*CG38*CJ38*VLOOKUP('Données projet'!$B$12,Paramètres!$A$1:$I$89,3,0)*0.475*44/12</f>
        <v>2.346543116095309</v>
      </c>
      <c r="CN38" s="22">
        <f t="shared" si="12"/>
        <v>42.210966880083411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7.4</v>
      </c>
      <c r="N39" s="13">
        <f>IF('Données projet'!$A$36&gt;35,N38+M39-V38,IF(A39&lt;'Données projet'!$A$36,$K$205^A39,IF(A39='Données projet'!$A$36,'Données projet'!$B$36,N38+M39-V38)))</f>
        <v>120.4</v>
      </c>
      <c r="O39" s="13">
        <f>N39*VLOOKUP('Données projet'!$B$9,Paramètres!$A$1:$I$89,3,0)*VLOOKUP('Données projet'!$B$9,Paramètres!$A$1:$I$89,5,0)</f>
        <v>105.18144000000001</v>
      </c>
      <c r="P39" s="13">
        <f t="shared" si="33"/>
        <v>28.192751573651549</v>
      </c>
      <c r="Q39" s="20">
        <f t="shared" si="53"/>
        <v>232.29338365744312</v>
      </c>
      <c r="R39" s="59">
        <f t="shared" si="0"/>
        <v>525.62671699077646</v>
      </c>
      <c r="S39" s="59">
        <f ca="1">AVERAGE(OFFSET($R$3,0,0,'Données projet'!$E$9+1,1))-AVERAGE(OFFSET($H$3,0,0,'Données projet'!$E$9+1,1))</f>
        <v>268.31928207836495</v>
      </c>
      <c r="T39" s="59">
        <f t="shared" si="34"/>
        <v>277.61304526670204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1.8270747848757278</v>
      </c>
      <c r="AA39" s="21">
        <f>EXP(-LN(2)/25)*AA38+(1-EXP(-LN(2)/25))/(LN(2)/25)*Calculateur!V39*Calculateur!X39*VLOOKUP('Données projet'!$B$9,Paramètres!$A$1:$I$89,3,0)*0.475*44/12</f>
        <v>4.7686161094804307</v>
      </c>
      <c r="AB39" s="21">
        <f>EXP(-LN(2)/2)*AB38+(1-EXP(-LN(2)/2))/(LN(2)/2)*V39*Y39*VLOOKUP('Données projet'!$B$9,Paramètres!$A$1:$I$89,3,0)*0.475*44/12</f>
        <v>1.0204507838007499</v>
      </c>
      <c r="AC39" s="22">
        <f t="shared" si="3"/>
        <v>7.6161416781569082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</v>
      </c>
      <c r="AI39" s="13">
        <f>IF('Données projet'!$A$62&gt;35,AI38+AH39-AQ38,IF(A39&lt;'Données projet'!$A$62,$AF$205^A39,IF(A39='Données projet'!$A$62,'Données projet'!$B$62,AI38+AH39-AQ38)))</f>
        <v>530.99999999999989</v>
      </c>
      <c r="AJ39" s="13">
        <f>AI39*VLOOKUP('Données projet'!$B$10,Paramètres!$A$1:$I$89,3,0)*VLOOKUP('Données projet'!$B$10,Paramètres!$A$1:$I$89,5,0)</f>
        <v>296.82899999999995</v>
      </c>
      <c r="AK39" s="13">
        <f t="shared" si="35"/>
        <v>70.511289513454344</v>
      </c>
      <c r="AL39" s="20">
        <f t="shared" si="4"/>
        <v>639.78433756926631</v>
      </c>
      <c r="AM39" s="59">
        <f t="shared" si="5"/>
        <v>933.11767090259968</v>
      </c>
      <c r="AN39" s="59">
        <f ca="1">AVERAGE(OFFSET($AM$3,0,0,'Données projet'!$E$10+1,1))-AVERAGE(OFFSET($H$3,0,0,'Données projet'!$E$10+1,1))</f>
        <v>544.48194192356823</v>
      </c>
      <c r="AO39" s="59">
        <f t="shared" si="36"/>
        <v>668.20427590250733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6.51883842493449</v>
      </c>
      <c r="AV39" s="21">
        <f>EXP(-LN(2)/25)*AV38+(1-EXP(-LN(2)/25))/(LN(2)/25)*Calculateur!AQ39*Calculateur!AS39*VLOOKUP('Données projet'!$B$10,Paramètres!$A$1:$I$89,3,0)*0.475*44/12</f>
        <v>30.246236849381237</v>
      </c>
      <c r="AW39" s="21">
        <f>EXP(-LN(2)/2)*AW38+(1-EXP(-LN(2)/2))/(LN(2)/2)*AQ39*AT39*VLOOKUP('Données projet'!$B$10,Paramètres!$A$1:$I$89,3,0)*0.475*44/12</f>
        <v>1.9913344947813514</v>
      </c>
      <c r="AX39" s="21">
        <f t="shared" si="6"/>
        <v>38.756409769097075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7.166666666666667</v>
      </c>
      <c r="BD39" s="12">
        <f>IF('Données projet'!$A$88&gt;35,BD38+BC39-BL38,IF(A39&lt;'Données projet'!$A$88,$BA$205^A39,IF(A39='Données projet'!$A$88,'Données projet'!$B$88,BD38+BC39-BL38)))</f>
        <v>132.33333333333331</v>
      </c>
      <c r="BE39" s="13">
        <f>BD39*VLOOKUP('Données projet'!$B$11,Paramètres!$A$1:$I$89,3,0)*VLOOKUP('Données projet'!$B$11,Paramètres!$A$1:$I$89,5,0)</f>
        <v>79.135333333333335</v>
      </c>
      <c r="BF39" s="13">
        <f t="shared" si="37"/>
        <v>21.925635105673987</v>
      </c>
      <c r="BG39" s="20">
        <f t="shared" si="7"/>
        <v>176.0145200312711</v>
      </c>
      <c r="BH39" s="59">
        <f t="shared" si="8"/>
        <v>469.34785336460442</v>
      </c>
      <c r="BI39" s="59">
        <f ca="1">AVERAGE(OFFSET($BH$3,0,0,'Données projet'!$E$11+1,1))-AVERAGE(OFFSET($H$3,0,0,'Données projet'!$E$11+1,1))</f>
        <v>162.86181551380446</v>
      </c>
      <c r="BJ39" s="59">
        <f t="shared" si="38"/>
        <v>184.96823352120742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3.5175913745249394</v>
      </c>
      <c r="BQ39" s="21">
        <f>EXP(-LN(2)/25)*BQ38+(1-EXP(-LN(2)/25))/(LN(2)/25)*Calculateur!BL39*Calculateur!BN39*VLOOKUP('Données projet'!$B$11,Paramètres!$A$1:$I$89,3,0)*0.475*44/12</f>
        <v>2.6483773389724687</v>
      </c>
      <c r="BR39" s="21">
        <f>EXP(-LN(2)/2)*BR38+(1-EXP(-LN(2)/2))/(LN(2)/2)*BL39*BO39*VLOOKUP('Données projet'!$B$11,Paramètres!$A$1:$I$89,3,0)*0.475*44/12</f>
        <v>0.20867660432950486</v>
      </c>
      <c r="BS39" s="22">
        <f t="shared" si="9"/>
        <v>6.3746453178269133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269</v>
      </c>
      <c r="BW39" s="12">
        <f>VLOOKUP(A39,'Données projet'!$A$113:$I$133,9,0)</f>
        <v>15</v>
      </c>
      <c r="BX39" s="12">
        <f t="array" ref="BX39">INDEX(BW:BW,MIN(IF(ISNUMBER(BW39:BW235),ROW(BW39:BW235),"")))</f>
        <v>15</v>
      </c>
      <c r="BY39" s="12">
        <f>IF('Données projet'!$A$114&gt;35,BY38+BX39-CG38,IF(A39&lt;'Données projet'!$A$114,$BV$205^A39,IF(A39='Données projet'!$A$114,'Données projet'!$B$114,BY38+BX39-CG38)))</f>
        <v>268.99999999999994</v>
      </c>
      <c r="BZ39" s="13">
        <f>BY39*VLOOKUP('Données projet'!$B$12,Paramètres!$A$1:$I$89,3,0)*VLOOKUP('Données projet'!$B$12,Paramètres!$A$1:$I$89,5,0)</f>
        <v>146.87399999999997</v>
      </c>
      <c r="CA39" s="13">
        <f t="shared" si="39"/>
        <v>37.867322517591383</v>
      </c>
      <c r="CB39" s="20">
        <f t="shared" si="10"/>
        <v>321.75780338480496</v>
      </c>
      <c r="CC39" s="59">
        <f t="shared" si="11"/>
        <v>615.09113671813827</v>
      </c>
      <c r="CD39" s="59">
        <f ca="1">AVERAGE(OFFSET($CC$3,0,0,'Données projet'!$E$12+1,1))-AVERAGE(OFFSET($H$3,0,0,'Données projet'!$E$12+1,1))</f>
        <v>207.02306964567629</v>
      </c>
      <c r="CE39" s="59">
        <f t="shared" si="40"/>
        <v>342.06887933351783</v>
      </c>
      <c r="CF39" s="15">
        <f>IF(ISNA(VLOOKUP(A39,'Données projet'!$A$113:$I$133,3,0)),0,VLOOKUP(A39,'Données projet'!$A$113:$I$133,3,0))</f>
        <v>6</v>
      </c>
      <c r="CG39" s="15">
        <f>IF(ISNA(VLOOKUP(A39,'Données projet'!$A$113:$I$133,4,0)),0,VLOOKUP(A39,'Données projet'!$A$113:$I$133,4,0))</f>
        <v>75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5.8655763924991922</v>
      </c>
      <c r="CL39" s="21">
        <f>EXP(-LN(2)/25)*CL38+(1-EXP(-LN(2)/25))/(LN(2)/25)*Calculateur!CG39*Calculateur!CI39*VLOOKUP('Données projet'!$B$12,Paramètres!$A$1:$I$89,3,0)*0.475*44/12</f>
        <v>32.955034282201396</v>
      </c>
      <c r="CM39" s="21">
        <f>EXP(-LN(2)/2)*CM38+(1-EXP(-LN(2)/2))/(LN(2)/2)*CG39*CJ39*VLOOKUP('Données projet'!$B$12,Paramètres!$A$1:$I$89,3,0)*0.475*44/12</f>
        <v>1.6592565497376051</v>
      </c>
      <c r="CN39" s="22">
        <f t="shared" si="12"/>
        <v>40.479867224438195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7.4</v>
      </c>
      <c r="N40" s="13">
        <f>IF('Données projet'!$A$36&gt;35,N39+M40-V39,IF(A40&lt;'Données projet'!$A$36,$K$205^A40,IF(A40='Données projet'!$A$36,'Données projet'!$B$36,N39+M40-V39)))</f>
        <v>127.80000000000001</v>
      </c>
      <c r="O40" s="13">
        <f>N40*VLOOKUP('Données projet'!$B$9,Paramètres!$A$1:$I$89,3,0)*VLOOKUP('Données projet'!$B$9,Paramètres!$A$1:$I$89,5,0)</f>
        <v>111.64608000000003</v>
      </c>
      <c r="P40" s="13">
        <f t="shared" si="33"/>
        <v>29.718477955114288</v>
      </c>
      <c r="Q40" s="20">
        <f t="shared" si="53"/>
        <v>246.20993843849078</v>
      </c>
      <c r="R40" s="59">
        <f t="shared" si="0"/>
        <v>539.54327177182404</v>
      </c>
      <c r="S40" s="59">
        <f ca="1">AVERAGE(OFFSET($R$3,0,0,'Données projet'!$E$9+1,1))-AVERAGE(OFFSET($H$3,0,0,'Données projet'!$E$9+1,1))</f>
        <v>268.31928207836495</v>
      </c>
      <c r="T40" s="59">
        <f t="shared" si="34"/>
        <v>277.61304526670204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1.7912469627498953</v>
      </c>
      <c r="AA40" s="21">
        <f>EXP(-LN(2)/25)*AA39+(1-EXP(-LN(2)/25))/(LN(2)/25)*Calculateur!V40*Calculateur!X40*VLOOKUP('Données projet'!$B$9,Paramètres!$A$1:$I$89,3,0)*0.475*44/12</f>
        <v>4.6382180511960662</v>
      </c>
      <c r="AB40" s="21">
        <f>EXP(-LN(2)/2)*AB39+(1-EXP(-LN(2)/2))/(LN(2)/2)*V40*Y40*VLOOKUP('Données projet'!$B$9,Paramètres!$A$1:$I$89,3,0)*0.475*44/12</f>
        <v>0.72156766909263781</v>
      </c>
      <c r="AC40" s="22">
        <f t="shared" si="3"/>
        <v>7.1510326830385988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</v>
      </c>
      <c r="AI40" s="13">
        <f>IF('Données projet'!$A$62&gt;35,AI39+AH40-AQ39,IF(A40&lt;'Données projet'!$A$62,$AF$205^A40,IF(A40='Données projet'!$A$62,'Données projet'!$B$62,AI39+AH40-AQ39)))</f>
        <v>557.99999999999989</v>
      </c>
      <c r="AJ40" s="13">
        <f>AI40*VLOOKUP('Données projet'!$B$10,Paramètres!$A$1:$I$89,3,0)*VLOOKUP('Données projet'!$B$10,Paramètres!$A$1:$I$89,5,0)</f>
        <v>311.92199999999991</v>
      </c>
      <c r="AK40" s="13">
        <f t="shared" si="35"/>
        <v>73.670075764965745</v>
      </c>
      <c r="AL40" s="20">
        <f t="shared" si="4"/>
        <v>671.57286529064845</v>
      </c>
      <c r="AM40" s="59">
        <f t="shared" si="5"/>
        <v>964.90619862398171</v>
      </c>
      <c r="AN40" s="59">
        <f ca="1">AVERAGE(OFFSET($AM$3,0,0,'Données projet'!$E$10+1,1))-AVERAGE(OFFSET($H$3,0,0,'Données projet'!$E$10+1,1))</f>
        <v>544.48194192356823</v>
      </c>
      <c r="AO40" s="59">
        <f t="shared" si="36"/>
        <v>668.20427590250733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6.3910079795203565</v>
      </c>
      <c r="AV40" s="21">
        <f>EXP(-LN(2)/25)*AV39+(1-EXP(-LN(2)/25))/(LN(2)/25)*Calculateur!AQ40*Calculateur!AS40*VLOOKUP('Données projet'!$B$10,Paramètres!$A$1:$I$89,3,0)*0.475*44/12</f>
        <v>29.41915191215444</v>
      </c>
      <c r="AW40" s="21">
        <f>EXP(-LN(2)/2)*AW39+(1-EXP(-LN(2)/2))/(LN(2)/2)*AQ40*AT40*VLOOKUP('Données projet'!$B$10,Paramètres!$A$1:$I$89,3,0)*0.475*44/12</f>
        <v>1.4080861248705814</v>
      </c>
      <c r="AX40" s="21">
        <f t="shared" si="6"/>
        <v>37.218246016545379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7.166666666666667</v>
      </c>
      <c r="BD40" s="12">
        <f>IF('Données projet'!$A$88&gt;35,BD39+BC40-BL39,IF(A40&lt;'Données projet'!$A$88,$BA$205^A40,IF(A40='Données projet'!$A$88,'Données projet'!$B$88,BD39+BC40-BL39)))</f>
        <v>139.49999999999997</v>
      </c>
      <c r="BE40" s="13">
        <f>BD40*VLOOKUP('Données projet'!$B$11,Paramètres!$A$1:$I$89,3,0)*VLOOKUP('Données projet'!$B$11,Paramètres!$A$1:$I$89,5,0)</f>
        <v>83.420999999999992</v>
      </c>
      <c r="BF40" s="13">
        <f t="shared" si="37"/>
        <v>22.971587067187599</v>
      </c>
      <c r="BG40" s="20">
        <f t="shared" si="7"/>
        <v>185.30042247535172</v>
      </c>
      <c r="BH40" s="59">
        <f t="shared" si="8"/>
        <v>478.63375580868501</v>
      </c>
      <c r="BI40" s="59">
        <f ca="1">AVERAGE(OFFSET($BH$3,0,0,'Données projet'!$E$11+1,1))-AVERAGE(OFFSET($H$3,0,0,'Données projet'!$E$11+1,1))</f>
        <v>162.86181551380446</v>
      </c>
      <c r="BJ40" s="59">
        <f t="shared" si="38"/>
        <v>184.96823352120742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3.4486135531893916</v>
      </c>
      <c r="BQ40" s="21">
        <f>EXP(-LN(2)/25)*BQ39+(1-EXP(-LN(2)/25))/(LN(2)/25)*Calculateur!BL40*Calculateur!BN40*VLOOKUP('Données projet'!$B$11,Paramètres!$A$1:$I$89,3,0)*0.475*44/12</f>
        <v>2.5759573213661553</v>
      </c>
      <c r="BR40" s="21">
        <f>EXP(-LN(2)/2)*BR39+(1-EXP(-LN(2)/2))/(LN(2)/2)*BL40*BO40*VLOOKUP('Données projet'!$B$11,Paramètres!$A$1:$I$89,3,0)*0.475*44/12</f>
        <v>0.14755664199637494</v>
      </c>
      <c r="BS40" s="22">
        <f t="shared" si="9"/>
        <v>6.1721275165519218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</v>
      </c>
      <c r="BY40" s="12">
        <f>IF('Données projet'!$A$114&gt;35,BY39+BX40-CG39,IF(A40&lt;'Données projet'!$A$114,$BV$205^A40,IF(A40='Données projet'!$A$114,'Données projet'!$B$114,BY39+BX40-CG39)))</f>
        <v>207.99999999999994</v>
      </c>
      <c r="BZ40" s="13">
        <f>BY40*VLOOKUP('Données projet'!$B$12,Paramètres!$A$1:$I$89,3,0)*VLOOKUP('Données projet'!$B$12,Paramètres!$A$1:$I$89,5,0)</f>
        <v>113.56799999999997</v>
      </c>
      <c r="CA40" s="13">
        <f t="shared" si="39"/>
        <v>30.170065062058185</v>
      </c>
      <c r="CB40" s="20">
        <f t="shared" si="10"/>
        <v>250.34379664975128</v>
      </c>
      <c r="CC40" s="59">
        <f t="shared" si="11"/>
        <v>543.67712998308457</v>
      </c>
      <c r="CD40" s="59">
        <f ca="1">AVERAGE(OFFSET($CC$3,0,0,'Données projet'!$E$12+1,1))-AVERAGE(OFFSET($H$3,0,0,'Données projet'!$E$12+1,1))</f>
        <v>207.02306964567629</v>
      </c>
      <c r="CE40" s="59">
        <f t="shared" si="40"/>
        <v>342.06887933351783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5.7505560170906191</v>
      </c>
      <c r="CL40" s="21">
        <f>EXP(-LN(2)/25)*CL39+(1-EXP(-LN(2)/25))/(LN(2)/25)*Calculateur!CG40*Calculateur!CI40*VLOOKUP('Données projet'!$B$12,Paramètres!$A$1:$I$89,3,0)*0.475*44/12</f>
        <v>32.053877136724665</v>
      </c>
      <c r="CM40" s="21">
        <f>EXP(-LN(2)/2)*CM39+(1-EXP(-LN(2)/2))/(LN(2)/2)*CG40*CJ40*VLOOKUP('Données projet'!$B$12,Paramètres!$A$1:$I$89,3,0)*0.475*44/12</f>
        <v>1.1732715580476545</v>
      </c>
      <c r="CN40" s="22">
        <f t="shared" si="12"/>
        <v>38.977704711862934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7.4</v>
      </c>
      <c r="N41" s="13">
        <f>IF('Données projet'!$A$36&gt;35,N40+M41-V40,IF(A41&lt;'Données projet'!$A$36,$K$205^A41,IF(A41='Données projet'!$A$36,'Données projet'!$B$36,N40+M41-V40)))</f>
        <v>135.20000000000002</v>
      </c>
      <c r="O41" s="13">
        <f>N41*VLOOKUP('Données projet'!$B$9,Paramètres!$A$1:$I$89,3,0)*VLOOKUP('Données projet'!$B$9,Paramètres!$A$1:$I$89,5,0)</f>
        <v>118.11072000000003</v>
      </c>
      <c r="P41" s="13">
        <f t="shared" si="33"/>
        <v>31.233949612110369</v>
      </c>
      <c r="Q41" s="20">
        <f t="shared" si="53"/>
        <v>260.10863290775893</v>
      </c>
      <c r="R41" s="59">
        <f t="shared" si="0"/>
        <v>553.44196624109225</v>
      </c>
      <c r="S41" s="59">
        <f ca="1">AVERAGE(OFFSET($R$3,0,0,'Données projet'!$E$9+1,1))-AVERAGE(OFFSET($H$3,0,0,'Données projet'!$E$9+1,1))</f>
        <v>268.31928207836495</v>
      </c>
      <c r="T41" s="59">
        <f t="shared" si="34"/>
        <v>277.61304526670204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1.7561217023631364</v>
      </c>
      <c r="AA41" s="21">
        <f>EXP(-LN(2)/25)*AA40+(1-EXP(-LN(2)/25))/(LN(2)/25)*Calculateur!V41*Calculateur!X41*VLOOKUP('Données projet'!$B$9,Paramètres!$A$1:$I$89,3,0)*0.475*44/12</f>
        <v>4.5113857346728237</v>
      </c>
      <c r="AB41" s="21">
        <f>EXP(-LN(2)/2)*AB40+(1-EXP(-LN(2)/2))/(LN(2)/2)*V41*Y41*VLOOKUP('Données projet'!$B$9,Paramètres!$A$1:$I$89,3,0)*0.475*44/12</f>
        <v>0.51022539190037497</v>
      </c>
      <c r="AC41" s="22">
        <f t="shared" si="3"/>
        <v>6.777732828936335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</v>
      </c>
      <c r="AI41" s="13">
        <f>IF('Données projet'!$A$62&gt;35,AI40+AH41-AQ40,IF(A41&lt;'Données projet'!$A$62,$AF$205^A41,IF(A41='Données projet'!$A$62,'Données projet'!$B$62,AI40+AH41-AQ40)))</f>
        <v>584.99999999999989</v>
      </c>
      <c r="AJ41" s="13">
        <f>AI41*VLOOKUP('Données projet'!$B$10,Paramètres!$A$1:$I$89,3,0)*VLOOKUP('Données projet'!$B$10,Paramètres!$A$1:$I$89,5,0)</f>
        <v>327.01499999999993</v>
      </c>
      <c r="AK41" s="13">
        <f t="shared" si="35"/>
        <v>76.811113612871907</v>
      </c>
      <c r="AL41" s="20">
        <f t="shared" si="4"/>
        <v>703.33048120908506</v>
      </c>
      <c r="AM41" s="59">
        <f t="shared" si="5"/>
        <v>996.66381454241832</v>
      </c>
      <c r="AN41" s="59">
        <f ca="1">AVERAGE(OFFSET($AM$3,0,0,'Données projet'!$E$10+1,1))-AVERAGE(OFFSET($H$3,0,0,'Données projet'!$E$10+1,1))</f>
        <v>544.48194192356823</v>
      </c>
      <c r="AO41" s="59">
        <f t="shared" si="36"/>
        <v>668.20427590250733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6.2656842111719211</v>
      </c>
      <c r="AV41" s="21">
        <f>EXP(-LN(2)/25)*AV40+(1-EXP(-LN(2)/25))/(LN(2)/25)*Calculateur!AQ41*Calculateur!AS41*VLOOKUP('Données projet'!$B$10,Paramètres!$A$1:$I$89,3,0)*0.475*44/12</f>
        <v>28.614683656030618</v>
      </c>
      <c r="AW41" s="21">
        <f>EXP(-LN(2)/2)*AW40+(1-EXP(-LN(2)/2))/(LN(2)/2)*AQ41*AT41*VLOOKUP('Données projet'!$B$10,Paramètres!$A$1:$I$89,3,0)*0.475*44/12</f>
        <v>0.99566724739067591</v>
      </c>
      <c r="AX41" s="21">
        <f t="shared" si="6"/>
        <v>35.876035114593215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7.166666666666667</v>
      </c>
      <c r="BD41" s="12">
        <f>IF('Données projet'!$A$88&gt;35,BD40+BC41-BL40,IF(A41&lt;'Données projet'!$A$88,$BA$205^A41,IF(A41='Données projet'!$A$88,'Données projet'!$B$88,BD40+BC41-BL40)))</f>
        <v>146.66666666666663</v>
      </c>
      <c r="BE41" s="13">
        <f>BD41*VLOOKUP('Données projet'!$B$11,Paramètres!$A$1:$I$89,3,0)*VLOOKUP('Données projet'!$B$11,Paramètres!$A$1:$I$89,5,0)</f>
        <v>87.706666666666649</v>
      </c>
      <c r="BF41" s="13">
        <f t="shared" si="37"/>
        <v>24.011300077813175</v>
      </c>
      <c r="BG41" s="20">
        <f t="shared" si="7"/>
        <v>194.57545874663569</v>
      </c>
      <c r="BH41" s="59">
        <f t="shared" si="8"/>
        <v>487.90879207996898</v>
      </c>
      <c r="BI41" s="59">
        <f ca="1">AVERAGE(OFFSET($BH$3,0,0,'Données projet'!$E$11+1,1))-AVERAGE(OFFSET($H$3,0,0,'Données projet'!$E$11+1,1))</f>
        <v>162.86181551380446</v>
      </c>
      <c r="BJ41" s="59">
        <f t="shared" si="38"/>
        <v>184.96823352120742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3.3809883448579168</v>
      </c>
      <c r="BQ41" s="21">
        <f>EXP(-LN(2)/25)*BQ40+(1-EXP(-LN(2)/25))/(LN(2)/25)*Calculateur!BL41*Calculateur!BN41*VLOOKUP('Données projet'!$B$11,Paramètres!$A$1:$I$89,3,0)*0.475*44/12</f>
        <v>2.5055176329496898</v>
      </c>
      <c r="BR41" s="21">
        <f>EXP(-LN(2)/2)*BR40+(1-EXP(-LN(2)/2))/(LN(2)/2)*BL41*BO41*VLOOKUP('Données projet'!$B$11,Paramètres!$A$1:$I$89,3,0)*0.475*44/12</f>
        <v>0.10433830216475243</v>
      </c>
      <c r="BS41" s="22">
        <f t="shared" si="9"/>
        <v>5.9908442799723591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</v>
      </c>
      <c r="BY41" s="12">
        <f>IF('Données projet'!$A$114&gt;35,BY40+BX41-CG40,IF(A41&lt;'Données projet'!$A$114,$BV$205^A41,IF(A41='Données projet'!$A$114,'Données projet'!$B$114,BY40+BX41-CG40)))</f>
        <v>221.99999999999994</v>
      </c>
      <c r="BZ41" s="13">
        <f>BY41*VLOOKUP('Données projet'!$B$12,Paramètres!$A$1:$I$89,3,0)*VLOOKUP('Données projet'!$B$12,Paramètres!$A$1:$I$89,5,0)</f>
        <v>121.21199999999996</v>
      </c>
      <c r="CA41" s="13">
        <f t="shared" si="39"/>
        <v>31.95751284761706</v>
      </c>
      <c r="CB41" s="20">
        <f t="shared" si="10"/>
        <v>266.77023487626633</v>
      </c>
      <c r="CC41" s="59">
        <f t="shared" si="11"/>
        <v>560.10356820959964</v>
      </c>
      <c r="CD41" s="59">
        <f ca="1">AVERAGE(OFFSET($CC$3,0,0,'Données projet'!$E$12+1,1))-AVERAGE(OFFSET($H$3,0,0,'Données projet'!$E$12+1,1))</f>
        <v>207.02306964567629</v>
      </c>
      <c r="CE41" s="59">
        <f t="shared" si="40"/>
        <v>342.06887933351783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5.6377911210883065</v>
      </c>
      <c r="CL41" s="21">
        <f>EXP(-LN(2)/25)*CL40+(1-EXP(-LN(2)/25))/(LN(2)/25)*Calculateur!CG41*Calculateur!CI41*VLOOKUP('Données projet'!$B$12,Paramètres!$A$1:$I$89,3,0)*0.475*44/12</f>
        <v>31.17736218078079</v>
      </c>
      <c r="CM41" s="21">
        <f>EXP(-LN(2)/2)*CM40+(1-EXP(-LN(2)/2))/(LN(2)/2)*CG41*CJ41*VLOOKUP('Données projet'!$B$12,Paramètres!$A$1:$I$89,3,0)*0.475*44/12</f>
        <v>0.82962827486880253</v>
      </c>
      <c r="CN41" s="22">
        <f t="shared" si="12"/>
        <v>37.644781576737898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7.4</v>
      </c>
      <c r="N42" s="13">
        <f>IF('Données projet'!$A$36&gt;35,N41+M42-V41,IF(A42&lt;'Données projet'!$A$36,$K$205^A42,IF(A42='Données projet'!$A$36,'Données projet'!$B$36,N41+M42-V41)))</f>
        <v>142.60000000000002</v>
      </c>
      <c r="O42" s="13">
        <f>N42*VLOOKUP('Données projet'!$B$9,Paramètres!$A$1:$I$89,3,0)*VLOOKUP('Données projet'!$B$9,Paramètres!$A$1:$I$89,5,0)</f>
        <v>124.57536000000005</v>
      </c>
      <c r="P42" s="13">
        <f t="shared" si="33"/>
        <v>32.73979180600098</v>
      </c>
      <c r="Q42" s="20">
        <f t="shared" si="53"/>
        <v>273.99055606211846</v>
      </c>
      <c r="R42" s="59">
        <f t="shared" si="0"/>
        <v>567.32388939545172</v>
      </c>
      <c r="S42" s="59">
        <f ca="1">AVERAGE(OFFSET($R$3,0,0,'Données projet'!$E$9+1,1))-AVERAGE(OFFSET($H$3,0,0,'Données projet'!$E$9+1,1))</f>
        <v>268.31928207836495</v>
      </c>
      <c r="T42" s="59">
        <f t="shared" si="34"/>
        <v>277.61304526670204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1.7216852269082685</v>
      </c>
      <c r="AA42" s="21">
        <f>EXP(-LN(2)/25)*AA41+(1-EXP(-LN(2)/25))/(LN(2)/25)*Calculateur!V42*Calculateur!X42*VLOOKUP('Données projet'!$B$9,Paramètres!$A$1:$I$89,3,0)*0.475*44/12</f>
        <v>4.3880216545147306</v>
      </c>
      <c r="AB42" s="21">
        <f>EXP(-LN(2)/2)*AB41+(1-EXP(-LN(2)/2))/(LN(2)/2)*V42*Y42*VLOOKUP('Données projet'!$B$9,Paramètres!$A$1:$I$89,3,0)*0.475*44/12</f>
        <v>0.3607838345463189</v>
      </c>
      <c r="AC42" s="22">
        <f t="shared" si="3"/>
        <v>6.4704907159693184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</v>
      </c>
      <c r="AI42" s="13">
        <f>IF('Données projet'!$A$62&gt;35,AI41+AH42-AQ41,IF(A42&lt;'Données projet'!$A$62,$AF$205^A42,IF(A42='Données projet'!$A$62,'Données projet'!$B$62,AI41+AH42-AQ41)))</f>
        <v>611.99999999999989</v>
      </c>
      <c r="AJ42" s="13">
        <f>AI42*VLOOKUP('Données projet'!$B$10,Paramètres!$A$1:$I$89,3,0)*VLOOKUP('Données projet'!$B$10,Paramètres!$A$1:$I$89,5,0)</f>
        <v>342.10799999999995</v>
      </c>
      <c r="AK42" s="13">
        <f t="shared" si="35"/>
        <v>79.935315774430151</v>
      </c>
      <c r="AL42" s="20">
        <f t="shared" si="4"/>
        <v>735.0587749737989</v>
      </c>
      <c r="AM42" s="59">
        <f t="shared" si="5"/>
        <v>1028.3921083071323</v>
      </c>
      <c r="AN42" s="59">
        <f ca="1">AVERAGE(OFFSET($AM$3,0,0,'Données projet'!$E$10+1,1))-AVERAGE(OFFSET($H$3,0,0,'Données projet'!$E$10+1,1))</f>
        <v>544.48194192356823</v>
      </c>
      <c r="AO42" s="59">
        <f t="shared" si="36"/>
        <v>668.20427590250733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6.1428179654808481</v>
      </c>
      <c r="AV42" s="21">
        <f>EXP(-LN(2)/25)*AV41+(1-EXP(-LN(2)/25))/(LN(2)/25)*Calculateur!AQ42*Calculateur!AS42*VLOOKUP('Données projet'!$B$10,Paramètres!$A$1:$I$89,3,0)*0.475*44/12</f>
        <v>27.832213626675646</v>
      </c>
      <c r="AW42" s="21">
        <f>EXP(-LN(2)/2)*AW41+(1-EXP(-LN(2)/2))/(LN(2)/2)*AQ42*AT42*VLOOKUP('Données projet'!$B$10,Paramètres!$A$1:$I$89,3,0)*0.475*44/12</f>
        <v>0.7040430624352908</v>
      </c>
      <c r="AX42" s="21">
        <f t="shared" si="6"/>
        <v>34.679074654591787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7.166666666666667</v>
      </c>
      <c r="BD42" s="12">
        <f>IF('Données projet'!$A$88&gt;35,BD41+BC42-BL41,IF(A42&lt;'Données projet'!$A$88,$BA$205^A42,IF(A42='Données projet'!$A$88,'Données projet'!$B$88,BD41+BC42-BL41)))</f>
        <v>153.83333333333329</v>
      </c>
      <c r="BE42" s="13">
        <f>BD42*VLOOKUP('Données projet'!$B$11,Paramètres!$A$1:$I$89,3,0)*VLOOKUP('Données projet'!$B$11,Paramètres!$A$1:$I$89,5,0)</f>
        <v>91.99233333333332</v>
      </c>
      <c r="BF42" s="13">
        <f t="shared" si="37"/>
        <v>25.045113791449438</v>
      </c>
      <c r="BG42" s="20">
        <f t="shared" si="7"/>
        <v>203.84022040899663</v>
      </c>
      <c r="BH42" s="59">
        <f t="shared" si="8"/>
        <v>497.17355374232994</v>
      </c>
      <c r="BI42" s="59">
        <f ca="1">AVERAGE(OFFSET($BH$3,0,0,'Données projet'!$E$11+1,1))-AVERAGE(OFFSET($H$3,0,0,'Données projet'!$E$11+1,1))</f>
        <v>162.86181551380446</v>
      </c>
      <c r="BJ42" s="59">
        <f t="shared" si="38"/>
        <v>184.96823352120742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3.3146892256145182</v>
      </c>
      <c r="BQ42" s="21">
        <f>EXP(-LN(2)/25)*BQ41+(1-EXP(-LN(2)/25))/(LN(2)/25)*Calculateur!BL42*Calculateur!BN42*VLOOKUP('Données projet'!$B$11,Paramètres!$A$1:$I$89,3,0)*0.475*44/12</f>
        <v>2.4370041215172344</v>
      </c>
      <c r="BR42" s="21">
        <f>EXP(-LN(2)/2)*BR41+(1-EXP(-LN(2)/2))/(LN(2)/2)*BL42*BO42*VLOOKUP('Données projet'!$B$11,Paramètres!$A$1:$I$89,3,0)*0.475*44/12</f>
        <v>7.3778320998187472E-2</v>
      </c>
      <c r="BS42" s="22">
        <f t="shared" si="9"/>
        <v>5.8254716681299392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</v>
      </c>
      <c r="BY42" s="12">
        <f>IF('Données projet'!$A$114&gt;35,BY41+BX42-CG41,IF(A42&lt;'Données projet'!$A$114,$BV$205^A42,IF(A42='Données projet'!$A$114,'Données projet'!$B$114,BY41+BX42-CG41)))</f>
        <v>235.99999999999994</v>
      </c>
      <c r="BZ42" s="13">
        <f>BY42*VLOOKUP('Données projet'!$B$12,Paramètres!$A$1:$I$89,3,0)*VLOOKUP('Données projet'!$B$12,Paramètres!$A$1:$I$89,5,0)</f>
        <v>128.85599999999997</v>
      </c>
      <c r="CA42" s="13">
        <f t="shared" si="39"/>
        <v>33.731878688740906</v>
      </c>
      <c r="CB42" s="20">
        <f t="shared" si="10"/>
        <v>283.1738887162237</v>
      </c>
      <c r="CC42" s="59">
        <f t="shared" si="11"/>
        <v>576.50722204955696</v>
      </c>
      <c r="CD42" s="59">
        <f ca="1">AVERAGE(OFFSET($CC$3,0,0,'Données projet'!$E$12+1,1))-AVERAGE(OFFSET($H$3,0,0,'Données projet'!$E$12+1,1))</f>
        <v>207.02306964567629</v>
      </c>
      <c r="CE42" s="59">
        <f t="shared" si="40"/>
        <v>342.06887933351783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5.5272374759168041</v>
      </c>
      <c r="CL42" s="21">
        <f>EXP(-LN(2)/25)*CL41+(1-EXP(-LN(2)/25))/(LN(2)/25)*Calculateur!CG42*Calculateur!CI42*VLOOKUP('Données projet'!$B$12,Paramètres!$A$1:$I$89,3,0)*0.475*44/12</f>
        <v>30.324815572401118</v>
      </c>
      <c r="CM42" s="21">
        <f>EXP(-LN(2)/2)*CM41+(1-EXP(-LN(2)/2))/(LN(2)/2)*CG42*CJ42*VLOOKUP('Données projet'!$B$12,Paramètres!$A$1:$I$89,3,0)*0.475*44/12</f>
        <v>0.58663577902382724</v>
      </c>
      <c r="CN42" s="22">
        <f t="shared" si="12"/>
        <v>36.43868882734175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150</v>
      </c>
      <c r="L43" s="12">
        <f>VLOOKUP(A43,'Données projet'!$A$35:$I$55,9,0)</f>
        <v>7.4</v>
      </c>
      <c r="M43" s="12">
        <f t="array" ref="M43">INDEX(L:L,MIN(IF(ISNUMBER(L43:L239),ROW(L43:L239),"")))</f>
        <v>7.4</v>
      </c>
      <c r="N43" s="13">
        <f>IF('Données projet'!$A$36&gt;35,N42+M43-V42,IF(A43&lt;'Données projet'!$A$36,$K$205^A43,IF(A43='Données projet'!$A$36,'Données projet'!$B$36,N42+M43-V42)))</f>
        <v>150.00000000000003</v>
      </c>
      <c r="O43" s="13">
        <f>N43*VLOOKUP('Données projet'!$B$9,Paramètres!$A$1:$I$89,3,0)*VLOOKUP('Données projet'!$B$9,Paramètres!$A$1:$I$89,5,0)</f>
        <v>131.04000000000005</v>
      </c>
      <c r="P43" s="13">
        <f t="shared" si="33"/>
        <v>34.236561238949918</v>
      </c>
      <c r="Q43" s="20">
        <f t="shared" si="53"/>
        <v>287.85667749117118</v>
      </c>
      <c r="R43" s="59">
        <f t="shared" si="0"/>
        <v>581.1900108245045</v>
      </c>
      <c r="S43" s="59">
        <f ca="1">AVERAGE(OFFSET($R$3,0,0,'Données projet'!$E$9+1,1))-AVERAGE(OFFSET($H$3,0,0,'Données projet'!$E$9+1,1))</f>
        <v>268.31928207836495</v>
      </c>
      <c r="T43" s="59">
        <f t="shared" si="34"/>
        <v>277.61304526670204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23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1.6879240297328946</v>
      </c>
      <c r="AA43" s="21">
        <f>EXP(-LN(2)/25)*AA42+(1-EXP(-LN(2)/25))/(LN(2)/25)*Calculateur!V43*Calculateur!X43*VLOOKUP('Données projet'!$B$9,Paramètres!$A$1:$I$89,3,0)*0.475*44/12</f>
        <v>4.2680309716159952</v>
      </c>
      <c r="AB43" s="21">
        <f>EXP(-LN(2)/2)*AB42+(1-EXP(-LN(2)/2))/(LN(2)/2)*V43*Y43*VLOOKUP('Données projet'!$B$9,Paramètres!$A$1:$I$89,3,0)*0.475*44/12</f>
        <v>0.25511269595018748</v>
      </c>
      <c r="AC43" s="22">
        <f t="shared" si="3"/>
        <v>6.2110676972990779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639</v>
      </c>
      <c r="AG43" s="12">
        <f>VLOOKUP(A43,'Données projet'!$A$61:$I$81,9,0)</f>
        <v>27</v>
      </c>
      <c r="AH43" s="12">
        <f t="array" ref="AH43">INDEX(AG:AG,MIN(IF(ISNUMBER(AG43:AG239),ROW(AG43:AG239),"")))</f>
        <v>27</v>
      </c>
      <c r="AI43" s="13">
        <f>IF('Données projet'!$A$62&gt;35,AI42+AH43-AQ42,IF(A43&lt;'Données projet'!$A$62,$AF$205^A43,IF(A43='Données projet'!$A$62,'Données projet'!$B$62,AI42+AH43-AQ42)))</f>
        <v>638.99999999999989</v>
      </c>
      <c r="AJ43" s="13">
        <f>AI43*VLOOKUP('Données projet'!$B$10,Paramètres!$A$1:$I$89,3,0)*VLOOKUP('Données projet'!$B$10,Paramètres!$A$1:$I$89,5,0)</f>
        <v>357.20099999999991</v>
      </c>
      <c r="AK43" s="13">
        <f t="shared" si="35"/>
        <v>83.043509879488369</v>
      </c>
      <c r="AL43" s="20">
        <f t="shared" si="4"/>
        <v>766.75918804010871</v>
      </c>
      <c r="AM43" s="59">
        <f t="shared" si="5"/>
        <v>1060.092521373442</v>
      </c>
      <c r="AN43" s="59">
        <f ca="1">AVERAGE(OFFSET($AM$3,0,0,'Données projet'!$E$10+1,1))-AVERAGE(OFFSET($H$3,0,0,'Données projet'!$E$10+1,1))</f>
        <v>544.48194192356823</v>
      </c>
      <c r="AO43" s="59">
        <f t="shared" si="36"/>
        <v>668.20427590250733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77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6.022361051926767</v>
      </c>
      <c r="AV43" s="21">
        <f>EXP(-LN(2)/25)*AV42+(1-EXP(-LN(2)/25))/(LN(2)/25)*Calculateur!AQ43*Calculateur!AS43*VLOOKUP('Données projet'!$B$10,Paramètres!$A$1:$I$89,3,0)*0.475*44/12</f>
        <v>27.071140281421698</v>
      </c>
      <c r="AW43" s="21">
        <f>EXP(-LN(2)/2)*AW42+(1-EXP(-LN(2)/2))/(LN(2)/2)*AQ43*AT43*VLOOKUP('Données projet'!$B$10,Paramètres!$A$1:$I$89,3,0)*0.475*44/12</f>
        <v>0.49783362369533801</v>
      </c>
      <c r="AX43" s="21">
        <f t="shared" si="6"/>
        <v>33.591334957043799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161</v>
      </c>
      <c r="BB43" s="12">
        <f>VLOOKUP(A43,'Données projet'!$A$87:$I$107,9,0)</f>
        <v>7.166666666666667</v>
      </c>
      <c r="BC43" s="12">
        <f t="array" ref="BC43">INDEX(BB:BB,MIN(IF(ISNUMBER(BB43:BB239),ROW(BB43:BB239),"")))</f>
        <v>7.166666666666667</v>
      </c>
      <c r="BD43" s="12">
        <f>IF('Données projet'!$A$88&gt;35,BD42+BC43-BL42,IF(A43&lt;'Données projet'!$A$88,$BA$205^A43,IF(A43='Données projet'!$A$88,'Données projet'!$B$88,BD42+BC43-BL42)))</f>
        <v>160.99999999999994</v>
      </c>
      <c r="BE43" s="13">
        <f>BD43*VLOOKUP('Données projet'!$B$11,Paramètres!$A$1:$I$89,3,0)*VLOOKUP('Données projet'!$B$11,Paramètres!$A$1:$I$89,5,0)</f>
        <v>96.277999999999963</v>
      </c>
      <c r="BF43" s="13">
        <f t="shared" si="37"/>
        <v>26.073334426410277</v>
      </c>
      <c r="BG43" s="20">
        <f t="shared" si="7"/>
        <v>213.0952407926645</v>
      </c>
      <c r="BH43" s="59">
        <f t="shared" si="8"/>
        <v>506.42857412599778</v>
      </c>
      <c r="BI43" s="59">
        <f ca="1">AVERAGE(OFFSET($BH$3,0,0,'Données projet'!$E$11+1,1))-AVERAGE(OFFSET($H$3,0,0,'Données projet'!$E$11+1,1))</f>
        <v>162.86181551380446</v>
      </c>
      <c r="BJ43" s="59">
        <f t="shared" si="38"/>
        <v>184.96823352120742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23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3.2496901916610126</v>
      </c>
      <c r="BQ43" s="21">
        <f>EXP(-LN(2)/25)*BQ42+(1-EXP(-LN(2)/25))/(LN(2)/25)*Calculateur!BL43*Calculateur!BN43*VLOOKUP('Données projet'!$B$11,Paramètres!$A$1:$I$89,3,0)*0.475*44/12</f>
        <v>2.370364115657869</v>
      </c>
      <c r="BR43" s="21">
        <f>EXP(-LN(2)/2)*BR42+(1-EXP(-LN(2)/2))/(LN(2)/2)*BL43*BO43*VLOOKUP('Données projet'!$B$11,Paramètres!$A$1:$I$89,3,0)*0.475*44/12</f>
        <v>5.2169151082376214E-2</v>
      </c>
      <c r="BS43" s="22">
        <f t="shared" si="9"/>
        <v>5.6722234584012572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14</v>
      </c>
      <c r="BY43" s="12">
        <f>IF('Données projet'!$A$114&gt;35,BY42+BX43-CG42,IF(A43&lt;'Données projet'!$A$114,$BV$205^A43,IF(A43='Données projet'!$A$114,'Données projet'!$B$114,BY42+BX43-CG42)))</f>
        <v>249.99999999999994</v>
      </c>
      <c r="BZ43" s="13">
        <f>BY43*VLOOKUP('Données projet'!$B$12,Paramètres!$A$1:$I$89,3,0)*VLOOKUP('Données projet'!$B$12,Paramètres!$A$1:$I$89,5,0)</f>
        <v>136.49999999999997</v>
      </c>
      <c r="CA43" s="13">
        <f t="shared" si="39"/>
        <v>35.494027024087352</v>
      </c>
      <c r="CB43" s="20">
        <f t="shared" si="10"/>
        <v>299.55626373361878</v>
      </c>
      <c r="CC43" s="59">
        <f t="shared" si="11"/>
        <v>592.88959706695209</v>
      </c>
      <c r="CD43" s="59">
        <f ca="1">AVERAGE(OFFSET($CC$3,0,0,'Données projet'!$E$12+1,1))-AVERAGE(OFFSET($H$3,0,0,'Données projet'!$E$12+1,1))</f>
        <v>207.02306964567629</v>
      </c>
      <c r="CE43" s="59">
        <f t="shared" si="40"/>
        <v>342.06887933351783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5.4188517202960496</v>
      </c>
      <c r="CL43" s="21">
        <f>EXP(-LN(2)/25)*CL42+(1-EXP(-LN(2)/25))/(LN(2)/25)*Calculateur!CG43*Calculateur!CI43*VLOOKUP('Données projet'!$B$12,Paramètres!$A$1:$I$89,3,0)*0.475*44/12</f>
        <v>29.495581895861065</v>
      </c>
      <c r="CM43" s="21">
        <f>EXP(-LN(2)/2)*CM42+(1-EXP(-LN(2)/2))/(LN(2)/2)*CG43*CJ43*VLOOKUP('Données projet'!$B$12,Paramètres!$A$1:$I$89,3,0)*0.475*44/12</f>
        <v>0.41481413743440126</v>
      </c>
      <c r="CN43" s="22">
        <f t="shared" si="12"/>
        <v>35.32924775359151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6.4</v>
      </c>
      <c r="N44" s="13">
        <f>IF('Données projet'!$A$36&gt;35,N43+M44-V43,IF(A44&lt;'Données projet'!$A$36,$K$205^A44,IF(A44='Données projet'!$A$36,'Données projet'!$B$36,N43+M44-V43)))</f>
        <v>133.40000000000003</v>
      </c>
      <c r="O44" s="13">
        <f>N44*VLOOKUP('Données projet'!$B$9,Paramètres!$A$1:$I$89,3,0)*VLOOKUP('Données projet'!$B$9,Paramètres!$A$1:$I$89,5,0)</f>
        <v>116.53824000000004</v>
      </c>
      <c r="P44" s="13">
        <f t="shared" si="33"/>
        <v>30.866230258957859</v>
      </c>
      <c r="Q44" s="20">
        <f t="shared" si="53"/>
        <v>256.72945236768504</v>
      </c>
      <c r="R44" s="59">
        <f t="shared" si="0"/>
        <v>550.06278570101836</v>
      </c>
      <c r="S44" s="59">
        <f ca="1">AVERAGE(OFFSET($R$3,0,0,'Données projet'!$E$9+1,1))-AVERAGE(OFFSET($H$3,0,0,'Données projet'!$E$9+1,1))</f>
        <v>268.31928207836495</v>
      </c>
      <c r="T44" s="59">
        <f t="shared" si="34"/>
        <v>277.61304526670204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1.6548248690418328</v>
      </c>
      <c r="AA44" s="21">
        <f>EXP(-LN(2)/25)*AA43+(1-EXP(-LN(2)/25))/(LN(2)/25)*Calculateur!V44*Calculateur!X44*VLOOKUP('Données projet'!$B$9,Paramètres!$A$1:$I$89,3,0)*0.475*44/12</f>
        <v>4.151321440251162</v>
      </c>
      <c r="AB44" s="21">
        <f>EXP(-LN(2)/2)*AB43+(1-EXP(-LN(2)/2))/(LN(2)/2)*V44*Y44*VLOOKUP('Données projet'!$B$9,Paramètres!$A$1:$I$89,3,0)*0.475*44/12</f>
        <v>0.18039191727315945</v>
      </c>
      <c r="AC44" s="22">
        <f t="shared" si="3"/>
        <v>5.9865382265661546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24.8</v>
      </c>
      <c r="AI44" s="13">
        <f>IF('Données projet'!$A$62&gt;35,AI43+AH44-AQ43,IF(A44&lt;'Données projet'!$A$62,$AF$205^A44,IF(A44='Données projet'!$A$62,'Données projet'!$B$62,AI43+AH44-AQ43)))</f>
        <v>586.79999999999984</v>
      </c>
      <c r="AJ44" s="13">
        <f>AI44*VLOOKUP('Données projet'!$B$10,Paramètres!$A$1:$I$89,3,0)*VLOOKUP('Données projet'!$B$10,Paramètres!$A$1:$I$89,5,0)</f>
        <v>328.02119999999991</v>
      </c>
      <c r="AK44" s="13">
        <f t="shared" si="35"/>
        <v>77.019907950957702</v>
      </c>
      <c r="AL44" s="20">
        <f t="shared" si="4"/>
        <v>705.44659634791776</v>
      </c>
      <c r="AM44" s="59">
        <f t="shared" si="5"/>
        <v>998.77992968125113</v>
      </c>
      <c r="AN44" s="59">
        <f ca="1">AVERAGE(OFFSET($AM$3,0,0,'Données projet'!$E$10+1,1))-AVERAGE(OFFSET($H$3,0,0,'Données projet'!$E$10+1,1))</f>
        <v>544.48194192356823</v>
      </c>
      <c r="AO44" s="59">
        <f t="shared" si="36"/>
        <v>668.20427590250733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5.9042662249760189</v>
      </c>
      <c r="AV44" s="21">
        <f>EXP(-LN(2)/25)*AV43+(1-EXP(-LN(2)/25))/(LN(2)/25)*Calculateur!AQ44*Calculateur!AS44*VLOOKUP('Données projet'!$B$10,Paramètres!$A$1:$I$89,3,0)*0.475*44/12</f>
        <v>26.330878526816825</v>
      </c>
      <c r="AW44" s="21">
        <f>EXP(-LN(2)/2)*AW43+(1-EXP(-LN(2)/2))/(LN(2)/2)*AQ44*AT44*VLOOKUP('Données projet'!$B$10,Paramètres!$A$1:$I$89,3,0)*0.475*44/12</f>
        <v>0.35202153121764546</v>
      </c>
      <c r="AX44" s="21">
        <f t="shared" si="6"/>
        <v>32.58716628301049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5.833333333333333</v>
      </c>
      <c r="BD44" s="12">
        <f>IF('Données projet'!$A$88&gt;35,BD43+BC44-BL43,IF(A44&lt;'Données projet'!$A$88,$BA$205^A44,IF(A44='Données projet'!$A$88,'Données projet'!$B$88,BD43+BC44-BL43)))</f>
        <v>143.83333333333329</v>
      </c>
      <c r="BE44" s="13">
        <f>BD44*VLOOKUP('Données projet'!$B$11,Paramètres!$A$1:$I$89,3,0)*VLOOKUP('Données projet'!$B$11,Paramètres!$A$1:$I$89,5,0)</f>
        <v>86.012333333333316</v>
      </c>
      <c r="BF44" s="13">
        <f t="shared" si="37"/>
        <v>23.600973937391252</v>
      </c>
      <c r="BG44" s="20">
        <f t="shared" si="7"/>
        <v>190.90984349651194</v>
      </c>
      <c r="BH44" s="59">
        <f t="shared" si="8"/>
        <v>484.24317682984525</v>
      </c>
      <c r="BI44" s="59">
        <f ca="1">AVERAGE(OFFSET($BH$3,0,0,'Données projet'!$E$11+1,1))-AVERAGE(OFFSET($H$3,0,0,'Données projet'!$E$11+1,1))</f>
        <v>162.86181551380446</v>
      </c>
      <c r="BJ44" s="59">
        <f t="shared" si="38"/>
        <v>184.96823352120742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3.1859657491178393</v>
      </c>
      <c r="BQ44" s="21">
        <f>EXP(-LN(2)/25)*BQ43+(1-EXP(-LN(2)/25))/(LN(2)/25)*Calculateur!BL44*Calculateur!BN44*VLOOKUP('Données projet'!$B$11,Paramètres!$A$1:$I$89,3,0)*0.475*44/12</f>
        <v>2.3055463842631734</v>
      </c>
      <c r="BR44" s="21">
        <f>EXP(-LN(2)/2)*BR43+(1-EXP(-LN(2)/2))/(LN(2)/2)*BL44*BO44*VLOOKUP('Données projet'!$B$11,Paramètres!$A$1:$I$89,3,0)*0.475*44/12</f>
        <v>3.6889160499093736E-2</v>
      </c>
      <c r="BS44" s="22">
        <f t="shared" si="9"/>
        <v>5.5284012938801066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14</v>
      </c>
      <c r="BY44" s="12">
        <f>IF('Données projet'!$A$114&gt;35,BY43+BX44-CG43,IF(A44&lt;'Données projet'!$A$114,$BV$205^A44,IF(A44='Données projet'!$A$114,'Données projet'!$B$114,BY43+BX44-CG43)))</f>
        <v>263.99999999999994</v>
      </c>
      <c r="BZ44" s="13">
        <f>BY44*VLOOKUP('Données projet'!$B$12,Paramètres!$A$1:$I$89,3,0)*VLOOKUP('Données projet'!$B$12,Paramètres!$A$1:$I$89,5,0)</f>
        <v>144.14399999999995</v>
      </c>
      <c r="CA44" s="13">
        <f t="shared" si="39"/>
        <v>37.244720006976216</v>
      </c>
      <c r="CB44" s="20">
        <f t="shared" si="10"/>
        <v>315.91868734548348</v>
      </c>
      <c r="CC44" s="59">
        <f t="shared" si="11"/>
        <v>609.25202067881673</v>
      </c>
      <c r="CD44" s="59">
        <f ca="1">AVERAGE(OFFSET($CC$3,0,0,'Données projet'!$E$12+1,1))-AVERAGE(OFFSET($H$3,0,0,'Données projet'!$E$12+1,1))</f>
        <v>207.02306964567629</v>
      </c>
      <c r="CE44" s="59">
        <f t="shared" si="40"/>
        <v>342.06887933351783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5.3125913432342351</v>
      </c>
      <c r="CL44" s="21">
        <f>EXP(-LN(2)/25)*CL43+(1-EXP(-LN(2)/25))/(LN(2)/25)*Calculateur!CG44*Calculateur!CI44*VLOOKUP('Données projet'!$B$12,Paramètres!$A$1:$I$89,3,0)*0.475*44/12</f>
        <v>28.689023657813504</v>
      </c>
      <c r="CM44" s="21">
        <f>EXP(-LN(2)/2)*CM43+(1-EXP(-LN(2)/2))/(LN(2)/2)*CG44*CJ44*VLOOKUP('Données projet'!$B$12,Paramètres!$A$1:$I$89,3,0)*0.475*44/12</f>
        <v>0.29331788951191362</v>
      </c>
      <c r="CN44" s="22">
        <f t="shared" si="12"/>
        <v>34.29493289055965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6.4</v>
      </c>
      <c r="N45" s="13">
        <f>IF('Données projet'!$A$36&gt;35,N44+M45-V44,IF(A45&lt;'Données projet'!$A$36,$K$205^A45,IF(A45='Données projet'!$A$36,'Données projet'!$B$36,N44+M45-V44)))</f>
        <v>139.80000000000004</v>
      </c>
      <c r="O45" s="13">
        <f>N45*VLOOKUP('Données projet'!$B$9,Paramètres!$A$1:$I$89,3,0)*VLOOKUP('Données projet'!$B$9,Paramètres!$A$1:$I$89,5,0)</f>
        <v>122.12928000000004</v>
      </c>
      <c r="P45" s="13">
        <f t="shared" si="33"/>
        <v>32.171109382958193</v>
      </c>
      <c r="Q45" s="20">
        <f t="shared" si="53"/>
        <v>268.73984484198559</v>
      </c>
      <c r="R45" s="59">
        <f t="shared" si="0"/>
        <v>562.07317817531884</v>
      </c>
      <c r="S45" s="59">
        <f ca="1">AVERAGE(OFFSET($R$3,0,0,'Données projet'!$E$9+1,1))-AVERAGE(OFFSET($H$3,0,0,'Données projet'!$E$9+1,1))</f>
        <v>268.31928207836495</v>
      </c>
      <c r="T45" s="59">
        <f t="shared" si="34"/>
        <v>277.61304526670204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1.6223747627034282</v>
      </c>
      <c r="AA45" s="21">
        <f>EXP(-LN(2)/25)*AA44+(1-EXP(-LN(2)/25))/(LN(2)/25)*Calculateur!V45*Calculateur!X45*VLOOKUP('Données projet'!$B$9,Paramètres!$A$1:$I$89,3,0)*0.475*44/12</f>
        <v>4.0378033371589872</v>
      </c>
      <c r="AB45" s="21">
        <f>EXP(-LN(2)/2)*AB44+(1-EXP(-LN(2)/2))/(LN(2)/2)*V45*Y45*VLOOKUP('Données projet'!$B$9,Paramètres!$A$1:$I$89,3,0)*0.475*44/12</f>
        <v>0.12755634797509374</v>
      </c>
      <c r="AC45" s="22">
        <f t="shared" si="3"/>
        <v>5.7877344478375088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24.8</v>
      </c>
      <c r="AI45" s="13">
        <f>IF('Données projet'!$A$62&gt;35,AI44+AH45-AQ44,IF(A45&lt;'Données projet'!$A$62,$AF$205^A45,IF(A45='Données projet'!$A$62,'Données projet'!$B$62,AI44+AH45-AQ44)))</f>
        <v>611.5999999999998</v>
      </c>
      <c r="AJ45" s="13">
        <f>AI45*VLOOKUP('Données projet'!$B$10,Paramètres!$A$1:$I$89,3,0)*VLOOKUP('Données projet'!$B$10,Paramètres!$A$1:$I$89,5,0)</f>
        <v>341.88439999999986</v>
      </c>
      <c r="AK45" s="13">
        <f t="shared" si="35"/>
        <v>79.889150066970018</v>
      </c>
      <c r="AL45" s="20">
        <f t="shared" si="4"/>
        <v>734.58893303330581</v>
      </c>
      <c r="AM45" s="59">
        <f t="shared" si="5"/>
        <v>1027.9222663666392</v>
      </c>
      <c r="AN45" s="59">
        <f ca="1">AVERAGE(OFFSET($AM$3,0,0,'Données projet'!$E$10+1,1))-AVERAGE(OFFSET($H$3,0,0,'Données projet'!$E$10+1,1))</f>
        <v>544.48194192356823</v>
      </c>
      <c r="AO45" s="59">
        <f t="shared" si="36"/>
        <v>668.20427590250733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5.788487165551043</v>
      </c>
      <c r="AV45" s="21">
        <f>EXP(-LN(2)/25)*AV44+(1-EXP(-LN(2)/25))/(LN(2)/25)*Calculateur!AQ45*Calculateur!AS45*VLOOKUP('Données projet'!$B$10,Paramètres!$A$1:$I$89,3,0)*0.475*44/12</f>
        <v>25.610859268820299</v>
      </c>
      <c r="AW45" s="21">
        <f>EXP(-LN(2)/2)*AW44+(1-EXP(-LN(2)/2))/(LN(2)/2)*AQ45*AT45*VLOOKUP('Données projet'!$B$10,Paramètres!$A$1:$I$89,3,0)*0.475*44/12</f>
        <v>0.24891681184766906</v>
      </c>
      <c r="AX45" s="21">
        <f t="shared" si="6"/>
        <v>31.64826324621901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5.833333333333333</v>
      </c>
      <c r="BD45" s="12">
        <f>IF('Données projet'!$A$88&gt;35,BD44+BC45-BL44,IF(A45&lt;'Données projet'!$A$88,$BA$205^A45,IF(A45='Données projet'!$A$88,'Données projet'!$B$88,BD44+BC45-BL44)))</f>
        <v>149.66666666666663</v>
      </c>
      <c r="BE45" s="13">
        <f>BD45*VLOOKUP('Données projet'!$B$11,Paramètres!$A$1:$I$89,3,0)*VLOOKUP('Données projet'!$B$11,Paramètres!$A$1:$I$89,5,0)</f>
        <v>89.500666666666646</v>
      </c>
      <c r="BF45" s="13">
        <f t="shared" si="37"/>
        <v>24.444758851104769</v>
      </c>
      <c r="BG45" s="20">
        <f t="shared" si="7"/>
        <v>198.45494944345185</v>
      </c>
      <c r="BH45" s="59">
        <f t="shared" si="8"/>
        <v>491.78828277678519</v>
      </c>
      <c r="BI45" s="59">
        <f ca="1">AVERAGE(OFFSET($BH$3,0,0,'Données projet'!$E$11+1,1))-AVERAGE(OFFSET($H$3,0,0,'Données projet'!$E$11+1,1))</f>
        <v>162.86181551380446</v>
      </c>
      <c r="BJ45" s="59">
        <f t="shared" si="38"/>
        <v>184.96823352120742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3.1234909040248655</v>
      </c>
      <c r="BQ45" s="21">
        <f>EXP(-LN(2)/25)*BQ44+(1-EXP(-LN(2)/25))/(LN(2)/25)*Calculateur!BL45*Calculateur!BN45*VLOOKUP('Données projet'!$B$11,Paramètres!$A$1:$I$89,3,0)*0.475*44/12</f>
        <v>2.2425010971420818</v>
      </c>
      <c r="BR45" s="21">
        <f>EXP(-LN(2)/2)*BR44+(1-EXP(-LN(2)/2))/(LN(2)/2)*BL45*BO45*VLOOKUP('Données projet'!$B$11,Paramètres!$A$1:$I$89,3,0)*0.475*44/12</f>
        <v>2.6084575541188107E-2</v>
      </c>
      <c r="BS45" s="22">
        <f t="shared" si="9"/>
        <v>5.3920765767081358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278</v>
      </c>
      <c r="BW45" s="12">
        <f>VLOOKUP(A45,'Données projet'!$A$113:$I$133,9,0)</f>
        <v>14</v>
      </c>
      <c r="BX45" s="12">
        <f t="array" ref="BX45">INDEX(BW:BW,MIN(IF(ISNUMBER(BW45:BW241),ROW(BW45:BW241),"")))</f>
        <v>14</v>
      </c>
      <c r="BY45" s="12">
        <f>IF('Données projet'!$A$114&gt;35,BY44+BX45-CG44,IF(A45&lt;'Données projet'!$A$114,$BV$205^A45,IF(A45='Données projet'!$A$114,'Données projet'!$B$114,BY44+BX45-CG44)))</f>
        <v>277.99999999999994</v>
      </c>
      <c r="BZ45" s="13">
        <f>BY45*VLOOKUP('Données projet'!$B$12,Paramètres!$A$1:$I$89,3,0)*VLOOKUP('Données projet'!$B$12,Paramètres!$A$1:$I$89,5,0)</f>
        <v>151.78799999999998</v>
      </c>
      <c r="CA45" s="13">
        <f t="shared" si="39"/>
        <v>38.984634390835623</v>
      </c>
      <c r="CB45" s="20">
        <f t="shared" si="10"/>
        <v>332.26233823070532</v>
      </c>
      <c r="CC45" s="59">
        <f t="shared" si="11"/>
        <v>625.59567156403864</v>
      </c>
      <c r="CD45" s="59">
        <f ca="1">AVERAGE(OFFSET($CC$3,0,0,'Données projet'!$E$12+1,1))-AVERAGE(OFFSET($H$3,0,0,'Données projet'!$E$12+1,1))</f>
        <v>207.02306964567629</v>
      </c>
      <c r="CE45" s="59">
        <f t="shared" si="40"/>
        <v>342.06887933351783</v>
      </c>
      <c r="CF45" s="15">
        <f>IF(ISNA(VLOOKUP(A45,'Données projet'!$A$113:$I$133,3,0)),0,VLOOKUP(A45,'Données projet'!$A$113:$I$133,3,0))</f>
        <v>7</v>
      </c>
      <c r="CG45" s="15">
        <f>IF(ISNA(VLOOKUP(A45,'Données projet'!$A$113:$I$133,4,0)),0,VLOOKUP(A45,'Données projet'!$A$113:$I$133,4,0))</f>
        <v>278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5.2084146673541722</v>
      </c>
      <c r="CL45" s="21">
        <f>EXP(-LN(2)/25)*CL44+(1-EXP(-LN(2)/25))/(LN(2)/25)*Calculateur!CG45*Calculateur!CI45*VLOOKUP('Données projet'!$B$12,Paramètres!$A$1:$I$89,3,0)*0.475*44/12</f>
        <v>27.904520797200409</v>
      </c>
      <c r="CM45" s="21">
        <f>EXP(-LN(2)/2)*CM44+(1-EXP(-LN(2)/2))/(LN(2)/2)*CG45*CJ45*VLOOKUP('Données projet'!$B$12,Paramètres!$A$1:$I$89,3,0)*0.475*44/12</f>
        <v>0.20740706871720063</v>
      </c>
      <c r="CN45" s="22">
        <f t="shared" si="12"/>
        <v>33.320342533271784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6.4</v>
      </c>
      <c r="N46" s="13">
        <f>IF('Données projet'!$A$36&gt;35,N45+M46-V45,IF(A46&lt;'Données projet'!$A$36,$K$205^A46,IF(A46='Données projet'!$A$36,'Données projet'!$B$36,N45+M46-V45)))</f>
        <v>146.20000000000005</v>
      </c>
      <c r="O46" s="13">
        <f>N46*VLOOKUP('Données projet'!$B$9,Paramètres!$A$1:$I$89,3,0)*VLOOKUP('Données projet'!$B$9,Paramètres!$A$1:$I$89,5,0)</f>
        <v>127.72032000000004</v>
      </c>
      <c r="P46" s="13">
        <f t="shared" si="33"/>
        <v>33.469051060164404</v>
      </c>
      <c r="Q46" s="20">
        <f t="shared" si="53"/>
        <v>280.73815459645306</v>
      </c>
      <c r="R46" s="59">
        <f t="shared" si="0"/>
        <v>574.07148792978637</v>
      </c>
      <c r="S46" s="59">
        <f ca="1">AVERAGE(OFFSET($R$3,0,0,'Données projet'!$E$9+1,1))-AVERAGE(OFFSET($H$3,0,0,'Données projet'!$E$9+1,1))</f>
        <v>268.31928207836495</v>
      </c>
      <c r="T46" s="59">
        <f t="shared" si="34"/>
        <v>277.61304526670204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1.5905609831577092</v>
      </c>
      <c r="AA46" s="21">
        <f>EXP(-LN(2)/25)*AA45+(1-EXP(-LN(2)/25))/(LN(2)/25)*Calculateur!V46*Calculateur!X46*VLOOKUP('Données projet'!$B$9,Paramètres!$A$1:$I$89,3,0)*0.475*44/12</f>
        <v>3.9273893925655257</v>
      </c>
      <c r="AB46" s="21">
        <f>EXP(-LN(2)/2)*AB45+(1-EXP(-LN(2)/2))/(LN(2)/2)*V46*Y46*VLOOKUP('Données projet'!$B$9,Paramètres!$A$1:$I$89,3,0)*0.475*44/12</f>
        <v>9.0195958636579726E-2</v>
      </c>
      <c r="AC46" s="22">
        <f t="shared" si="3"/>
        <v>5.6081463343598141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24.8</v>
      </c>
      <c r="AI46" s="13">
        <f>IF('Données projet'!$A$62&gt;35,AI45+AH46-AQ45,IF(A46&lt;'Données projet'!$A$62,$AF$205^A46,IF(A46='Données projet'!$A$62,'Données projet'!$B$62,AI45+AH46-AQ45)))</f>
        <v>636.39999999999975</v>
      </c>
      <c r="AJ46" s="13">
        <f>AI46*VLOOKUP('Données projet'!$B$10,Paramètres!$A$1:$I$89,3,0)*VLOOKUP('Données projet'!$B$10,Paramètres!$A$1:$I$89,5,0)</f>
        <v>355.74759999999986</v>
      </c>
      <c r="AK46" s="13">
        <f t="shared" si="35"/>
        <v>82.744877508992289</v>
      </c>
      <c r="AL46" s="20">
        <f t="shared" si="4"/>
        <v>763.70773166149456</v>
      </c>
      <c r="AM46" s="59">
        <f t="shared" si="5"/>
        <v>1057.0410649948278</v>
      </c>
      <c r="AN46" s="59">
        <f ca="1">AVERAGE(OFFSET($AM$3,0,0,'Données projet'!$E$10+1,1))-AVERAGE(OFFSET($H$3,0,0,'Données projet'!$E$10+1,1))</f>
        <v>544.48194192356823</v>
      </c>
      <c r="AO46" s="59">
        <f t="shared" si="36"/>
        <v>668.20427590250733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5.6749784628631375</v>
      </c>
      <c r="AV46" s="21">
        <f>EXP(-LN(2)/25)*AV45+(1-EXP(-LN(2)/25))/(LN(2)/25)*Calculateur!AQ46*Calculateur!AS46*VLOOKUP('Données projet'!$B$10,Paramètres!$A$1:$I$89,3,0)*0.475*44/12</f>
        <v>24.910528975297854</v>
      </c>
      <c r="AW46" s="21">
        <f>EXP(-LN(2)/2)*AW45+(1-EXP(-LN(2)/2))/(LN(2)/2)*AQ46*AT46*VLOOKUP('Données projet'!$B$10,Paramètres!$A$1:$I$89,3,0)*0.475*44/12</f>
        <v>0.17601076560882276</v>
      </c>
      <c r="AX46" s="21">
        <f t="shared" si="6"/>
        <v>30.761518203769814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5.833333333333333</v>
      </c>
      <c r="BD46" s="12">
        <f>IF('Données projet'!$A$88&gt;35,BD45+BC46-BL45,IF(A46&lt;'Données projet'!$A$88,$BA$205^A46,IF(A46='Données projet'!$A$88,'Données projet'!$B$88,BD45+BC46-BL45)))</f>
        <v>155.49999999999997</v>
      </c>
      <c r="BE46" s="13">
        <f>BD46*VLOOKUP('Données projet'!$B$11,Paramètres!$A$1:$I$89,3,0)*VLOOKUP('Données projet'!$B$11,Paramètres!$A$1:$I$89,5,0)</f>
        <v>92.98899999999999</v>
      </c>
      <c r="BF46" s="13">
        <f t="shared" si="37"/>
        <v>25.284723373727243</v>
      </c>
      <c r="BG46" s="20">
        <f t="shared" si="7"/>
        <v>205.99340154257493</v>
      </c>
      <c r="BH46" s="59">
        <f t="shared" si="8"/>
        <v>499.32673487590824</v>
      </c>
      <c r="BI46" s="59">
        <f ca="1">AVERAGE(OFFSET($BH$3,0,0,'Données projet'!$E$11+1,1))-AVERAGE(OFFSET($H$3,0,0,'Données projet'!$E$11+1,1))</f>
        <v>162.86181551380446</v>
      </c>
      <c r="BJ46" s="59">
        <f t="shared" si="38"/>
        <v>184.96823352120742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3.0622411525382724</v>
      </c>
      <c r="BQ46" s="21">
        <f>EXP(-LN(2)/25)*BQ45+(1-EXP(-LN(2)/25))/(LN(2)/25)*Calculateur!BL46*Calculateur!BN46*VLOOKUP('Données projet'!$B$11,Paramètres!$A$1:$I$89,3,0)*0.475*44/12</f>
        <v>2.1811797867127241</v>
      </c>
      <c r="BR46" s="21">
        <f>EXP(-LN(2)/2)*BR45+(1-EXP(-LN(2)/2))/(LN(2)/2)*BL46*BO46*VLOOKUP('Données projet'!$B$11,Paramètres!$A$1:$I$89,3,0)*0.475*44/12</f>
        <v>1.8444580249546868E-2</v>
      </c>
      <c r="BS46" s="22">
        <f t="shared" si="9"/>
        <v>5.2618655195005433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-5.6843418860808015E-14</v>
      </c>
      <c r="BZ46" s="13">
        <f>BY46*VLOOKUP('Données projet'!$B$12,Paramètres!$A$1:$I$89,3,0)*VLOOKUP('Données projet'!$B$12,Paramètres!$A$1:$I$89,5,0)</f>
        <v>-3.1036506698001178E-14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207.02306964567629</v>
      </c>
      <c r="CE46" s="59">
        <f t="shared" si="40"/>
        <v>342.06887933351783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5.1062808325466191</v>
      </c>
      <c r="CL46" s="21">
        <f>EXP(-LN(2)/25)*CL45+(1-EXP(-LN(2)/25))/(LN(2)/25)*Calculateur!CG46*Calculateur!CI46*VLOOKUP('Données projet'!$B$12,Paramètres!$A$1:$I$89,3,0)*0.475*44/12</f>
        <v>27.141470208565991</v>
      </c>
      <c r="CM46" s="21">
        <f>EXP(-LN(2)/2)*CM45+(1-EXP(-LN(2)/2))/(LN(2)/2)*CG46*CJ46*VLOOKUP('Données projet'!$B$12,Paramètres!$A$1:$I$89,3,0)*0.475*44/12</f>
        <v>0.14665894475595681</v>
      </c>
      <c r="CN46" s="22">
        <f t="shared" si="12"/>
        <v>32.394409985868563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6.4</v>
      </c>
      <c r="N47" s="13">
        <f>IF('Données projet'!$A$36&gt;35,N46+M47-V46,IF(A47&lt;'Données projet'!$A$36,$K$205^A47,IF(A47='Données projet'!$A$36,'Données projet'!$B$36,N46+M47-V46)))</f>
        <v>152.60000000000005</v>
      </c>
      <c r="O47" s="13">
        <f>N47*VLOOKUP('Données projet'!$B$9,Paramètres!$A$1:$I$89,3,0)*VLOOKUP('Données projet'!$B$9,Paramètres!$A$1:$I$89,5,0)</f>
        <v>133.31136000000006</v>
      </c>
      <c r="P47" s="13">
        <f t="shared" si="33"/>
        <v>34.760393689821633</v>
      </c>
      <c r="Q47" s="20">
        <f t="shared" si="53"/>
        <v>292.72497100977279</v>
      </c>
      <c r="R47" s="59">
        <f t="shared" si="0"/>
        <v>586.0583043431061</v>
      </c>
      <c r="S47" s="59">
        <f ca="1">AVERAGE(OFFSET($R$3,0,0,'Données projet'!$E$9+1,1))-AVERAGE(OFFSET($H$3,0,0,'Données projet'!$E$9+1,1))</f>
        <v>268.31928207836495</v>
      </c>
      <c r="T47" s="59">
        <f t="shared" si="34"/>
        <v>277.61304526670204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1.5593710524243922</v>
      </c>
      <c r="AA47" s="21">
        <f>EXP(-LN(2)/25)*AA46+(1-EXP(-LN(2)/25))/(LN(2)/25)*Calculateur!V47*Calculateur!X47*VLOOKUP('Données projet'!$B$9,Paramètres!$A$1:$I$89,3,0)*0.475*44/12</f>
        <v>3.8199947230933895</v>
      </c>
      <c r="AB47" s="21">
        <f>EXP(-LN(2)/2)*AB46+(1-EXP(-LN(2)/2))/(LN(2)/2)*V47*Y47*VLOOKUP('Données projet'!$B$9,Paramètres!$A$1:$I$89,3,0)*0.475*44/12</f>
        <v>6.3778173987546871E-2</v>
      </c>
      <c r="AC47" s="22">
        <f t="shared" si="3"/>
        <v>5.4431439495053286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24.8</v>
      </c>
      <c r="AI47" s="13">
        <f>IF('Données projet'!$A$62&gt;35,AI46+AH47-AQ46,IF(A47&lt;'Données projet'!$A$62,$AF$205^A47,IF(A47='Données projet'!$A$62,'Données projet'!$B$62,AI46+AH47-AQ46)))</f>
        <v>661.1999999999997</v>
      </c>
      <c r="AJ47" s="13">
        <f>AI47*VLOOKUP('Données projet'!$B$10,Paramètres!$A$1:$I$89,3,0)*VLOOKUP('Données projet'!$B$10,Paramètres!$A$1:$I$89,5,0)</f>
        <v>369.61079999999981</v>
      </c>
      <c r="AK47" s="13">
        <f t="shared" si="35"/>
        <v>85.587677206936931</v>
      </c>
      <c r="AL47" s="20">
        <f t="shared" si="4"/>
        <v>792.80401446874805</v>
      </c>
      <c r="AM47" s="59">
        <f t="shared" si="5"/>
        <v>1086.1373478020814</v>
      </c>
      <c r="AN47" s="59">
        <f ca="1">AVERAGE(OFFSET($AM$3,0,0,'Données projet'!$E$10+1,1))-AVERAGE(OFFSET($H$3,0,0,'Données projet'!$E$10+1,1))</f>
        <v>544.48194192356823</v>
      </c>
      <c r="AO47" s="59">
        <f t="shared" si="36"/>
        <v>668.20427590250733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5.5636955966014696</v>
      </c>
      <c r="AV47" s="21">
        <f>EXP(-LN(2)/25)*AV46+(1-EXP(-LN(2)/25))/(LN(2)/25)*Calculateur!AQ47*Calculateur!AS47*VLOOKUP('Données projet'!$B$10,Paramètres!$A$1:$I$89,3,0)*0.475*44/12</f>
        <v>24.229349250480549</v>
      </c>
      <c r="AW47" s="21">
        <f>EXP(-LN(2)/2)*AW46+(1-EXP(-LN(2)/2))/(LN(2)/2)*AQ47*AT47*VLOOKUP('Données projet'!$B$10,Paramètres!$A$1:$I$89,3,0)*0.475*44/12</f>
        <v>0.12445840592383454</v>
      </c>
      <c r="AX47" s="21">
        <f t="shared" si="6"/>
        <v>29.917503253005854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5.833333333333333</v>
      </c>
      <c r="BD47" s="12">
        <f>IF('Données projet'!$A$88&gt;35,BD46+BC47-BL46,IF(A47&lt;'Données projet'!$A$88,$BA$205^A47,IF(A47='Données projet'!$A$88,'Données projet'!$B$88,BD46+BC47-BL46)))</f>
        <v>161.33333333333331</v>
      </c>
      <c r="BE47" s="13">
        <f>BD47*VLOOKUP('Données projet'!$B$11,Paramètres!$A$1:$I$89,3,0)*VLOOKUP('Données projet'!$B$11,Paramètres!$A$1:$I$89,5,0)</f>
        <v>96.47733333333332</v>
      </c>
      <c r="BF47" s="13">
        <f t="shared" si="37"/>
        <v>26.121027230510151</v>
      </c>
      <c r="BG47" s="20">
        <f t="shared" si="7"/>
        <v>213.52547798202738</v>
      </c>
      <c r="BH47" s="59">
        <f t="shared" si="8"/>
        <v>506.8588113153607</v>
      </c>
      <c r="BI47" s="59">
        <f ca="1">AVERAGE(OFFSET($BH$3,0,0,'Données projet'!$E$11+1,1))-AVERAGE(OFFSET($H$3,0,0,'Données projet'!$E$11+1,1))</f>
        <v>162.86181551380446</v>
      </c>
      <c r="BJ47" s="59">
        <f t="shared" si="38"/>
        <v>184.96823352120742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3.0021924713196717</v>
      </c>
      <c r="BQ47" s="21">
        <f>EXP(-LN(2)/25)*BQ46+(1-EXP(-LN(2)/25))/(LN(2)/25)*Calculateur!BL47*Calculateur!BN47*VLOOKUP('Données projet'!$B$11,Paramètres!$A$1:$I$89,3,0)*0.475*44/12</f>
        <v>2.1215353107418049</v>
      </c>
      <c r="BR47" s="21">
        <f>EXP(-LN(2)/2)*BR46+(1-EXP(-LN(2)/2))/(LN(2)/2)*BL47*BO47*VLOOKUP('Données projet'!$B$11,Paramètres!$A$1:$I$89,3,0)*0.475*44/12</f>
        <v>1.3042287770594053E-2</v>
      </c>
      <c r="BS47" s="22">
        <f t="shared" si="9"/>
        <v>5.1367700698320711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-5.6843418860808015E-14</v>
      </c>
      <c r="BZ47" s="13">
        <f>BY47*VLOOKUP('Données projet'!$B$12,Paramètres!$A$1:$I$89,3,0)*VLOOKUP('Données projet'!$B$12,Paramètres!$A$1:$I$89,5,0)</f>
        <v>-3.1036506698001178E-14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207.02306964567629</v>
      </c>
      <c r="CE47" s="59">
        <f t="shared" si="40"/>
        <v>342.06887933351783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5.0061497799441543</v>
      </c>
      <c r="CL47" s="21">
        <f>EXP(-LN(2)/25)*CL46+(1-EXP(-LN(2)/25))/(LN(2)/25)*Calculateur!CG47*Calculateur!CI47*VLOOKUP('Données projet'!$B$12,Paramètres!$A$1:$I$89,3,0)*0.475*44/12</f>
        <v>26.399285278404868</v>
      </c>
      <c r="CM47" s="21">
        <f>EXP(-LN(2)/2)*CM46+(1-EXP(-LN(2)/2))/(LN(2)/2)*CG47*CJ47*VLOOKUP('Données projet'!$B$12,Paramètres!$A$1:$I$89,3,0)*0.475*44/12</f>
        <v>0.10370353435860032</v>
      </c>
      <c r="CN47" s="22">
        <f t="shared" si="12"/>
        <v>31.509138592707622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159</v>
      </c>
      <c r="L48" s="12">
        <f>VLOOKUP(A48,'Données projet'!$A$35:$I$55,9,0)</f>
        <v>6.4</v>
      </c>
      <c r="M48" s="12">
        <f t="array" ref="M48">INDEX(L:L,MIN(IF(ISNUMBER(L48:L244),ROW(L48:L244),"")))</f>
        <v>6.4</v>
      </c>
      <c r="N48" s="13">
        <f>IF('Données projet'!$A$36&gt;35,N47+M48-V47,IF(A48&lt;'Données projet'!$A$36,$K$205^A48,IF(A48='Données projet'!$A$36,'Données projet'!$B$36,N47+M48-V47)))</f>
        <v>159.00000000000006</v>
      </c>
      <c r="O48" s="13">
        <f>N48*VLOOKUP('Données projet'!$B$9,Paramètres!$A$1:$I$89,3,0)*VLOOKUP('Données projet'!$B$9,Paramètres!$A$1:$I$89,5,0)</f>
        <v>138.90240000000006</v>
      </c>
      <c r="P48" s="13">
        <f t="shared" si="33"/>
        <v>36.045445680666461</v>
      </c>
      <c r="Q48" s="20">
        <f t="shared" si="53"/>
        <v>304.70083122716079</v>
      </c>
      <c r="R48" s="59">
        <f t="shared" si="0"/>
        <v>598.0341645604941</v>
      </c>
      <c r="S48" s="59">
        <f ca="1">AVERAGE(OFFSET($R$3,0,0,'Données projet'!$E$9+1,1))-AVERAGE(OFFSET($H$3,0,0,'Données projet'!$E$9+1,1))</f>
        <v>268.31928207836495</v>
      </c>
      <c r="T48" s="59">
        <f t="shared" si="34"/>
        <v>277.61304526670204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1.5287927372087764</v>
      </c>
      <c r="AA48" s="21">
        <f>EXP(-LN(2)/25)*AA47+(1-EXP(-LN(2)/25))/(LN(2)/25)*Calculateur!V48*Calculateur!X48*VLOOKUP('Données projet'!$B$9,Paramètres!$A$1:$I$89,3,0)*0.475*44/12</f>
        <v>3.7155367665056089</v>
      </c>
      <c r="AB48" s="21">
        <f>EXP(-LN(2)/2)*AB47+(1-EXP(-LN(2)/2))/(LN(2)/2)*V48*Y48*VLOOKUP('Données projet'!$B$9,Paramètres!$A$1:$I$89,3,0)*0.475*44/12</f>
        <v>4.5097979318289863E-2</v>
      </c>
      <c r="AC48" s="22">
        <f t="shared" si="3"/>
        <v>5.2894274830326751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686</v>
      </c>
      <c r="AG48" s="12">
        <f>VLOOKUP(A48,'Données projet'!$A$61:$I$81,9,0)</f>
        <v>24.8</v>
      </c>
      <c r="AH48" s="12">
        <f t="array" ref="AH48">INDEX(AG:AG,MIN(IF(ISNUMBER(AG48:AG244),ROW(AG48:AG244),"")))</f>
        <v>24.8</v>
      </c>
      <c r="AI48" s="13">
        <f>IF('Données projet'!$A$62&gt;35,AI47+AH48-AQ47,IF(A48&lt;'Données projet'!$A$62,$AF$205^A48,IF(A48='Données projet'!$A$62,'Données projet'!$B$62,AI47+AH48-AQ47)))</f>
        <v>685.99999999999966</v>
      </c>
      <c r="AJ48" s="13">
        <f>AI48*VLOOKUP('Données projet'!$B$10,Paramètres!$A$1:$I$89,3,0)*VLOOKUP('Données projet'!$B$10,Paramètres!$A$1:$I$89,5,0)</f>
        <v>383.47399999999982</v>
      </c>
      <c r="AK48" s="13">
        <f t="shared" si="35"/>
        <v>88.418089567872116</v>
      </c>
      <c r="AL48" s="20">
        <f t="shared" si="4"/>
        <v>821.87872266404372</v>
      </c>
      <c r="AM48" s="59">
        <f t="shared" si="5"/>
        <v>1115.2120559973771</v>
      </c>
      <c r="AN48" s="59">
        <f ca="1">AVERAGE(OFFSET($AM$3,0,0,'Données projet'!$E$10+1,1))-AVERAGE(OFFSET($H$3,0,0,'Données projet'!$E$10+1,1))</f>
        <v>544.48194192356823</v>
      </c>
      <c r="AO48" s="59">
        <f t="shared" si="36"/>
        <v>668.20427590250733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64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5.4545949194713463</v>
      </c>
      <c r="AV48" s="21">
        <f>EXP(-LN(2)/25)*AV47+(1-EXP(-LN(2)/25))/(LN(2)/25)*Calculateur!AQ48*Calculateur!AS48*VLOOKUP('Données projet'!$B$10,Paramètres!$A$1:$I$89,3,0)*0.475*44/12</f>
        <v>23.566796421060058</v>
      </c>
      <c r="AW48" s="21">
        <f>EXP(-LN(2)/2)*AW47+(1-EXP(-LN(2)/2))/(LN(2)/2)*AQ48*AT48*VLOOKUP('Données projet'!$B$10,Paramètres!$A$1:$I$89,3,0)*0.475*44/12</f>
        <v>8.8005382804411392E-2</v>
      </c>
      <c r="AX48" s="21">
        <f t="shared" si="6"/>
        <v>29.109396723335816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5.833333333333333</v>
      </c>
      <c r="BD48" s="12">
        <f>IF('Données projet'!$A$88&gt;35,BD47+BC48-BL47,IF(A48&lt;'Données projet'!$A$88,$BA$205^A48,IF(A48='Données projet'!$A$88,'Données projet'!$B$88,BD47+BC48-BL47)))</f>
        <v>167.16666666666666</v>
      </c>
      <c r="BE48" s="13">
        <f>BD48*VLOOKUP('Données projet'!$B$11,Paramètres!$A$1:$I$89,3,0)*VLOOKUP('Données projet'!$B$11,Paramètres!$A$1:$I$89,5,0)</f>
        <v>99.965666666666664</v>
      </c>
      <c r="BF48" s="13">
        <f t="shared" si="37"/>
        <v>26.953817941666887</v>
      </c>
      <c r="BG48" s="20">
        <f t="shared" si="7"/>
        <v>221.05143569284758</v>
      </c>
      <c r="BH48" s="59">
        <f t="shared" si="8"/>
        <v>514.38476902618095</v>
      </c>
      <c r="BI48" s="59">
        <f ca="1">AVERAGE(OFFSET($BH$3,0,0,'Données projet'!$E$11+1,1))-AVERAGE(OFFSET($H$3,0,0,'Données projet'!$E$11+1,1))</f>
        <v>162.86181551380446</v>
      </c>
      <c r="BJ48" s="59">
        <f t="shared" si="38"/>
        <v>184.96823352120742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2.9433213081136889</v>
      </c>
      <c r="BQ48" s="21">
        <f>EXP(-LN(2)/25)*BQ47+(1-EXP(-LN(2)/25))/(LN(2)/25)*Calculateur!BL48*Calculateur!BN48*VLOOKUP('Données projet'!$B$11,Paramètres!$A$1:$I$89,3,0)*0.475*44/12</f>
        <v>2.063521816102877</v>
      </c>
      <c r="BR48" s="21">
        <f>EXP(-LN(2)/2)*BR47+(1-EXP(-LN(2)/2))/(LN(2)/2)*BL48*BO48*VLOOKUP('Données projet'!$B$11,Paramètres!$A$1:$I$89,3,0)*0.475*44/12</f>
        <v>9.2222901247734339E-3</v>
      </c>
      <c r="BS48" s="22">
        <f t="shared" si="9"/>
        <v>5.0160654143413392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-5.6843418860808015E-14</v>
      </c>
      <c r="BZ48" s="13">
        <f>BY48*VLOOKUP('Données projet'!$B$12,Paramètres!$A$1:$I$89,3,0)*VLOOKUP('Données projet'!$B$12,Paramètres!$A$1:$I$89,5,0)</f>
        <v>-3.1036506698001178E-14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207.02306964567629</v>
      </c>
      <c r="CE48" s="59">
        <f t="shared" si="40"/>
        <v>342.06887933351783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4.9079822362093122</v>
      </c>
      <c r="CL48" s="21">
        <f>EXP(-LN(2)/25)*CL47+(1-EXP(-LN(2)/25))/(LN(2)/25)*Calculateur!CG48*Calculateur!CI48*VLOOKUP('Données projet'!$B$12,Paramètres!$A$1:$I$89,3,0)*0.475*44/12</f>
        <v>25.67739543418881</v>
      </c>
      <c r="CM48" s="21">
        <f>EXP(-LN(2)/2)*CM47+(1-EXP(-LN(2)/2))/(LN(2)/2)*CG48*CJ48*VLOOKUP('Données projet'!$B$12,Paramètres!$A$1:$I$89,3,0)*0.475*44/12</f>
        <v>7.3329472377978405E-2</v>
      </c>
      <c r="CN48" s="22">
        <f t="shared" si="12"/>
        <v>30.658707142776102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5.6</v>
      </c>
      <c r="N49" s="13">
        <f>IF('Données projet'!$A$36&gt;35,N48+M49-V48,IF(A49&lt;'Données projet'!$A$36,$K$205^A49,IF(A49='Données projet'!$A$36,'Données projet'!$B$36,N48+M49-V48)))</f>
        <v>143.60000000000005</v>
      </c>
      <c r="O49" s="13">
        <f>N49*VLOOKUP('Données projet'!$B$9,Paramètres!$A$1:$I$89,3,0)*VLOOKUP('Données projet'!$B$9,Paramètres!$A$1:$I$89,5,0)</f>
        <v>125.44896000000007</v>
      </c>
      <c r="P49" s="13">
        <f t="shared" si="33"/>
        <v>32.942576545548221</v>
      </c>
      <c r="Q49" s="20">
        <f t="shared" si="53"/>
        <v>275.86525948349663</v>
      </c>
      <c r="R49" s="59">
        <f t="shared" si="0"/>
        <v>569.19859281682989</v>
      </c>
      <c r="S49" s="59">
        <f ca="1">AVERAGE(OFFSET($R$3,0,0,'Données projet'!$E$9+1,1))-AVERAGE(OFFSET($H$3,0,0,'Données projet'!$E$9+1,1))</f>
        <v>268.31928207836495</v>
      </c>
      <c r="T49" s="59">
        <f t="shared" si="34"/>
        <v>277.61304526670204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1.498814044103608</v>
      </c>
      <c r="AA49" s="21">
        <f>EXP(-LN(2)/25)*AA48+(1-EXP(-LN(2)/25))/(LN(2)/25)*Calculateur!V49*Calculateur!X49*VLOOKUP('Données projet'!$B$9,Paramètres!$A$1:$I$89,3,0)*0.475*44/12</f>
        <v>3.6139352182339266</v>
      </c>
      <c r="AB49" s="21">
        <f>EXP(-LN(2)/2)*AB48+(1-EXP(-LN(2)/2))/(LN(2)/2)*V49*Y49*VLOOKUP('Données projet'!$B$9,Paramètres!$A$1:$I$89,3,0)*0.475*44/12</f>
        <v>3.1889086993773436E-2</v>
      </c>
      <c r="AC49" s="22">
        <f t="shared" si="3"/>
        <v>5.1446383493313084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20.399999999999999</v>
      </c>
      <c r="AI49" s="13">
        <f>IF('Données projet'!$A$62&gt;35,AI48+AH49-AQ48,IF(A49&lt;'Données projet'!$A$62,$AF$205^A49,IF(A49='Données projet'!$A$62,'Données projet'!$B$62,AI48+AH49-AQ48)))</f>
        <v>642.39999999999964</v>
      </c>
      <c r="AJ49" s="13">
        <f>AI49*VLOOKUP('Données projet'!$B$10,Paramètres!$A$1:$I$89,3,0)*VLOOKUP('Données projet'!$B$10,Paramètres!$A$1:$I$89,5,0)</f>
        <v>359.10159999999985</v>
      </c>
      <c r="AK49" s="13">
        <f t="shared" si="35"/>
        <v>83.433815871723468</v>
      </c>
      <c r="AL49" s="20">
        <f t="shared" si="4"/>
        <v>770.74918264325152</v>
      </c>
      <c r="AM49" s="59">
        <f t="shared" si="5"/>
        <v>1064.0825159765848</v>
      </c>
      <c r="AN49" s="59">
        <f ca="1">AVERAGE(OFFSET($AM$3,0,0,'Données projet'!$E$10+1,1))-AVERAGE(OFFSET($H$3,0,0,'Données projet'!$E$10+1,1))</f>
        <v>544.48194192356823</v>
      </c>
      <c r="AO49" s="59">
        <f t="shared" si="36"/>
        <v>668.20427590250733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5.3476336400749025</v>
      </c>
      <c r="AV49" s="21">
        <f>EXP(-LN(2)/25)*AV48+(1-EXP(-LN(2)/25))/(LN(2)/25)*Calculateur!AQ49*Calculateur!AS49*VLOOKUP('Données projet'!$B$10,Paramètres!$A$1:$I$89,3,0)*0.475*44/12</f>
        <v>22.922361133602209</v>
      </c>
      <c r="AW49" s="21">
        <f>EXP(-LN(2)/2)*AW48+(1-EXP(-LN(2)/2))/(LN(2)/2)*AQ49*AT49*VLOOKUP('Données projet'!$B$10,Paramètres!$A$1:$I$89,3,0)*0.475*44/12</f>
        <v>6.2229202961917279E-2</v>
      </c>
      <c r="AX49" s="21">
        <f t="shared" si="6"/>
        <v>28.332223976639028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173</v>
      </c>
      <c r="BB49" s="12">
        <f>VLOOKUP(A49,'Données projet'!$A$87:$I$107,9,0)</f>
        <v>5.833333333333333</v>
      </c>
      <c r="BC49" s="12">
        <f t="array" ref="BC49">INDEX(BB:BB,MIN(IF(ISNUMBER(BB49:BB245),ROW(BB49:BB245),"")))</f>
        <v>5.833333333333333</v>
      </c>
      <c r="BD49" s="12">
        <f>IF('Données projet'!$A$88&gt;35,BD48+BC49-BL48,IF(A49&lt;'Données projet'!$A$88,$BA$205^A49,IF(A49='Données projet'!$A$88,'Données projet'!$B$88,BD48+BC49-BL48)))</f>
        <v>173</v>
      </c>
      <c r="BE49" s="13">
        <f>BD49*VLOOKUP('Données projet'!$B$11,Paramètres!$A$1:$I$89,3,0)*VLOOKUP('Données projet'!$B$11,Paramètres!$A$1:$I$89,5,0)</f>
        <v>103.45400000000001</v>
      </c>
      <c r="BF49" s="13">
        <f t="shared" si="37"/>
        <v>27.783232148054164</v>
      </c>
      <c r="BG49" s="20">
        <f t="shared" si="7"/>
        <v>228.57151265786101</v>
      </c>
      <c r="BH49" s="59">
        <f t="shared" si="8"/>
        <v>521.90484599119429</v>
      </c>
      <c r="BI49" s="59">
        <f ca="1">AVERAGE(OFFSET($BH$3,0,0,'Données projet'!$E$11+1,1))-AVERAGE(OFFSET($H$3,0,0,'Données projet'!$E$11+1,1))</f>
        <v>162.86181551380446</v>
      </c>
      <c r="BJ49" s="59">
        <f t="shared" si="38"/>
        <v>184.96823352120742</v>
      </c>
      <c r="BK49" s="15">
        <f>IF(ISNA(VLOOKUP(A49,'Données projet'!$A$87:$I$107,3,0)),0,VLOOKUP(A49,'Données projet'!$A$87:$I$107,3,0))</f>
        <v>7</v>
      </c>
      <c r="BL49" s="15">
        <f>IF(ISNA(VLOOKUP(A49,'Données projet'!$A$87:$I$107,4,0)),0,VLOOKUP(A49,'Données projet'!$A$87:$I$107,4,0))</f>
        <v>19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2.8856045725103114</v>
      </c>
      <c r="BQ49" s="21">
        <f>EXP(-LN(2)/25)*BQ48+(1-EXP(-LN(2)/25))/(LN(2)/25)*Calculateur!BL49*Calculateur!BN49*VLOOKUP('Données projet'!$B$11,Paramètres!$A$1:$I$89,3,0)*0.475*44/12</f>
        <v>2.0070947035256479</v>
      </c>
      <c r="BR49" s="21">
        <f>EXP(-LN(2)/2)*BR48+(1-EXP(-LN(2)/2))/(LN(2)/2)*BL49*BO49*VLOOKUP('Données projet'!$B$11,Paramètres!$A$1:$I$89,3,0)*0.475*44/12</f>
        <v>6.5211438852970267E-3</v>
      </c>
      <c r="BS49" s="22">
        <f t="shared" si="9"/>
        <v>4.8992204199212557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-5.6843418860808015E-14</v>
      </c>
      <c r="BZ49" s="13">
        <f>BY49*VLOOKUP('Données projet'!$B$12,Paramètres!$A$1:$I$89,3,0)*VLOOKUP('Données projet'!$B$12,Paramètres!$A$1:$I$89,5,0)</f>
        <v>-3.1036506698001178E-14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207.02306964567629</v>
      </c>
      <c r="CE49" s="59">
        <f t="shared" si="40"/>
        <v>342.06887933351783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4.8117396981308209</v>
      </c>
      <c r="CL49" s="21">
        <f>EXP(-LN(2)/25)*CL48+(1-EXP(-LN(2)/25))/(LN(2)/25)*Calculateur!CG49*Calculateur!CI49*VLOOKUP('Données projet'!$B$12,Paramètres!$A$1:$I$89,3,0)*0.475*44/12</f>
        <v>24.975245705725378</v>
      </c>
      <c r="CM49" s="21">
        <f>EXP(-LN(2)/2)*CM48+(1-EXP(-LN(2)/2))/(LN(2)/2)*CG49*CJ49*VLOOKUP('Données projet'!$B$12,Paramètres!$A$1:$I$89,3,0)*0.475*44/12</f>
        <v>5.1851767179300158E-2</v>
      </c>
      <c r="CN49" s="22">
        <f t="shared" si="12"/>
        <v>29.8388371710355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5.6</v>
      </c>
      <c r="N50" s="13">
        <f>IF('Données projet'!$A$36&gt;35,N49+M50-V49,IF(A50&lt;'Données projet'!$A$36,$K$205^A50,IF(A50='Données projet'!$A$36,'Données projet'!$B$36,N49+M50-V49)))</f>
        <v>149.20000000000005</v>
      </c>
      <c r="O50" s="13">
        <f>N50*VLOOKUP('Données projet'!$B$9,Paramètres!$A$1:$I$89,3,0)*VLOOKUP('Données projet'!$B$9,Paramètres!$A$1:$I$89,5,0)</f>
        <v>130.34112000000005</v>
      </c>
      <c r="P50" s="13">
        <f t="shared" si="33"/>
        <v>34.075170122989917</v>
      </c>
      <c r="Q50" s="20">
        <f t="shared" si="53"/>
        <v>286.35837196420749</v>
      </c>
      <c r="R50" s="59">
        <f t="shared" si="0"/>
        <v>579.69170529754081</v>
      </c>
      <c r="S50" s="59">
        <f ca="1">AVERAGE(OFFSET($R$3,0,0,'Données projet'!$E$9+1,1))-AVERAGE(OFFSET($H$3,0,0,'Données projet'!$E$9+1,1))</f>
        <v>268.31928207836495</v>
      </c>
      <c r="T50" s="59">
        <f t="shared" si="34"/>
        <v>277.61304526670204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1.4694232148850348</v>
      </c>
      <c r="AA50" s="21">
        <f>EXP(-LN(2)/25)*AA49+(1-EXP(-LN(2)/25))/(LN(2)/25)*Calculateur!V50*Calculateur!X50*VLOOKUP('Données projet'!$B$9,Paramètres!$A$1:$I$89,3,0)*0.475*44/12</f>
        <v>3.5151119696427267</v>
      </c>
      <c r="AB50" s="21">
        <f>EXP(-LN(2)/2)*AB49+(1-EXP(-LN(2)/2))/(LN(2)/2)*V50*Y50*VLOOKUP('Données projet'!$B$9,Paramètres!$A$1:$I$89,3,0)*0.475*44/12</f>
        <v>2.2548989659144932E-2</v>
      </c>
      <c r="AC50" s="22">
        <f t="shared" si="3"/>
        <v>5.0070841741869065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20.399999999999999</v>
      </c>
      <c r="AI50" s="13">
        <f>IF('Données projet'!$A$62&gt;35,AI49+AH50-AQ49,IF(A50&lt;'Données projet'!$A$62,$AF$205^A50,IF(A50='Données projet'!$A$62,'Données projet'!$B$62,AI49+AH50-AQ49)))</f>
        <v>662.79999999999961</v>
      </c>
      <c r="AJ50" s="13">
        <f>AI50*VLOOKUP('Données projet'!$B$10,Paramètres!$A$1:$I$89,3,0)*VLOOKUP('Données projet'!$B$10,Paramètres!$A$1:$I$89,5,0)</f>
        <v>370.50519999999983</v>
      </c>
      <c r="AK50" s="13">
        <f t="shared" si="35"/>
        <v>85.770652719303072</v>
      </c>
      <c r="AL50" s="20">
        <f t="shared" si="4"/>
        <v>794.6804434861192</v>
      </c>
      <c r="AM50" s="59">
        <f t="shared" si="5"/>
        <v>1088.0137768194525</v>
      </c>
      <c r="AN50" s="59">
        <f ca="1">AVERAGE(OFFSET($AM$3,0,0,'Données projet'!$E$10+1,1))-AVERAGE(OFFSET($H$3,0,0,'Données projet'!$E$10+1,1))</f>
        <v>544.48194192356823</v>
      </c>
      <c r="AO50" s="59">
        <f t="shared" si="36"/>
        <v>668.20427590250733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5.2427698061274848</v>
      </c>
      <c r="AV50" s="21">
        <f>EXP(-LN(2)/25)*AV49+(1-EXP(-LN(2)/25))/(LN(2)/25)*Calculateur!AQ50*Calculateur!AS50*VLOOKUP('Données projet'!$B$10,Paramètres!$A$1:$I$89,3,0)*0.475*44/12</f>
        <v>22.295547962969273</v>
      </c>
      <c r="AW50" s="21">
        <f>EXP(-LN(2)/2)*AW49+(1-EXP(-LN(2)/2))/(LN(2)/2)*AQ50*AT50*VLOOKUP('Données projet'!$B$10,Paramètres!$A$1:$I$89,3,0)*0.475*44/12</f>
        <v>4.4002691402205703E-2</v>
      </c>
      <c r="AX50" s="21">
        <f t="shared" si="6"/>
        <v>27.582320460498963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3.75</v>
      </c>
      <c r="BD50" s="12">
        <f>IF('Données projet'!$A$88&gt;35,BD49+BC50-BL49,IF(A50&lt;'Données projet'!$A$88,$BA$205^A50,IF(A50='Données projet'!$A$88,'Données projet'!$B$88,BD49+BC50-BL49)))</f>
        <v>157.75</v>
      </c>
      <c r="BE50" s="13">
        <f>BD50*VLOOKUP('Données projet'!$B$11,Paramètres!$A$1:$I$89,3,0)*VLOOKUP('Données projet'!$B$11,Paramètres!$A$1:$I$89,5,0)</f>
        <v>94.334500000000006</v>
      </c>
      <c r="BF50" s="13">
        <f t="shared" si="37"/>
        <v>25.607723068147099</v>
      </c>
      <c r="BG50" s="20">
        <f t="shared" si="7"/>
        <v>208.89937184368952</v>
      </c>
      <c r="BH50" s="59">
        <f t="shared" si="8"/>
        <v>502.23270517702281</v>
      </c>
      <c r="BI50" s="59">
        <f ca="1">AVERAGE(OFFSET($BH$3,0,0,'Données projet'!$E$11+1,1))-AVERAGE(OFFSET($H$3,0,0,'Données projet'!$E$11+1,1))</f>
        <v>162.86181551380446</v>
      </c>
      <c r="BJ50" s="59">
        <f t="shared" si="38"/>
        <v>184.96823352120742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2.8290196268883836</v>
      </c>
      <c r="BQ50" s="21">
        <f>EXP(-LN(2)/25)*BQ49+(1-EXP(-LN(2)/25))/(LN(2)/25)*Calculateur!BL50*Calculateur!BN50*VLOOKUP('Données projet'!$B$11,Paramètres!$A$1:$I$89,3,0)*0.475*44/12</f>
        <v>1.952210593309216</v>
      </c>
      <c r="BR50" s="21">
        <f>EXP(-LN(2)/2)*BR49+(1-EXP(-LN(2)/2))/(LN(2)/2)*BL50*BO50*VLOOKUP('Données projet'!$B$11,Paramètres!$A$1:$I$89,3,0)*0.475*44/12</f>
        <v>4.611145062386717E-3</v>
      </c>
      <c r="BS50" s="22">
        <f t="shared" si="9"/>
        <v>4.7858413652599863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-5.6843418860808015E-14</v>
      </c>
      <c r="BZ50" s="13">
        <f>BY50*VLOOKUP('Données projet'!$B$12,Paramètres!$A$1:$I$89,3,0)*VLOOKUP('Données projet'!$B$12,Paramètres!$A$1:$I$89,5,0)</f>
        <v>-3.1036506698001178E-14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207.02306964567629</v>
      </c>
      <c r="CE50" s="59">
        <f t="shared" si="40"/>
        <v>342.06887933351783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4.7173844175218971</v>
      </c>
      <c r="CL50" s="21">
        <f>EXP(-LN(2)/25)*CL49+(1-EXP(-LN(2)/25))/(LN(2)/25)*Calculateur!CG50*Calculateur!CI50*VLOOKUP('Données projet'!$B$12,Paramètres!$A$1:$I$89,3,0)*0.475*44/12</f>
        <v>24.292296298511229</v>
      </c>
      <c r="CM50" s="21">
        <f>EXP(-LN(2)/2)*CM49+(1-EXP(-LN(2)/2))/(LN(2)/2)*CG50*CJ50*VLOOKUP('Données projet'!$B$12,Paramètres!$A$1:$I$89,3,0)*0.475*44/12</f>
        <v>3.6664736188989203E-2</v>
      </c>
      <c r="CN50" s="22">
        <f t="shared" si="12"/>
        <v>29.046345452222113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5.6</v>
      </c>
      <c r="N51" s="13">
        <f>IF('Données projet'!$A$36&gt;35,N50+M51-V50,IF(A51&lt;'Données projet'!$A$36,$K$205^A51,IF(A51='Données projet'!$A$36,'Données projet'!$B$36,N50+M51-V50)))</f>
        <v>154.80000000000004</v>
      </c>
      <c r="O51" s="13">
        <f>N51*VLOOKUP('Données projet'!$B$9,Paramètres!$A$1:$I$89,3,0)*VLOOKUP('Données projet'!$B$9,Paramètres!$A$1:$I$89,5,0)</f>
        <v>135.23328000000006</v>
      </c>
      <c r="P51" s="13">
        <f t="shared" si="33"/>
        <v>35.202825080004466</v>
      </c>
      <c r="Q51" s="20">
        <f t="shared" si="53"/>
        <v>296.84288301434117</v>
      </c>
      <c r="R51" s="59">
        <f t="shared" si="0"/>
        <v>590.17621634767443</v>
      </c>
      <c r="S51" s="59">
        <f ca="1">AVERAGE(OFFSET($R$3,0,0,'Données projet'!$E$9+1,1))-AVERAGE(OFFSET($H$3,0,0,'Données projet'!$E$9+1,1))</f>
        <v>268.31928207836495</v>
      </c>
      <c r="T51" s="59">
        <f t="shared" si="34"/>
        <v>277.61304526670204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1.4406087219008021</v>
      </c>
      <c r="AA51" s="21">
        <f>EXP(-LN(2)/25)*AA50+(1-EXP(-LN(2)/25))/(LN(2)/25)*Calculateur!V51*Calculateur!X51*VLOOKUP('Données projet'!$B$9,Paramètres!$A$1:$I$89,3,0)*0.475*44/12</f>
        <v>3.4189910479811418</v>
      </c>
      <c r="AB51" s="21">
        <f>EXP(-LN(2)/2)*AB50+(1-EXP(-LN(2)/2))/(LN(2)/2)*V51*Y51*VLOOKUP('Données projet'!$B$9,Paramètres!$A$1:$I$89,3,0)*0.475*44/12</f>
        <v>1.5944543496886718E-2</v>
      </c>
      <c r="AC51" s="22">
        <f t="shared" si="3"/>
        <v>4.875544313378831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20.399999999999999</v>
      </c>
      <c r="AI51" s="13">
        <f>IF('Données projet'!$A$62&gt;35,AI50+AH51-AQ50,IF(A51&lt;'Données projet'!$A$62,$AF$205^A51,IF(A51='Données projet'!$A$62,'Données projet'!$B$62,AI50+AH51-AQ50)))</f>
        <v>683.19999999999959</v>
      </c>
      <c r="AJ51" s="13">
        <f>AI51*VLOOKUP('Données projet'!$B$10,Paramètres!$A$1:$I$89,3,0)*VLOOKUP('Données projet'!$B$10,Paramètres!$A$1:$I$89,5,0)</f>
        <v>381.90879999999981</v>
      </c>
      <c r="AK51" s="13">
        <f t="shared" si="35"/>
        <v>88.099131154986978</v>
      </c>
      <c r="AL51" s="20">
        <f t="shared" si="4"/>
        <v>818.59714676160195</v>
      </c>
      <c r="AM51" s="59">
        <f t="shared" si="5"/>
        <v>1111.9304800949353</v>
      </c>
      <c r="AN51" s="59">
        <f ca="1">AVERAGE(OFFSET($AM$3,0,0,'Données projet'!$E$10+1,1))-AVERAGE(OFFSET($H$3,0,0,'Données projet'!$E$10+1,1))</f>
        <v>544.48194192356823</v>
      </c>
      <c r="AO51" s="59">
        <f t="shared" si="36"/>
        <v>668.20427590250733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5.1399622880031526</v>
      </c>
      <c r="AV51" s="21">
        <f>EXP(-LN(2)/25)*AV50+(1-EXP(-LN(2)/25))/(LN(2)/25)*Calculateur!AQ51*Calculateur!AS51*VLOOKUP('Données projet'!$B$10,Paramètres!$A$1:$I$89,3,0)*0.475*44/12</f>
        <v>21.685875031449967</v>
      </c>
      <c r="AW51" s="21">
        <f>EXP(-LN(2)/2)*AW50+(1-EXP(-LN(2)/2))/(LN(2)/2)*AQ51*AT51*VLOOKUP('Données projet'!$B$10,Paramètres!$A$1:$I$89,3,0)*0.475*44/12</f>
        <v>3.1114601480958647E-2</v>
      </c>
      <c r="AX51" s="21">
        <f t="shared" si="6"/>
        <v>26.85695192093408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3.75</v>
      </c>
      <c r="BD51" s="12">
        <f>IF('Données projet'!$A$88&gt;35,BD50+BC51-BL50,IF(A51&lt;'Données projet'!$A$88,$BA$205^A51,IF(A51='Données projet'!$A$88,'Données projet'!$B$88,BD50+BC51-BL50)))</f>
        <v>161.5</v>
      </c>
      <c r="BE51" s="13">
        <f>BD51*VLOOKUP('Données projet'!$B$11,Paramètres!$A$1:$I$89,3,0)*VLOOKUP('Données projet'!$B$11,Paramètres!$A$1:$I$89,5,0)</f>
        <v>96.577000000000012</v>
      </c>
      <c r="BF51" s="13">
        <f t="shared" si="37"/>
        <v>26.144869330200713</v>
      </c>
      <c r="BG51" s="20">
        <f t="shared" si="7"/>
        <v>213.74058908343292</v>
      </c>
      <c r="BH51" s="59">
        <f t="shared" si="8"/>
        <v>507.07392241676621</v>
      </c>
      <c r="BI51" s="59">
        <f ca="1">AVERAGE(OFFSET($BH$3,0,0,'Données projet'!$E$11+1,1))-AVERAGE(OFFSET($H$3,0,0,'Données projet'!$E$11+1,1))</f>
        <v>162.86181551380446</v>
      </c>
      <c r="BJ51" s="59">
        <f t="shared" si="38"/>
        <v>184.96823352120742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2.7735442775366925</v>
      </c>
      <c r="BQ51" s="21">
        <f>EXP(-LN(2)/25)*BQ50+(1-EXP(-LN(2)/25))/(LN(2)/25)*Calculateur!BL51*Calculateur!BN51*VLOOKUP('Données projet'!$B$11,Paramètres!$A$1:$I$89,3,0)*0.475*44/12</f>
        <v>1.8988272919728821</v>
      </c>
      <c r="BR51" s="21">
        <f>EXP(-LN(2)/2)*BR50+(1-EXP(-LN(2)/2))/(LN(2)/2)*BL51*BO51*VLOOKUP('Données projet'!$B$11,Paramètres!$A$1:$I$89,3,0)*0.475*44/12</f>
        <v>3.2605719426485134E-3</v>
      </c>
      <c r="BS51" s="22">
        <f t="shared" si="9"/>
        <v>4.6756321414522235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-5.6843418860808015E-14</v>
      </c>
      <c r="BZ51" s="13">
        <f>BY51*VLOOKUP('Données projet'!$B$12,Paramètres!$A$1:$I$89,3,0)*VLOOKUP('Données projet'!$B$12,Paramètres!$A$1:$I$89,5,0)</f>
        <v>-3.1036506698001178E-14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207.02306964567629</v>
      </c>
      <c r="CE51" s="59">
        <f t="shared" si="40"/>
        <v>342.06887933351783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4.6248793864146753</v>
      </c>
      <c r="CL51" s="21">
        <f>EXP(-LN(2)/25)*CL50+(1-EXP(-LN(2)/25))/(LN(2)/25)*Calculateur!CG51*Calculateur!CI51*VLOOKUP('Données projet'!$B$12,Paramètres!$A$1:$I$89,3,0)*0.475*44/12</f>
        <v>23.628022178752097</v>
      </c>
      <c r="CM51" s="21">
        <f>EXP(-LN(2)/2)*CM50+(1-EXP(-LN(2)/2))/(LN(2)/2)*CG51*CJ51*VLOOKUP('Données projet'!$B$12,Paramètres!$A$1:$I$89,3,0)*0.475*44/12</f>
        <v>2.5925883589650079E-2</v>
      </c>
      <c r="CN51" s="22">
        <f t="shared" si="12"/>
        <v>28.278827448756424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5.6</v>
      </c>
      <c r="N52" s="13">
        <f>IF('Données projet'!$A$36&gt;35,N51+M52-V51,IF(A52&lt;'Données projet'!$A$36,$K$205^A52,IF(A52='Données projet'!$A$36,'Données projet'!$B$36,N51+M52-V51)))</f>
        <v>160.40000000000003</v>
      </c>
      <c r="O52" s="13">
        <f>N52*VLOOKUP('Données projet'!$B$9,Paramètres!$A$1:$I$89,3,0)*VLOOKUP('Données projet'!$B$9,Paramètres!$A$1:$I$89,5,0)</f>
        <v>140.12544000000005</v>
      </c>
      <c r="P52" s="13">
        <f t="shared" si="33"/>
        <v>36.325740539490845</v>
      </c>
      <c r="Q52" s="20">
        <f t="shared" si="53"/>
        <v>307.31913943961331</v>
      </c>
      <c r="R52" s="59">
        <f t="shared" si="0"/>
        <v>600.65247277294657</v>
      </c>
      <c r="S52" s="59">
        <f ca="1">AVERAGE(OFFSET($R$3,0,0,'Données projet'!$E$9+1,1))-AVERAGE(OFFSET($H$3,0,0,'Données projet'!$E$9+1,1))</f>
        <v>268.31928207836495</v>
      </c>
      <c r="T52" s="59">
        <f t="shared" si="34"/>
        <v>277.61304526670204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1.4123592635488849</v>
      </c>
      <c r="AA52" s="21">
        <f>EXP(-LN(2)/25)*AA51+(1-EXP(-LN(2)/25))/(LN(2)/25)*Calculateur!V52*Calculateur!X52*VLOOKUP('Données projet'!$B$9,Paramètres!$A$1:$I$89,3,0)*0.475*44/12</f>
        <v>3.3254985579771725</v>
      </c>
      <c r="AB52" s="21">
        <f>EXP(-LN(2)/2)*AB51+(1-EXP(-LN(2)/2))/(LN(2)/2)*V52*Y52*VLOOKUP('Données projet'!$B$9,Paramètres!$A$1:$I$89,3,0)*0.475*44/12</f>
        <v>1.1274494829572466E-2</v>
      </c>
      <c r="AC52" s="22">
        <f t="shared" si="3"/>
        <v>4.74913231635563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20.399999999999999</v>
      </c>
      <c r="AI52" s="13">
        <f>IF('Données projet'!$A$62&gt;35,AI51+AH52-AQ51,IF(A52&lt;'Données projet'!$A$62,$AF$205^A52,IF(A52='Données projet'!$A$62,'Données projet'!$B$62,AI51+AH52-AQ51)))</f>
        <v>703.59999999999957</v>
      </c>
      <c r="AJ52" s="13">
        <f>AI52*VLOOKUP('Données projet'!$B$10,Paramètres!$A$1:$I$89,3,0)*VLOOKUP('Données projet'!$B$10,Paramètres!$A$1:$I$89,5,0)</f>
        <v>393.3123999999998</v>
      </c>
      <c r="AK52" s="13">
        <f t="shared" si="35"/>
        <v>90.419529407700907</v>
      </c>
      <c r="AL52" s="20">
        <f t="shared" si="4"/>
        <v>842.49977705174535</v>
      </c>
      <c r="AM52" s="59">
        <f t="shared" si="5"/>
        <v>1135.8331103850787</v>
      </c>
      <c r="AN52" s="59">
        <f ca="1">AVERAGE(OFFSET($AM$3,0,0,'Données projet'!$E$10+1,1))-AVERAGE(OFFSET($H$3,0,0,'Données projet'!$E$10+1,1))</f>
        <v>544.48194192356823</v>
      </c>
      <c r="AO52" s="59">
        <f t="shared" si="36"/>
        <v>668.20427590250733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5.0391707626028444</v>
      </c>
      <c r="AV52" s="21">
        <f>EXP(-LN(2)/25)*AV51+(1-EXP(-LN(2)/25))/(LN(2)/25)*Calculateur!AQ52*Calculateur!AS52*VLOOKUP('Données projet'!$B$10,Paramètres!$A$1:$I$89,3,0)*0.475*44/12</f>
        <v>21.092873638304365</v>
      </c>
      <c r="AW52" s="21">
        <f>EXP(-LN(2)/2)*AW51+(1-EXP(-LN(2)/2))/(LN(2)/2)*AQ52*AT52*VLOOKUP('Données projet'!$B$10,Paramètres!$A$1:$I$89,3,0)*0.475*44/12</f>
        <v>2.2001345701102855E-2</v>
      </c>
      <c r="AX52" s="21">
        <f t="shared" si="6"/>
        <v>26.154045746608311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3.75</v>
      </c>
      <c r="BD52" s="12">
        <f>IF('Données projet'!$A$88&gt;35,BD51+BC52-BL51,IF(A52&lt;'Données projet'!$A$88,$BA$205^A52,IF(A52='Données projet'!$A$88,'Données projet'!$B$88,BD51+BC52-BL51)))</f>
        <v>165.25</v>
      </c>
      <c r="BE52" s="13">
        <f>BD52*VLOOKUP('Données projet'!$B$11,Paramètres!$A$1:$I$89,3,0)*VLOOKUP('Données projet'!$B$11,Paramètres!$A$1:$I$89,5,0)</f>
        <v>98.819500000000005</v>
      </c>
      <c r="BF52" s="13">
        <f t="shared" si="37"/>
        <v>26.680565623120266</v>
      </c>
      <c r="BG52" s="20">
        <f t="shared" si="7"/>
        <v>218.57928096026777</v>
      </c>
      <c r="BH52" s="59">
        <f t="shared" si="8"/>
        <v>511.91261429360111</v>
      </c>
      <c r="BI52" s="59">
        <f ca="1">AVERAGE(OFFSET($BH$3,0,0,'Données projet'!$E$11+1,1))-AVERAGE(OFFSET($H$3,0,0,'Données projet'!$E$11+1,1))</f>
        <v>162.86181551380446</v>
      </c>
      <c r="BJ52" s="59">
        <f t="shared" si="38"/>
        <v>184.96823352120742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2.7191567659491662</v>
      </c>
      <c r="BQ52" s="21">
        <f>EXP(-LN(2)/25)*BQ51+(1-EXP(-LN(2)/25))/(LN(2)/25)*Calculateur!BL52*Calculateur!BN52*VLOOKUP('Données projet'!$B$11,Paramètres!$A$1:$I$89,3,0)*0.475*44/12</f>
        <v>1.8469037598188962</v>
      </c>
      <c r="BR52" s="21">
        <f>EXP(-LN(2)/2)*BR51+(1-EXP(-LN(2)/2))/(LN(2)/2)*BL52*BO52*VLOOKUP('Données projet'!$B$11,Paramètres!$A$1:$I$89,3,0)*0.475*44/12</f>
        <v>2.3055725311933585E-3</v>
      </c>
      <c r="BS52" s="22">
        <f t="shared" si="9"/>
        <v>4.568366098299256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-5.6843418860808015E-14</v>
      </c>
      <c r="BZ52" s="13">
        <f>BY52*VLOOKUP('Données projet'!$B$12,Paramètres!$A$1:$I$89,3,0)*VLOOKUP('Données projet'!$B$12,Paramètres!$A$1:$I$89,5,0)</f>
        <v>-3.1036506698001178E-14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207.02306964567629</v>
      </c>
      <c r="CE52" s="59">
        <f t="shared" si="40"/>
        <v>342.06887933351783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4.5341883225449688</v>
      </c>
      <c r="CL52" s="21">
        <f>EXP(-LN(2)/25)*CL51+(1-EXP(-LN(2)/25))/(LN(2)/25)*Calculateur!CG52*Calculateur!CI52*VLOOKUP('Données projet'!$B$12,Paramètres!$A$1:$I$89,3,0)*0.475*44/12</f>
        <v>22.981912669730438</v>
      </c>
      <c r="CM52" s="21">
        <f>EXP(-LN(2)/2)*CM51+(1-EXP(-LN(2)/2))/(LN(2)/2)*CG52*CJ52*VLOOKUP('Données projet'!$B$12,Paramètres!$A$1:$I$89,3,0)*0.475*44/12</f>
        <v>1.8332368094494601E-2</v>
      </c>
      <c r="CN52" s="22">
        <f t="shared" si="12"/>
        <v>27.534433360369899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166</v>
      </c>
      <c r="L53" s="12">
        <f>VLOOKUP(A53,'Données projet'!$A$35:$I$55,9,0)</f>
        <v>5.6</v>
      </c>
      <c r="M53" s="12">
        <f t="array" ref="M53">INDEX(L:L,MIN(IF(ISNUMBER(L53:L249),ROW(L53:L249),"")))</f>
        <v>5.6</v>
      </c>
      <c r="N53" s="13">
        <f>IF('Données projet'!$A$36&gt;35,N52+M53-V52,IF(A53&lt;'Données projet'!$A$36,$K$205^A53,IF(A53='Données projet'!$A$36,'Données projet'!$B$36,N52+M53-V52)))</f>
        <v>166.00000000000003</v>
      </c>
      <c r="O53" s="13">
        <f>N53*VLOOKUP('Données projet'!$B$9,Paramètres!$A$1:$I$89,3,0)*VLOOKUP('Données projet'!$B$9,Paramètres!$A$1:$I$89,5,0)</f>
        <v>145.01760000000004</v>
      </c>
      <c r="P53" s="13">
        <f t="shared" si="33"/>
        <v>37.444100932065233</v>
      </c>
      <c r="Q53" s="20">
        <f t="shared" si="53"/>
        <v>317.78746245668032</v>
      </c>
      <c r="R53" s="59">
        <f t="shared" si="0"/>
        <v>611.12079579001363</v>
      </c>
      <c r="S53" s="59">
        <f ca="1">AVERAGE(OFFSET($R$3,0,0,'Données projet'!$E$9+1,1))-AVERAGE(OFFSET($H$3,0,0,'Données projet'!$E$9+1,1))</f>
        <v>268.31928207836495</v>
      </c>
      <c r="T53" s="59">
        <f t="shared" si="34"/>
        <v>277.61304526670204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19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1.3846637598447804</v>
      </c>
      <c r="AA53" s="21">
        <f>EXP(-LN(2)/25)*AA52+(1-EXP(-LN(2)/25))/(LN(2)/25)*Calculateur!V53*Calculateur!X53*VLOOKUP('Données projet'!$B$9,Paramètres!$A$1:$I$89,3,0)*0.475*44/12</f>
        <v>3.2345626250289179</v>
      </c>
      <c r="AB53" s="21">
        <f>EXP(-LN(2)/2)*AB52+(1-EXP(-LN(2)/2))/(LN(2)/2)*V53*Y53*VLOOKUP('Données projet'!$B$9,Paramètres!$A$1:$I$89,3,0)*0.475*44/12</f>
        <v>7.9722717484433589E-3</v>
      </c>
      <c r="AC53" s="22">
        <f t="shared" si="3"/>
        <v>4.6271986566221415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724</v>
      </c>
      <c r="AG53" s="12">
        <f>VLOOKUP(A53,'Données projet'!$A$61:$I$81,9,0)</f>
        <v>20.399999999999999</v>
      </c>
      <c r="AH53" s="12">
        <f t="array" ref="AH53">INDEX(AG:AG,MIN(IF(ISNUMBER(AG53:AG249),ROW(AG53:AG249),"")))</f>
        <v>20.399999999999999</v>
      </c>
      <c r="AI53" s="13">
        <f>IF('Données projet'!$A$62&gt;35,AI52+AH53-AQ52,IF(A53&lt;'Données projet'!$A$62,$AF$205^A53,IF(A53='Données projet'!$A$62,'Données projet'!$B$62,AI52+AH53-AQ52)))</f>
        <v>723.99999999999955</v>
      </c>
      <c r="AJ53" s="13">
        <f>AI53*VLOOKUP('Données projet'!$B$10,Paramètres!$A$1:$I$89,3,0)*VLOOKUP('Données projet'!$B$10,Paramètres!$A$1:$I$89,5,0)</f>
        <v>404.71599999999978</v>
      </c>
      <c r="AK53" s="13">
        <f t="shared" si="35"/>
        <v>92.732108655131142</v>
      </c>
      <c r="AL53" s="20">
        <f t="shared" si="4"/>
        <v>866.38878924101971</v>
      </c>
      <c r="AM53" s="59">
        <f t="shared" si="5"/>
        <v>1159.7221225743531</v>
      </c>
      <c r="AN53" s="59">
        <f ca="1">AVERAGE(OFFSET($AM$3,0,0,'Données projet'!$E$10+1,1))-AVERAGE(OFFSET($H$3,0,0,'Données projet'!$E$10+1,1))</f>
        <v>544.48194192356823</v>
      </c>
      <c r="AO53" s="59">
        <f t="shared" si="36"/>
        <v>668.20427590250733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4.9403556975388758</v>
      </c>
      <c r="AV53" s="21">
        <f>EXP(-LN(2)/25)*AV52+(1-EXP(-LN(2)/25))/(LN(2)/25)*Calculateur!AQ53*Calculateur!AS53*VLOOKUP('Données projet'!$B$10,Paramètres!$A$1:$I$89,3,0)*0.475*44/12</f>
        <v>20.516087899438915</v>
      </c>
      <c r="AW53" s="21">
        <f>EXP(-LN(2)/2)*AW52+(1-EXP(-LN(2)/2))/(LN(2)/2)*AQ53*AT53*VLOOKUP('Données projet'!$B$10,Paramètres!$A$1:$I$89,3,0)*0.475*44/12</f>
        <v>1.5557300740479325E-2</v>
      </c>
      <c r="AX53" s="21">
        <f t="shared" si="6"/>
        <v>25.472000897718271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3.75</v>
      </c>
      <c r="BD53" s="12">
        <f>IF('Données projet'!$A$88&gt;35,BD52+BC53-BL52,IF(A53&lt;'Données projet'!$A$88,$BA$205^A53,IF(A53='Données projet'!$A$88,'Données projet'!$B$88,BD52+BC53-BL52)))</f>
        <v>169</v>
      </c>
      <c r="BE53" s="13">
        <f>BD53*VLOOKUP('Données projet'!$B$11,Paramètres!$A$1:$I$89,3,0)*VLOOKUP('Données projet'!$B$11,Paramètres!$A$1:$I$89,5,0)</f>
        <v>101.06200000000001</v>
      </c>
      <c r="BF53" s="13">
        <f t="shared" si="37"/>
        <v>27.214848638810562</v>
      </c>
      <c r="BG53" s="20">
        <f t="shared" si="7"/>
        <v>223.41551137926174</v>
      </c>
      <c r="BH53" s="59">
        <f t="shared" si="8"/>
        <v>516.74884471259509</v>
      </c>
      <c r="BI53" s="59">
        <f ca="1">AVERAGE(OFFSET($BH$3,0,0,'Données projet'!$E$11+1,1))-AVERAGE(OFFSET($H$3,0,0,'Données projet'!$E$11+1,1))</f>
        <v>162.86181551380446</v>
      </c>
      <c r="BJ53" s="59">
        <f t="shared" si="38"/>
        <v>184.96823352120742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2.665835760290765</v>
      </c>
      <c r="BQ53" s="21">
        <f>EXP(-LN(2)/25)*BQ52+(1-EXP(-LN(2)/25))/(LN(2)/25)*Calculateur!BL53*Calculateur!BN53*VLOOKUP('Données projet'!$B$11,Paramètres!$A$1:$I$89,3,0)*0.475*44/12</f>
        <v>1.7964000793822008</v>
      </c>
      <c r="BR53" s="21">
        <f>EXP(-LN(2)/2)*BR52+(1-EXP(-LN(2)/2))/(LN(2)/2)*BL53*BO53*VLOOKUP('Données projet'!$B$11,Paramètres!$A$1:$I$89,3,0)*0.475*44/12</f>
        <v>1.6302859713242567E-3</v>
      </c>
      <c r="BS53" s="22">
        <f t="shared" si="9"/>
        <v>4.46386612564429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-5.6843418860808015E-14</v>
      </c>
      <c r="BZ53" s="13">
        <f>BY53*VLOOKUP('Données projet'!$B$12,Paramètres!$A$1:$I$89,3,0)*VLOOKUP('Données projet'!$B$12,Paramètres!$A$1:$I$89,5,0)</f>
        <v>-3.1036506698001178E-14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207.02306964567629</v>
      </c>
      <c r="CE53" s="59">
        <f t="shared" si="40"/>
        <v>342.06887933351783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4.4452756551216606</v>
      </c>
      <c r="CL53" s="21">
        <f>EXP(-LN(2)/25)*CL52+(1-EXP(-LN(2)/25))/(LN(2)/25)*Calculateur!CG53*Calculateur!CI53*VLOOKUP('Données projet'!$B$12,Paramètres!$A$1:$I$89,3,0)*0.475*44/12</f>
        <v>22.353471059210399</v>
      </c>
      <c r="CM53" s="21">
        <f>EXP(-LN(2)/2)*CM52+(1-EXP(-LN(2)/2))/(LN(2)/2)*CG53*CJ53*VLOOKUP('Données projet'!$B$12,Paramètres!$A$1:$I$89,3,0)*0.475*44/12</f>
        <v>1.296294179482504E-2</v>
      </c>
      <c r="CN53" s="22">
        <f t="shared" si="12"/>
        <v>26.811709656126887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</v>
      </c>
      <c r="N54" s="13">
        <f>IF('Données projet'!$A$36&gt;35,N53+M54-V53,IF(A54&lt;'Données projet'!$A$36,$K$205^A54,IF(A54='Données projet'!$A$36,'Données projet'!$B$36,N53+M54-V53)))</f>
        <v>152.00000000000003</v>
      </c>
      <c r="O54" s="13">
        <f>N54*VLOOKUP('Données projet'!$B$9,Paramètres!$A$1:$I$89,3,0)*VLOOKUP('Données projet'!$B$9,Paramètres!$A$1:$I$89,5,0)</f>
        <v>132.78720000000004</v>
      </c>
      <c r="P54" s="13">
        <f t="shared" si="33"/>
        <v>34.639602119854608</v>
      </c>
      <c r="Q54" s="20">
        <f t="shared" si="53"/>
        <v>291.60168035874682</v>
      </c>
      <c r="R54" s="59">
        <f t="shared" si="0"/>
        <v>584.93501369208013</v>
      </c>
      <c r="S54" s="59">
        <f ca="1">AVERAGE(OFFSET($R$3,0,0,'Données projet'!$E$9+1,1))-AVERAGE(OFFSET($H$3,0,0,'Données projet'!$E$9+1,1))</f>
        <v>268.31928207836495</v>
      </c>
      <c r="T54" s="59">
        <f t="shared" si="34"/>
        <v>277.61304526670204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1.3575113480757242</v>
      </c>
      <c r="AA54" s="21">
        <f>EXP(-LN(2)/25)*AA53+(1-EXP(-LN(2)/25))/(LN(2)/25)*Calculateur!V54*Calculateur!X54*VLOOKUP('Données projet'!$B$9,Paramètres!$A$1:$I$89,3,0)*0.475*44/12</f>
        <v>3.1461133399492462</v>
      </c>
      <c r="AB54" s="21">
        <f>EXP(-LN(2)/2)*AB53+(1-EXP(-LN(2)/2))/(LN(2)/2)*V54*Y54*VLOOKUP('Données projet'!$B$9,Paramètres!$A$1:$I$89,3,0)*0.475*44/12</f>
        <v>5.6372474147862329E-3</v>
      </c>
      <c r="AC54" s="22">
        <f t="shared" si="3"/>
        <v>4.5092619354397572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15.4</v>
      </c>
      <c r="AI54" s="13">
        <f>IF('Données projet'!$A$62&gt;35,AI53+AH54-AQ53,IF(A54&lt;'Données projet'!$A$62,$AF$205^A54,IF(A54='Données projet'!$A$62,'Données projet'!$B$62,AI53+AH54-AQ53)))</f>
        <v>677.39999999999952</v>
      </c>
      <c r="AJ54" s="13">
        <f>AI54*VLOOKUP('Données projet'!$B$10,Paramètres!$A$1:$I$89,3,0)*VLOOKUP('Données projet'!$B$10,Paramètres!$A$1:$I$89,5,0)</f>
        <v>378.66659999999979</v>
      </c>
      <c r="AK54" s="13">
        <f t="shared" si="35"/>
        <v>87.437946637883755</v>
      </c>
      <c r="AL54" s="20">
        <f t="shared" si="4"/>
        <v>811.79875206098052</v>
      </c>
      <c r="AM54" s="59">
        <f t="shared" si="5"/>
        <v>1105.1320853943139</v>
      </c>
      <c r="AN54" s="59">
        <f ca="1">AVERAGE(OFFSET($AM$3,0,0,'Données projet'!$E$10+1,1))-AVERAGE(OFFSET($H$3,0,0,'Données projet'!$E$10+1,1))</f>
        <v>544.48194192356823</v>
      </c>
      <c r="AO54" s="59">
        <f t="shared" si="36"/>
        <v>668.20427590250733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4.8434783356295732</v>
      </c>
      <c r="AV54" s="21">
        <f>EXP(-LN(2)/25)*AV53+(1-EXP(-LN(2)/25))/(LN(2)/25)*Calculateur!AQ54*Calculateur!AS54*VLOOKUP('Données projet'!$B$10,Paramètres!$A$1:$I$89,3,0)*0.475*44/12</f>
        <v>19.955074396934585</v>
      </c>
      <c r="AW54" s="21">
        <f>EXP(-LN(2)/2)*AW53+(1-EXP(-LN(2)/2))/(LN(2)/2)*AQ54*AT54*VLOOKUP('Données projet'!$B$10,Paramètres!$A$1:$I$89,3,0)*0.475*44/12</f>
        <v>1.1000672850551429E-2</v>
      </c>
      <c r="AX54" s="21">
        <f t="shared" si="6"/>
        <v>24.809553405414711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3.75</v>
      </c>
      <c r="BD54" s="12">
        <f>IF('Données projet'!$A$88&gt;35,BD53+BC54-BL53,IF(A54&lt;'Données projet'!$A$88,$BA$205^A54,IF(A54='Données projet'!$A$88,'Données projet'!$B$88,BD53+BC54-BL53)))</f>
        <v>172.75</v>
      </c>
      <c r="BE54" s="13">
        <f>BD54*VLOOKUP('Données projet'!$B$11,Paramètres!$A$1:$I$89,3,0)*VLOOKUP('Données projet'!$B$11,Paramètres!$A$1:$I$89,5,0)</f>
        <v>103.3045</v>
      </c>
      <c r="BF54" s="13">
        <f t="shared" si="37"/>
        <v>27.747753347866851</v>
      </c>
      <c r="BG54" s="20">
        <f t="shared" si="7"/>
        <v>228.24934124753477</v>
      </c>
      <c r="BH54" s="59">
        <f t="shared" si="8"/>
        <v>521.58267458086812</v>
      </c>
      <c r="BI54" s="59">
        <f ca="1">AVERAGE(OFFSET($BH$3,0,0,'Données projet'!$E$11+1,1))-AVERAGE(OFFSET($H$3,0,0,'Données projet'!$E$11+1,1))</f>
        <v>162.86181551380446</v>
      </c>
      <c r="BJ54" s="59">
        <f t="shared" si="38"/>
        <v>184.96823352120742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2.6135603470307229</v>
      </c>
      <c r="BQ54" s="21">
        <f>EXP(-LN(2)/25)*BQ53+(1-EXP(-LN(2)/25))/(LN(2)/25)*Calculateur!BL54*Calculateur!BN54*VLOOKUP('Données projet'!$B$11,Paramètres!$A$1:$I$89,3,0)*0.475*44/12</f>
        <v>1.7472774247429201</v>
      </c>
      <c r="BR54" s="21">
        <f>EXP(-LN(2)/2)*BR53+(1-EXP(-LN(2)/2))/(LN(2)/2)*BL54*BO54*VLOOKUP('Données projet'!$B$11,Paramètres!$A$1:$I$89,3,0)*0.475*44/12</f>
        <v>1.1527862655966792E-3</v>
      </c>
      <c r="BS54" s="22">
        <f t="shared" si="9"/>
        <v>4.3619905580392402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-5.6843418860808015E-14</v>
      </c>
      <c r="BZ54" s="13">
        <f>BY54*VLOOKUP('Données projet'!$B$12,Paramètres!$A$1:$I$89,3,0)*VLOOKUP('Données projet'!$B$12,Paramètres!$A$1:$I$89,5,0)</f>
        <v>-3.1036506698001178E-14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207.02306964567629</v>
      </c>
      <c r="CE54" s="59">
        <f t="shared" si="40"/>
        <v>342.06887933351783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4.3581065108751504</v>
      </c>
      <c r="CL54" s="21">
        <f>EXP(-LN(2)/25)*CL53+(1-EXP(-LN(2)/25))/(LN(2)/25)*Calculateur!CG54*Calculateur!CI54*VLOOKUP('Données projet'!$B$12,Paramètres!$A$1:$I$89,3,0)*0.475*44/12</f>
        <v>21.742214217578336</v>
      </c>
      <c r="CM54" s="21">
        <f>EXP(-LN(2)/2)*CM53+(1-EXP(-LN(2)/2))/(LN(2)/2)*CG54*CJ54*VLOOKUP('Données projet'!$B$12,Paramètres!$A$1:$I$89,3,0)*0.475*44/12</f>
        <v>9.1661840472473007E-3</v>
      </c>
      <c r="CN54" s="22">
        <f t="shared" si="12"/>
        <v>26.109486912500735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</v>
      </c>
      <c r="N55" s="13">
        <f>IF('Données projet'!$A$36&gt;35,N54+M55-V54,IF(A55&lt;'Données projet'!$A$36,$K$205^A55,IF(A55='Données projet'!$A$36,'Données projet'!$B$36,N54+M55-V54)))</f>
        <v>157.00000000000003</v>
      </c>
      <c r="O55" s="13">
        <f>N55*VLOOKUP('Données projet'!$B$9,Paramètres!$A$1:$I$89,3,0)*VLOOKUP('Données projet'!$B$9,Paramètres!$A$1:$I$89,5,0)</f>
        <v>137.15520000000006</v>
      </c>
      <c r="P55" s="13">
        <f t="shared" si="33"/>
        <v>35.644525151069693</v>
      </c>
      <c r="Q55" s="20">
        <f t="shared" si="53"/>
        <v>300.95952130477986</v>
      </c>
      <c r="R55" s="59">
        <f t="shared" si="0"/>
        <v>594.29285463811311</v>
      </c>
      <c r="S55" s="59">
        <f ca="1">AVERAGE(OFFSET($R$3,0,0,'Données projet'!$E$9+1,1))-AVERAGE(OFFSET($H$3,0,0,'Données projet'!$E$9+1,1))</f>
        <v>268.31928207836495</v>
      </c>
      <c r="T55" s="59">
        <f t="shared" si="34"/>
        <v>277.61304526670204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1.3308913785401233</v>
      </c>
      <c r="AA55" s="21">
        <f>EXP(-LN(2)/25)*AA54+(1-EXP(-LN(2)/25))/(LN(2)/25)*Calculateur!V55*Calculateur!X55*VLOOKUP('Données projet'!$B$9,Paramètres!$A$1:$I$89,3,0)*0.475*44/12</f>
        <v>3.0600827052214239</v>
      </c>
      <c r="AB55" s="21">
        <f>EXP(-LN(2)/2)*AB54+(1-EXP(-LN(2)/2))/(LN(2)/2)*V55*Y55*VLOOKUP('Données projet'!$B$9,Paramètres!$A$1:$I$89,3,0)*0.475*44/12</f>
        <v>3.9861358742216794E-3</v>
      </c>
      <c r="AC55" s="22">
        <f t="shared" si="3"/>
        <v>4.3949602196357684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15.4</v>
      </c>
      <c r="AI55" s="13">
        <f>IF('Données projet'!$A$62&gt;35,AI54+AH55-AQ54,IF(A55&lt;'Données projet'!$A$62,$AF$205^A55,IF(A55='Données projet'!$A$62,'Données projet'!$B$62,AI54+AH55-AQ54)))</f>
        <v>692.7999999999995</v>
      </c>
      <c r="AJ55" s="13">
        <f>AI55*VLOOKUP('Données projet'!$B$10,Paramètres!$A$1:$I$89,3,0)*VLOOKUP('Données projet'!$B$10,Paramètres!$A$1:$I$89,5,0)</f>
        <v>387.2751999999997</v>
      </c>
      <c r="AK55" s="13">
        <f t="shared" si="35"/>
        <v>89.192073473767834</v>
      </c>
      <c r="AL55" s="20">
        <f t="shared" si="4"/>
        <v>829.84716796681175</v>
      </c>
      <c r="AM55" s="59">
        <f t="shared" si="5"/>
        <v>1123.1805013001451</v>
      </c>
      <c r="AN55" s="59">
        <f ca="1">AVERAGE(OFFSET($AM$3,0,0,'Données projet'!$E$10+1,1))-AVERAGE(OFFSET($H$3,0,0,'Données projet'!$E$10+1,1))</f>
        <v>544.48194192356823</v>
      </c>
      <c r="AO55" s="59">
        <f t="shared" si="36"/>
        <v>668.20427590250733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4.7485006796979556</v>
      </c>
      <c r="AV55" s="21">
        <f>EXP(-LN(2)/25)*AV54+(1-EXP(-LN(2)/25))/(LN(2)/25)*Calculateur!AQ55*Calculateur!AS55*VLOOKUP('Données projet'!$B$10,Paramètres!$A$1:$I$89,3,0)*0.475*44/12</f>
        <v>19.409401838158654</v>
      </c>
      <c r="AW55" s="21">
        <f>EXP(-LN(2)/2)*AW54+(1-EXP(-LN(2)/2))/(LN(2)/2)*AQ55*AT55*VLOOKUP('Données projet'!$B$10,Paramètres!$A$1:$I$89,3,0)*0.475*44/12</f>
        <v>7.7786503702396642E-3</v>
      </c>
      <c r="AX55" s="21">
        <f t="shared" si="6"/>
        <v>24.16568116822685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3.75</v>
      </c>
      <c r="BD55" s="12">
        <f>IF('Données projet'!$A$88&gt;35,BD54+BC55-BL54,IF(A55&lt;'Données projet'!$A$88,$BA$205^A55,IF(A55='Données projet'!$A$88,'Données projet'!$B$88,BD54+BC55-BL54)))</f>
        <v>176.5</v>
      </c>
      <c r="BE55" s="13">
        <f>BD55*VLOOKUP('Données projet'!$B$11,Paramètres!$A$1:$I$89,3,0)*VLOOKUP('Données projet'!$B$11,Paramètres!$A$1:$I$89,5,0)</f>
        <v>105.547</v>
      </c>
      <c r="BF55" s="13">
        <f t="shared" si="37"/>
        <v>28.279313115910643</v>
      </c>
      <c r="BG55" s="20">
        <f t="shared" si="7"/>
        <v>233.08082867687767</v>
      </c>
      <c r="BH55" s="59">
        <f t="shared" si="8"/>
        <v>526.41416201021093</v>
      </c>
      <c r="BI55" s="59">
        <f ca="1">AVERAGE(OFFSET($BH$3,0,0,'Données projet'!$E$11+1,1))-AVERAGE(OFFSET($H$3,0,0,'Données projet'!$E$11+1,1))</f>
        <v>162.86181551380446</v>
      </c>
      <c r="BJ55" s="59">
        <f t="shared" si="38"/>
        <v>184.96823352120742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2.5623100227398563</v>
      </c>
      <c r="BQ55" s="21">
        <f>EXP(-LN(2)/25)*BQ54+(1-EXP(-LN(2)/25))/(LN(2)/25)*Calculateur!BL55*Calculateur!BN55*VLOOKUP('Données projet'!$B$11,Paramètres!$A$1:$I$89,3,0)*0.475*44/12</f>
        <v>1.6994980316779986</v>
      </c>
      <c r="BR55" s="21">
        <f>EXP(-LN(2)/2)*BR54+(1-EXP(-LN(2)/2))/(LN(2)/2)*BL55*BO55*VLOOKUP('Données projet'!$B$11,Paramètres!$A$1:$I$89,3,0)*0.475*44/12</f>
        <v>8.1514298566212834E-4</v>
      </c>
      <c r="BS55" s="22">
        <f t="shared" si="9"/>
        <v>4.2626231974035171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-5.6843418860808015E-14</v>
      </c>
      <c r="BZ55" s="13">
        <f>BY55*VLOOKUP('Données projet'!$B$12,Paramètres!$A$1:$I$89,3,0)*VLOOKUP('Données projet'!$B$12,Paramètres!$A$1:$I$89,5,0)</f>
        <v>-3.1036506698001178E-14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207.02306964567629</v>
      </c>
      <c r="CE55" s="59">
        <f t="shared" si="40"/>
        <v>342.06887933351783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4.2726467003793864</v>
      </c>
      <c r="CL55" s="21">
        <f>EXP(-LN(2)/25)*CL54+(1-EXP(-LN(2)/25))/(LN(2)/25)*Calculateur!CG55*Calculateur!CI55*VLOOKUP('Données projet'!$B$12,Paramètres!$A$1:$I$89,3,0)*0.475*44/12</f>
        <v>21.147672226425303</v>
      </c>
      <c r="CM55" s="21">
        <f>EXP(-LN(2)/2)*CM54+(1-EXP(-LN(2)/2))/(LN(2)/2)*CG55*CJ55*VLOOKUP('Données projet'!$B$12,Paramètres!$A$1:$I$89,3,0)*0.475*44/12</f>
        <v>6.4814708974125198E-3</v>
      </c>
      <c r="CN55" s="22">
        <f t="shared" si="12"/>
        <v>25.426800397702102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</v>
      </c>
      <c r="N56" s="13">
        <f>IF('Données projet'!$A$36&gt;35,N55+M56-V55,IF(A56&lt;'Données projet'!$A$36,$K$205^A56,IF(A56='Données projet'!$A$36,'Données projet'!$B$36,N55+M56-V55)))</f>
        <v>162.00000000000003</v>
      </c>
      <c r="O56" s="13">
        <f>N56*VLOOKUP('Données projet'!$B$9,Paramètres!$A$1:$I$89,3,0)*VLOOKUP('Données projet'!$B$9,Paramètres!$A$1:$I$89,5,0)</f>
        <v>141.52320000000006</v>
      </c>
      <c r="P56" s="13">
        <f t="shared" si="33"/>
        <v>36.645729158274158</v>
      </c>
      <c r="Q56" s="20">
        <f t="shared" si="53"/>
        <v>310.31088495066086</v>
      </c>
      <c r="R56" s="59">
        <f t="shared" si="0"/>
        <v>603.64421828399418</v>
      </c>
      <c r="S56" s="59">
        <f ca="1">AVERAGE(OFFSET($R$3,0,0,'Données projet'!$E$9+1,1))-AVERAGE(OFFSET($H$3,0,0,'Données projet'!$E$9+1,1))</f>
        <v>268.31928207836495</v>
      </c>
      <c r="T56" s="59">
        <f t="shared" si="34"/>
        <v>277.61304526670204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1.3047934103705374</v>
      </c>
      <c r="AA56" s="21">
        <f>EXP(-LN(2)/25)*AA55+(1-EXP(-LN(2)/25))/(LN(2)/25)*Calculateur!V56*Calculateur!X56*VLOOKUP('Données projet'!$B$9,Paramètres!$A$1:$I$89,3,0)*0.475*44/12</f>
        <v>2.9764045827243883</v>
      </c>
      <c r="AB56" s="21">
        <f>EXP(-LN(2)/2)*AB55+(1-EXP(-LN(2)/2))/(LN(2)/2)*V56*Y56*VLOOKUP('Données projet'!$B$9,Paramètres!$A$1:$I$89,3,0)*0.475*44/12</f>
        <v>2.8186237073931164E-3</v>
      </c>
      <c r="AC56" s="22">
        <f t="shared" si="3"/>
        <v>4.2840166168023188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15.4</v>
      </c>
      <c r="AI56" s="13">
        <f>IF('Données projet'!$A$62&gt;35,AI55+AH56-AQ55,IF(A56&lt;'Données projet'!$A$62,$AF$205^A56,IF(A56='Données projet'!$A$62,'Données projet'!$B$62,AI55+AH56-AQ55)))</f>
        <v>708.19999999999948</v>
      </c>
      <c r="AJ56" s="13">
        <f>AI56*VLOOKUP('Données projet'!$B$10,Paramètres!$A$1:$I$89,3,0)*VLOOKUP('Données projet'!$B$10,Paramètres!$A$1:$I$89,5,0)</f>
        <v>395.88379999999972</v>
      </c>
      <c r="AK56" s="13">
        <f t="shared" si="35"/>
        <v>90.941667130422957</v>
      </c>
      <c r="AL56" s="20">
        <f t="shared" si="4"/>
        <v>847.8876885854861</v>
      </c>
      <c r="AM56" s="59">
        <f t="shared" si="5"/>
        <v>1141.2210219188194</v>
      </c>
      <c r="AN56" s="59">
        <f ca="1">AVERAGE(OFFSET($AM$3,0,0,'Données projet'!$E$10+1,1))-AVERAGE(OFFSET($H$3,0,0,'Données projet'!$E$10+1,1))</f>
        <v>544.48194192356823</v>
      </c>
      <c r="AO56" s="59">
        <f t="shared" si="36"/>
        <v>668.20427590250733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4.6553854776685073</v>
      </c>
      <c r="AV56" s="21">
        <f>EXP(-LN(2)/25)*AV55+(1-EXP(-LN(2)/25))/(LN(2)/25)*Calculateur!AQ56*Calculateur!AS56*VLOOKUP('Données projet'!$B$10,Paramètres!$A$1:$I$89,3,0)*0.475*44/12</f>
        <v>18.878650724198124</v>
      </c>
      <c r="AW56" s="21">
        <f>EXP(-LN(2)/2)*AW55+(1-EXP(-LN(2)/2))/(LN(2)/2)*AQ56*AT56*VLOOKUP('Données projet'!$B$10,Paramètres!$A$1:$I$89,3,0)*0.475*44/12</f>
        <v>5.5003364252757155E-3</v>
      </c>
      <c r="AX56" s="21">
        <f t="shared" si="6"/>
        <v>23.539536538291905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3.75</v>
      </c>
      <c r="BD56" s="12">
        <f>IF('Données projet'!$A$88&gt;35,BD55+BC56-BL55,IF(A56&lt;'Données projet'!$A$88,$BA$205^A56,IF(A56='Données projet'!$A$88,'Données projet'!$B$88,BD55+BC56-BL55)))</f>
        <v>180.25</v>
      </c>
      <c r="BE56" s="13">
        <f>BD56*VLOOKUP('Données projet'!$B$11,Paramètres!$A$1:$I$89,3,0)*VLOOKUP('Données projet'!$B$11,Paramètres!$A$1:$I$89,5,0)</f>
        <v>107.78950000000002</v>
      </c>
      <c r="BF56" s="13">
        <f t="shared" si="37"/>
        <v>28.80955980975984</v>
      </c>
      <c r="BG56" s="20">
        <f t="shared" si="7"/>
        <v>237.91002916866509</v>
      </c>
      <c r="BH56" s="59">
        <f t="shared" si="8"/>
        <v>531.24336250199838</v>
      </c>
      <c r="BI56" s="59">
        <f ca="1">AVERAGE(OFFSET($BH$3,0,0,'Données projet'!$E$11+1,1))-AVERAGE(OFFSET($H$3,0,0,'Données projet'!$E$11+1,1))</f>
        <v>162.86181551380446</v>
      </c>
      <c r="BJ56" s="59">
        <f t="shared" si="38"/>
        <v>184.96823352120742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2.5120646860487224</v>
      </c>
      <c r="BQ56" s="21">
        <f>EXP(-LN(2)/25)*BQ55+(1-EXP(-LN(2)/25))/(LN(2)/25)*Calculateur!BL56*Calculateur!BN56*VLOOKUP('Données projet'!$B$11,Paramètres!$A$1:$I$89,3,0)*0.475*44/12</f>
        <v>1.6530251686290465</v>
      </c>
      <c r="BR56" s="21">
        <f>EXP(-LN(2)/2)*BR55+(1-EXP(-LN(2)/2))/(LN(2)/2)*BL56*BO56*VLOOKUP('Données projet'!$B$11,Paramètres!$A$1:$I$89,3,0)*0.475*44/12</f>
        <v>5.7639313279833962E-4</v>
      </c>
      <c r="BS56" s="22">
        <f t="shared" si="9"/>
        <v>4.1656662478105666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-5.6843418860808015E-14</v>
      </c>
      <c r="BZ56" s="13">
        <f>BY56*VLOOKUP('Données projet'!$B$12,Paramètres!$A$1:$I$89,3,0)*VLOOKUP('Données projet'!$B$12,Paramètres!$A$1:$I$89,5,0)</f>
        <v>-3.1036506698001178E-14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207.02306964567629</v>
      </c>
      <c r="CE56" s="59">
        <f t="shared" si="40"/>
        <v>342.06887933351783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4.1888627046421067</v>
      </c>
      <c r="CL56" s="21">
        <f>EXP(-LN(2)/25)*CL55+(1-EXP(-LN(2)/25))/(LN(2)/25)*Calculateur!CG56*Calculateur!CI56*VLOOKUP('Données projet'!$B$12,Paramètres!$A$1:$I$89,3,0)*0.475*44/12</f>
        <v>20.569388017285956</v>
      </c>
      <c r="CM56" s="21">
        <f>EXP(-LN(2)/2)*CM55+(1-EXP(-LN(2)/2))/(LN(2)/2)*CG56*CJ56*VLOOKUP('Données projet'!$B$12,Paramètres!$A$1:$I$89,3,0)*0.475*44/12</f>
        <v>4.5830920236236503E-3</v>
      </c>
      <c r="CN56" s="22">
        <f t="shared" si="12"/>
        <v>24.762833813951687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</v>
      </c>
      <c r="N57" s="13">
        <f>IF('Données projet'!$A$36&gt;35,N56+M57-V56,IF(A57&lt;'Données projet'!$A$36,$K$205^A57,IF(A57='Données projet'!$A$36,'Données projet'!$B$36,N56+M57-V56)))</f>
        <v>167.00000000000003</v>
      </c>
      <c r="O57" s="13">
        <f>N57*VLOOKUP('Données projet'!$B$9,Paramètres!$A$1:$I$89,3,0)*VLOOKUP('Données projet'!$B$9,Paramètres!$A$1:$I$89,5,0)</f>
        <v>145.89120000000005</v>
      </c>
      <c r="P57" s="13">
        <f t="shared" si="33"/>
        <v>37.643342098399685</v>
      </c>
      <c r="Q57" s="20">
        <f t="shared" si="53"/>
        <v>319.65599415471291</v>
      </c>
      <c r="R57" s="59">
        <f t="shared" si="0"/>
        <v>612.98932748804623</v>
      </c>
      <c r="S57" s="59">
        <f ca="1">AVERAGE(OFFSET($R$3,0,0,'Données projet'!$E$9+1,1))-AVERAGE(OFFSET($H$3,0,0,'Données projet'!$E$9+1,1))</f>
        <v>268.31928207836495</v>
      </c>
      <c r="T57" s="59">
        <f t="shared" si="34"/>
        <v>277.61304526670204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1.2792072074385683</v>
      </c>
      <c r="AA57" s="21">
        <f>EXP(-LN(2)/25)*AA56+(1-EXP(-LN(2)/25))/(LN(2)/25)*Calculateur!V57*Calculateur!X57*VLOOKUP('Données projet'!$B$9,Paramètres!$A$1:$I$89,3,0)*0.475*44/12</f>
        <v>2.8950146428874755</v>
      </c>
      <c r="AB57" s="21">
        <f>EXP(-LN(2)/2)*AB56+(1-EXP(-LN(2)/2))/(LN(2)/2)*V57*Y57*VLOOKUP('Données projet'!$B$9,Paramètres!$A$1:$I$89,3,0)*0.475*44/12</f>
        <v>1.9930679371108397E-3</v>
      </c>
      <c r="AC57" s="22">
        <f t="shared" si="3"/>
        <v>4.1762149182631543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15.4</v>
      </c>
      <c r="AI57" s="13">
        <f>IF('Données projet'!$A$62&gt;35,AI56+AH57-AQ56,IF(A57&lt;'Données projet'!$A$62,$AF$205^A57,IF(A57='Données projet'!$A$62,'Données projet'!$B$62,AI56+AH57-AQ56)))</f>
        <v>723.59999999999945</v>
      </c>
      <c r="AJ57" s="13">
        <f>AI57*VLOOKUP('Données projet'!$B$10,Paramètres!$A$1:$I$89,3,0)*VLOOKUP('Données projet'!$B$10,Paramètres!$A$1:$I$89,5,0)</f>
        <v>404.49239999999969</v>
      </c>
      <c r="AK57" s="13">
        <f t="shared" si="35"/>
        <v>92.686837535548761</v>
      </c>
      <c r="AL57" s="20">
        <f t="shared" si="4"/>
        <v>865.92050537441344</v>
      </c>
      <c r="AM57" s="59">
        <f t="shared" si="5"/>
        <v>1159.2538387077468</v>
      </c>
      <c r="AN57" s="59">
        <f ca="1">AVERAGE(OFFSET($AM$3,0,0,'Données projet'!$E$10+1,1))-AVERAGE(OFFSET($H$3,0,0,'Données projet'!$E$10+1,1))</f>
        <v>544.48194192356823</v>
      </c>
      <c r="AO57" s="59">
        <f t="shared" si="36"/>
        <v>668.20427590250733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4.5640962079561911</v>
      </c>
      <c r="AV57" s="21">
        <f>EXP(-LN(2)/25)*AV56+(1-EXP(-LN(2)/25))/(LN(2)/25)*Calculateur!AQ57*Calculateur!AS57*VLOOKUP('Données projet'!$B$10,Paramètres!$A$1:$I$89,3,0)*0.475*44/12</f>
        <v>18.362413027359832</v>
      </c>
      <c r="AW57" s="21">
        <f>EXP(-LN(2)/2)*AW56+(1-EXP(-LN(2)/2))/(LN(2)/2)*AQ57*AT57*VLOOKUP('Données projet'!$B$10,Paramètres!$A$1:$I$89,3,0)*0.475*44/12</f>
        <v>3.8893251851198326E-3</v>
      </c>
      <c r="AX57" s="21">
        <f t="shared" si="6"/>
        <v>22.930398560501143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184</v>
      </c>
      <c r="BB57" s="12">
        <f>VLOOKUP(A57,'Données projet'!$A$87:$I$107,9,0)</f>
        <v>3.75</v>
      </c>
      <c r="BC57" s="12">
        <f t="array" ref="BC57">INDEX(BB:BB,MIN(IF(ISNUMBER(BB57:BB253),ROW(BB57:BB253),"")))</f>
        <v>3.75</v>
      </c>
      <c r="BD57" s="12">
        <f>IF('Données projet'!$A$88&gt;35,BD56+BC57-BL56,IF(A57&lt;'Données projet'!$A$88,$BA$205^A57,IF(A57='Données projet'!$A$88,'Données projet'!$B$88,BD56+BC57-BL56)))</f>
        <v>184</v>
      </c>
      <c r="BE57" s="13">
        <f>BD57*VLOOKUP('Données projet'!$B$11,Paramètres!$A$1:$I$89,3,0)*VLOOKUP('Données projet'!$B$11,Paramètres!$A$1:$I$89,5,0)</f>
        <v>110.03200000000001</v>
      </c>
      <c r="BF57" s="13">
        <f t="shared" si="37"/>
        <v>29.338523894513916</v>
      </c>
      <c r="BG57" s="20">
        <f t="shared" si="7"/>
        <v>242.73699578294506</v>
      </c>
      <c r="BH57" s="59">
        <f t="shared" si="8"/>
        <v>536.07032911627834</v>
      </c>
      <c r="BI57" s="59">
        <f ca="1">AVERAGE(OFFSET($BH$3,0,0,'Données projet'!$E$11+1,1))-AVERAGE(OFFSET($H$3,0,0,'Données projet'!$E$11+1,1))</f>
        <v>162.86181551380446</v>
      </c>
      <c r="BJ57" s="59">
        <f t="shared" si="38"/>
        <v>184.96823352120742</v>
      </c>
      <c r="BK57" s="15">
        <f>IF(ISNA(VLOOKUP(A57,'Données projet'!$A$87:$I$107,3,0)),0,VLOOKUP(A57,'Données projet'!$A$87:$I$107,3,0))</f>
        <v>8</v>
      </c>
      <c r="BL57" s="15">
        <f>IF(ISNA(VLOOKUP(A57,'Données projet'!$A$87:$I$107,4,0)),0,VLOOKUP(A57,'Données projet'!$A$87:$I$107,4,0))</f>
        <v>16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2.4628046297634723</v>
      </c>
      <c r="BQ57" s="21">
        <f>EXP(-LN(2)/25)*BQ56+(1-EXP(-LN(2)/25))/(LN(2)/25)*Calculateur!BL57*Calculateur!BN57*VLOOKUP('Données projet'!$B$11,Paramètres!$A$1:$I$89,3,0)*0.475*44/12</f>
        <v>1.6078231084640697</v>
      </c>
      <c r="BR57" s="21">
        <f>EXP(-LN(2)/2)*BR56+(1-EXP(-LN(2)/2))/(LN(2)/2)*BL57*BO57*VLOOKUP('Données projet'!$B$11,Paramètres!$A$1:$I$89,3,0)*0.475*44/12</f>
        <v>4.0757149283106417E-4</v>
      </c>
      <c r="BS57" s="22">
        <f t="shared" si="9"/>
        <v>4.0710353097203731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-5.6843418860808015E-14</v>
      </c>
      <c r="BZ57" s="13">
        <f>BY57*VLOOKUP('Données projet'!$B$12,Paramètres!$A$1:$I$89,3,0)*VLOOKUP('Données projet'!$B$12,Paramètres!$A$1:$I$89,5,0)</f>
        <v>-3.1036506698001178E-14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207.02306964567629</v>
      </c>
      <c r="CE57" s="59">
        <f t="shared" si="40"/>
        <v>342.06887933351783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4.1067216619580442</v>
      </c>
      <c r="CL57" s="21">
        <f>EXP(-LN(2)/25)*CL56+(1-EXP(-LN(2)/25))/(LN(2)/25)*Calculateur!CG57*Calculateur!CI57*VLOOKUP('Données projet'!$B$12,Paramètres!$A$1:$I$89,3,0)*0.475*44/12</f>
        <v>20.006917020256168</v>
      </c>
      <c r="CM57" s="21">
        <f>EXP(-LN(2)/2)*CM56+(1-EXP(-LN(2)/2))/(LN(2)/2)*CG57*CJ57*VLOOKUP('Données projet'!$B$12,Paramètres!$A$1:$I$89,3,0)*0.475*44/12</f>
        <v>3.2407354487062599E-3</v>
      </c>
      <c r="CN57" s="22">
        <f t="shared" si="12"/>
        <v>24.116879417662918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172</v>
      </c>
      <c r="L58" s="12">
        <f>VLOOKUP(A58,'Données projet'!$A$35:$I$55,9,0)</f>
        <v>5</v>
      </c>
      <c r="M58" s="12">
        <f t="array" ref="M58">INDEX(L:L,MIN(IF(ISNUMBER(L58:L254),ROW(L58:L254),"")))</f>
        <v>5</v>
      </c>
      <c r="N58" s="13">
        <f>IF('Données projet'!$A$36&gt;35,N57+M58-V57,IF(A58&lt;'Données projet'!$A$36,$K$205^A58,IF(A58='Données projet'!$A$36,'Données projet'!$B$36,N57+M58-V57)))</f>
        <v>172.00000000000003</v>
      </c>
      <c r="O58" s="13">
        <f>N58*VLOOKUP('Données projet'!$B$9,Paramètres!$A$1:$I$89,3,0)*VLOOKUP('Données projet'!$B$9,Paramètres!$A$1:$I$89,5,0)</f>
        <v>150.25920000000005</v>
      </c>
      <c r="P58" s="13">
        <f t="shared" si="33"/>
        <v>38.637483830798729</v>
      </c>
      <c r="Q58" s="20">
        <f t="shared" si="53"/>
        <v>328.99505767197456</v>
      </c>
      <c r="R58" s="59">
        <f t="shared" si="0"/>
        <v>622.32839100530782</v>
      </c>
      <c r="S58" s="59">
        <f ca="1">AVERAGE(OFFSET($R$3,0,0,'Données projet'!$E$9+1,1))-AVERAGE(OFFSET($H$3,0,0,'Données projet'!$E$9+1,1))</f>
        <v>268.31928207836495</v>
      </c>
      <c r="T58" s="59">
        <f t="shared" si="34"/>
        <v>277.61304526670204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18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1.2541227343400523</v>
      </c>
      <c r="AA58" s="21">
        <f>EXP(-LN(2)/25)*AA57+(1-EXP(-LN(2)/25))/(LN(2)/25)*Calculateur!V58*Calculateur!X58*VLOOKUP('Données projet'!$B$9,Paramètres!$A$1:$I$89,3,0)*0.475*44/12</f>
        <v>2.8158503152355139</v>
      </c>
      <c r="AB58" s="21">
        <f>EXP(-LN(2)/2)*AB57+(1-EXP(-LN(2)/2))/(LN(2)/2)*V58*Y58*VLOOKUP('Données projet'!$B$9,Paramètres!$A$1:$I$89,3,0)*0.475*44/12</f>
        <v>1.4093118536965582E-3</v>
      </c>
      <c r="AC58" s="22">
        <f t="shared" si="3"/>
        <v>4.0713823614292624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739</v>
      </c>
      <c r="AG58" s="12">
        <f>VLOOKUP(A58,'Données projet'!$A$61:$I$81,9,0)</f>
        <v>15.4</v>
      </c>
      <c r="AH58" s="12">
        <f t="array" ref="AH58">INDEX(AG:AG,MIN(IF(ISNUMBER(AG58:AG254),ROW(AG58:AG254),"")))</f>
        <v>15.4</v>
      </c>
      <c r="AI58" s="13">
        <f>IF('Données projet'!$A$62&gt;35,AI57+AH58-AQ57,IF(A58&lt;'Données projet'!$A$62,$AF$205^A58,IF(A58='Données projet'!$A$62,'Données projet'!$B$62,AI57+AH58-AQ57)))</f>
        <v>738.99999999999943</v>
      </c>
      <c r="AJ58" s="13">
        <f>AI58*VLOOKUP('Données projet'!$B$10,Paramètres!$A$1:$I$89,3,0)*VLOOKUP('Données projet'!$B$10,Paramètres!$A$1:$I$89,5,0)</f>
        <v>413.10099999999971</v>
      </c>
      <c r="AK58" s="13">
        <f t="shared" si="35"/>
        <v>94.427689670462271</v>
      </c>
      <c r="AL58" s="20">
        <f t="shared" si="4"/>
        <v>883.94580117605472</v>
      </c>
      <c r="AM58" s="59">
        <f t="shared" si="5"/>
        <v>1177.2791345093881</v>
      </c>
      <c r="AN58" s="59">
        <f ca="1">AVERAGE(OFFSET($AM$3,0,0,'Données projet'!$E$10+1,1))-AVERAGE(OFFSET($H$3,0,0,'Données projet'!$E$10+1,1))</f>
        <v>544.48194192356823</v>
      </c>
      <c r="AO58" s="59">
        <f t="shared" si="36"/>
        <v>668.20427590250733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46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4.4745970651419773</v>
      </c>
      <c r="AV58" s="21">
        <f>EXP(-LN(2)/25)*AV57+(1-EXP(-LN(2)/25))/(LN(2)/25)*Calculateur!AQ58*Calculateur!AS58*VLOOKUP('Données projet'!$B$10,Paramètres!$A$1:$I$89,3,0)*0.475*44/12</f>
        <v>17.860291877489345</v>
      </c>
      <c r="AW58" s="21">
        <f>EXP(-LN(2)/2)*AW57+(1-EXP(-LN(2)/2))/(LN(2)/2)*AQ58*AT58*VLOOKUP('Données projet'!$B$10,Paramètres!$A$1:$I$89,3,0)*0.475*44/12</f>
        <v>2.7501682126378582E-3</v>
      </c>
      <c r="AX58" s="21">
        <f t="shared" si="6"/>
        <v>22.337639110843963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1.625</v>
      </c>
      <c r="BD58" s="12">
        <f>IF('Données projet'!$A$88&gt;35,BD57+BC58-BL57,IF(A58&lt;'Données projet'!$A$88,$BA$205^A58,IF(A58='Données projet'!$A$88,'Données projet'!$B$88,BD57+BC58-BL57)))</f>
        <v>169.625</v>
      </c>
      <c r="BE58" s="13">
        <f>BD58*VLOOKUP('Données projet'!$B$11,Paramètres!$A$1:$I$89,3,0)*VLOOKUP('Données projet'!$B$11,Paramètres!$A$1:$I$89,5,0)</f>
        <v>101.43575000000001</v>
      </c>
      <c r="BF58" s="13">
        <f t="shared" si="37"/>
        <v>27.303760885708478</v>
      </c>
      <c r="BG58" s="20">
        <f t="shared" si="7"/>
        <v>224.22131479260892</v>
      </c>
      <c r="BH58" s="59">
        <f t="shared" si="8"/>
        <v>517.55464812594221</v>
      </c>
      <c r="BI58" s="59">
        <f ca="1">AVERAGE(OFFSET($BH$3,0,0,'Données projet'!$E$11+1,1))-AVERAGE(OFFSET($H$3,0,0,'Données projet'!$E$11+1,1))</f>
        <v>162.86181551380446</v>
      </c>
      <c r="BJ58" s="59">
        <f t="shared" si="38"/>
        <v>184.96823352120742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2.4145105331363084</v>
      </c>
      <c r="BQ58" s="21">
        <f>EXP(-LN(2)/25)*BQ57+(1-EXP(-LN(2)/25))/(LN(2)/25)*Calculateur!BL58*Calculateur!BN58*VLOOKUP('Données projet'!$B$11,Paramètres!$A$1:$I$89,3,0)*0.475*44/12</f>
        <v>1.5638571010113771</v>
      </c>
      <c r="BR58" s="21">
        <f>EXP(-LN(2)/2)*BR57+(1-EXP(-LN(2)/2))/(LN(2)/2)*BL58*BO58*VLOOKUP('Données projet'!$B$11,Paramètres!$A$1:$I$89,3,0)*0.475*44/12</f>
        <v>2.8819656639916981E-4</v>
      </c>
      <c r="BS58" s="22">
        <f t="shared" si="9"/>
        <v>3.9786558307140845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-5.6843418860808015E-14</v>
      </c>
      <c r="BZ58" s="13">
        <f>BY58*VLOOKUP('Données projet'!$B$12,Paramètres!$A$1:$I$89,3,0)*VLOOKUP('Données projet'!$B$12,Paramètres!$A$1:$I$89,5,0)</f>
        <v>-3.1036506698001178E-14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207.02306964567629</v>
      </c>
      <c r="CE58" s="59">
        <f t="shared" si="40"/>
        <v>342.06887933351783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4.0261913550199271</v>
      </c>
      <c r="CL58" s="21">
        <f>EXP(-LN(2)/25)*CL57+(1-EXP(-LN(2)/25))/(LN(2)/25)*Calculateur!CG58*Calculateur!CI58*VLOOKUP('Données projet'!$B$12,Paramètres!$A$1:$I$89,3,0)*0.475*44/12</f>
        <v>19.459826822219224</v>
      </c>
      <c r="CM58" s="21">
        <f>EXP(-LN(2)/2)*CM57+(1-EXP(-LN(2)/2))/(LN(2)/2)*CG58*CJ58*VLOOKUP('Données projet'!$B$12,Paramètres!$A$1:$I$89,3,0)*0.475*44/12</f>
        <v>2.2915460118118252E-3</v>
      </c>
      <c r="CN58" s="22">
        <f t="shared" si="12"/>
        <v>23.488309723250964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4.5999999999999996</v>
      </c>
      <c r="N59" s="13">
        <f>IF('Données projet'!$A$36&gt;35,N58+M59-V58,IF(A59&lt;'Données projet'!$A$36,$K$205^A59,IF(A59='Données projet'!$A$36,'Données projet'!$B$36,N58+M59-V58)))</f>
        <v>158.60000000000002</v>
      </c>
      <c r="O59" s="13">
        <f>N59*VLOOKUP('Données projet'!$B$9,Paramètres!$A$1:$I$89,3,0)*VLOOKUP('Données projet'!$B$9,Paramètres!$A$1:$I$89,5,0)</f>
        <v>138.55296000000004</v>
      </c>
      <c r="P59" s="13">
        <f t="shared" si="33"/>
        <v>35.965308766301796</v>
      </c>
      <c r="Q59" s="20">
        <f t="shared" si="53"/>
        <v>303.95265143464235</v>
      </c>
      <c r="R59" s="59">
        <f t="shared" si="0"/>
        <v>597.28598476797561</v>
      </c>
      <c r="S59" s="59">
        <f ca="1">AVERAGE(OFFSET($R$3,0,0,'Données projet'!$E$9+1,1))-AVERAGE(OFFSET($H$3,0,0,'Données projet'!$E$9+1,1))</f>
        <v>268.31928207836495</v>
      </c>
      <c r="T59" s="59">
        <f t="shared" si="34"/>
        <v>277.61304526670204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1.2295301524589803</v>
      </c>
      <c r="AA59" s="21">
        <f>EXP(-LN(2)/25)*AA58+(1-EXP(-LN(2)/25))/(LN(2)/25)*Calculateur!V59*Calculateur!X59*VLOOKUP('Données projet'!$B$9,Paramètres!$A$1:$I$89,3,0)*0.475*44/12</f>
        <v>2.7388507402862663</v>
      </c>
      <c r="AB59" s="21">
        <f>EXP(-LN(2)/2)*AB58+(1-EXP(-LN(2)/2))/(LN(2)/2)*V59*Y59*VLOOKUP('Données projet'!$B$9,Paramètres!$A$1:$I$89,3,0)*0.475*44/12</f>
        <v>9.9653396855541986E-4</v>
      </c>
      <c r="AC59" s="22">
        <f t="shared" si="3"/>
        <v>3.9693774267138018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12.2</v>
      </c>
      <c r="AI59" s="13">
        <f>IF('Données projet'!$A$62&gt;35,AI58+AH59-AQ58,IF(A59&lt;'Données projet'!$A$62,$AF$205^A59,IF(A59='Données projet'!$A$62,'Données projet'!$B$62,AI58+AH59-AQ58)))</f>
        <v>705.19999999999948</v>
      </c>
      <c r="AJ59" s="13">
        <f>AI59*VLOOKUP('Données projet'!$B$10,Paramètres!$A$1:$I$89,3,0)*VLOOKUP('Données projet'!$B$10,Paramètres!$A$1:$I$89,5,0)</f>
        <v>394.2067999999997</v>
      </c>
      <c r="AK59" s="13">
        <f t="shared" si="35"/>
        <v>90.601187466199292</v>
      </c>
      <c r="AL59" s="20">
        <f t="shared" si="4"/>
        <v>844.37391150362998</v>
      </c>
      <c r="AM59" s="59">
        <f t="shared" si="5"/>
        <v>1137.7072448369634</v>
      </c>
      <c r="AN59" s="59">
        <f ca="1">AVERAGE(OFFSET($AM$3,0,0,'Données projet'!$E$10+1,1))-AVERAGE(OFFSET($H$3,0,0,'Données projet'!$E$10+1,1))</f>
        <v>544.48194192356823</v>
      </c>
      <c r="AO59" s="59">
        <f t="shared" si="36"/>
        <v>668.20427590250733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4.3868529459292631</v>
      </c>
      <c r="AV59" s="21">
        <f>EXP(-LN(2)/25)*AV58+(1-EXP(-LN(2)/25))/(LN(2)/25)*Calculateur!AQ59*Calculateur!AS59*VLOOKUP('Données projet'!$B$10,Paramètres!$A$1:$I$89,3,0)*0.475*44/12</f>
        <v>17.371901256867471</v>
      </c>
      <c r="AW59" s="21">
        <f>EXP(-LN(2)/2)*AW58+(1-EXP(-LN(2)/2))/(LN(2)/2)*AQ59*AT59*VLOOKUP('Données projet'!$B$10,Paramètres!$A$1:$I$89,3,0)*0.475*44/12</f>
        <v>1.9446625925599167E-3</v>
      </c>
      <c r="AX59" s="21">
        <f t="shared" si="6"/>
        <v>21.760698865389294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1.625</v>
      </c>
      <c r="BD59" s="12">
        <f>IF('Données projet'!$A$88&gt;35,BD58+BC59-BL58,IF(A59&lt;'Données projet'!$A$88,$BA$205^A59,IF(A59='Données projet'!$A$88,'Données projet'!$B$88,BD58+BC59-BL58)))</f>
        <v>171.25</v>
      </c>
      <c r="BE59" s="13">
        <f>BD59*VLOOKUP('Données projet'!$B$11,Paramètres!$A$1:$I$89,3,0)*VLOOKUP('Données projet'!$B$11,Paramètres!$A$1:$I$89,5,0)</f>
        <v>102.40750000000001</v>
      </c>
      <c r="BF59" s="13">
        <f t="shared" si="37"/>
        <v>27.534754690970516</v>
      </c>
      <c r="BG59" s="20">
        <f t="shared" si="7"/>
        <v>226.31609358677363</v>
      </c>
      <c r="BH59" s="59">
        <f t="shared" si="8"/>
        <v>519.64942692010698</v>
      </c>
      <c r="BI59" s="59">
        <f ca="1">AVERAGE(OFFSET($BH$3,0,0,'Données projet'!$E$11+1,1))-AVERAGE(OFFSET($H$3,0,0,'Données projet'!$E$11+1,1))</f>
        <v>162.86181551380446</v>
      </c>
      <c r="BJ59" s="59">
        <f t="shared" si="38"/>
        <v>184.96823352120742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2.3671634542875131</v>
      </c>
      <c r="BQ59" s="21">
        <f>EXP(-LN(2)/25)*BQ58+(1-EXP(-LN(2)/25))/(LN(2)/25)*Calculateur!BL59*Calculateur!BN59*VLOOKUP('Données projet'!$B$11,Paramètres!$A$1:$I$89,3,0)*0.475*44/12</f>
        <v>1.5210933463445502</v>
      </c>
      <c r="BR59" s="21">
        <f>EXP(-LN(2)/2)*BR58+(1-EXP(-LN(2)/2))/(LN(2)/2)*BL59*BO59*VLOOKUP('Données projet'!$B$11,Paramètres!$A$1:$I$89,3,0)*0.475*44/12</f>
        <v>2.0378574641553209E-4</v>
      </c>
      <c r="BS59" s="22">
        <f t="shared" si="9"/>
        <v>3.8884605863784785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-5.6843418860808015E-14</v>
      </c>
      <c r="BZ59" s="13">
        <f>BY59*VLOOKUP('Données projet'!$B$12,Paramètres!$A$1:$I$89,3,0)*VLOOKUP('Données projet'!$B$12,Paramètres!$A$1:$I$89,5,0)</f>
        <v>-3.1036506698001178E-14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207.02306964567629</v>
      </c>
      <c r="CE59" s="59">
        <f t="shared" si="40"/>
        <v>342.06887933351783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3.9472401982822292</v>
      </c>
      <c r="CL59" s="21">
        <f>EXP(-LN(2)/25)*CL58+(1-EXP(-LN(2)/25))/(LN(2)/25)*Calculateur!CG59*Calculateur!CI59*VLOOKUP('Données projet'!$B$12,Paramètres!$A$1:$I$89,3,0)*0.475*44/12</f>
        <v>18.927696834417823</v>
      </c>
      <c r="CM59" s="21">
        <f>EXP(-LN(2)/2)*CM58+(1-EXP(-LN(2)/2))/(LN(2)/2)*CG59*CJ59*VLOOKUP('Données projet'!$B$12,Paramètres!$A$1:$I$89,3,0)*0.475*44/12</f>
        <v>1.6203677243531299E-3</v>
      </c>
      <c r="CN59" s="22">
        <f t="shared" si="12"/>
        <v>22.876557400424407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4.5999999999999996</v>
      </c>
      <c r="N60" s="13">
        <f>IF('Données projet'!$A$36&gt;35,N59+M60-V59,IF(A60&lt;'Données projet'!$A$36,$K$205^A60,IF(A60='Données projet'!$A$36,'Données projet'!$B$36,N59+M60-V59)))</f>
        <v>163.20000000000002</v>
      </c>
      <c r="O60" s="13">
        <f>N60*VLOOKUP('Données projet'!$B$9,Paramètres!$A$1:$I$89,3,0)*VLOOKUP('Données projet'!$B$9,Paramètres!$A$1:$I$89,5,0)</f>
        <v>142.57152000000005</v>
      </c>
      <c r="P60" s="13">
        <f t="shared" si="33"/>
        <v>36.885479122455578</v>
      </c>
      <c r="Q60" s="20">
        <f t="shared" si="53"/>
        <v>312.5542734716102</v>
      </c>
      <c r="R60" s="59">
        <f t="shared" si="0"/>
        <v>605.88760680494352</v>
      </c>
      <c r="S60" s="59">
        <f ca="1">AVERAGE(OFFSET($R$3,0,0,'Données projet'!$E$9+1,1))-AVERAGE(OFFSET($H$3,0,0,'Données projet'!$E$9+1,1))</f>
        <v>268.31928207836495</v>
      </c>
      <c r="T60" s="59">
        <f t="shared" si="34"/>
        <v>277.61304526670204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1.2054198161086023</v>
      </c>
      <c r="AA60" s="21">
        <f>EXP(-LN(2)/25)*AA59+(1-EXP(-LN(2)/25))/(LN(2)/25)*Calculateur!V60*Calculateur!X60*VLOOKUP('Données projet'!$B$9,Paramètres!$A$1:$I$89,3,0)*0.475*44/12</f>
        <v>2.6639567227632375</v>
      </c>
      <c r="AB60" s="21">
        <f>EXP(-LN(2)/2)*AB59+(1-EXP(-LN(2)/2))/(LN(2)/2)*V60*Y60*VLOOKUP('Données projet'!$B$9,Paramètres!$A$1:$I$89,3,0)*0.475*44/12</f>
        <v>7.0465592684827911E-4</v>
      </c>
      <c r="AC60" s="22">
        <f t="shared" si="3"/>
        <v>3.8700811947986877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12.2</v>
      </c>
      <c r="AI60" s="13">
        <f>IF('Données projet'!$A$62&gt;35,AI59+AH60-AQ59,IF(A60&lt;'Données projet'!$A$62,$AF$205^A60,IF(A60='Données projet'!$A$62,'Données projet'!$B$62,AI59+AH60-AQ59)))</f>
        <v>717.39999999999952</v>
      </c>
      <c r="AJ60" s="13">
        <f>AI60*VLOOKUP('Données projet'!$B$10,Paramètres!$A$1:$I$89,3,0)*VLOOKUP('Données projet'!$B$10,Paramètres!$A$1:$I$89,5,0)</f>
        <v>401.02659999999975</v>
      </c>
      <c r="AK60" s="13">
        <f t="shared" si="35"/>
        <v>91.984761558101539</v>
      </c>
      <c r="AL60" s="20">
        <f t="shared" si="4"/>
        <v>858.66145471369293</v>
      </c>
      <c r="AM60" s="59">
        <f t="shared" si="5"/>
        <v>1151.9947880470263</v>
      </c>
      <c r="AN60" s="59">
        <f ca="1">AVERAGE(OFFSET($AM$3,0,0,'Données projet'!$E$10+1,1))-AVERAGE(OFFSET($H$3,0,0,'Données projet'!$E$10+1,1))</f>
        <v>544.48194192356823</v>
      </c>
      <c r="AO60" s="59">
        <f t="shared" si="36"/>
        <v>668.20427590250733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4.3008294353756824</v>
      </c>
      <c r="AV60" s="21">
        <f>EXP(-LN(2)/25)*AV59+(1-EXP(-LN(2)/25))/(LN(2)/25)*Calculateur!AQ60*Calculateur!AS60*VLOOKUP('Données projet'!$B$10,Paramètres!$A$1:$I$89,3,0)*0.475*44/12</f>
        <v>16.896865703449848</v>
      </c>
      <c r="AW60" s="21">
        <f>EXP(-LN(2)/2)*AW59+(1-EXP(-LN(2)/2))/(LN(2)/2)*AQ60*AT60*VLOOKUP('Données projet'!$B$10,Paramètres!$A$1:$I$89,3,0)*0.475*44/12</f>
        <v>1.3750841063189293E-3</v>
      </c>
      <c r="AX60" s="21">
        <f t="shared" si="6"/>
        <v>21.199070222931848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1.625</v>
      </c>
      <c r="BD60" s="12">
        <f>IF('Données projet'!$A$88&gt;35,BD59+BC60-BL59,IF(A60&lt;'Données projet'!$A$88,$BA$205^A60,IF(A60='Données projet'!$A$88,'Données projet'!$B$88,BD59+BC60-BL59)))</f>
        <v>172.875</v>
      </c>
      <c r="BE60" s="13">
        <f>BD60*VLOOKUP('Données projet'!$B$11,Paramètres!$A$1:$I$89,3,0)*VLOOKUP('Données projet'!$B$11,Paramètres!$A$1:$I$89,5,0)</f>
        <v>103.37925000000001</v>
      </c>
      <c r="BF60" s="13">
        <f t="shared" si="37"/>
        <v>27.765493494477635</v>
      </c>
      <c r="BG60" s="20">
        <f t="shared" si="7"/>
        <v>228.41042825288187</v>
      </c>
      <c r="BH60" s="59">
        <f t="shared" si="8"/>
        <v>521.74376158621521</v>
      </c>
      <c r="BI60" s="59">
        <f ca="1">AVERAGE(OFFSET($BH$3,0,0,'Données projet'!$E$11+1,1))-AVERAGE(OFFSET($H$3,0,0,'Données projet'!$E$11+1,1))</f>
        <v>162.86181551380446</v>
      </c>
      <c r="BJ60" s="59">
        <f t="shared" si="38"/>
        <v>184.96823352120742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2.3207448227760761</v>
      </c>
      <c r="BQ60" s="21">
        <f>EXP(-LN(2)/25)*BQ59+(1-EXP(-LN(2)/25))/(LN(2)/25)*Calculateur!BL60*Calculateur!BN60*VLOOKUP('Données projet'!$B$11,Paramètres!$A$1:$I$89,3,0)*0.475*44/12</f>
        <v>1.4794989687979359</v>
      </c>
      <c r="BR60" s="21">
        <f>EXP(-LN(2)/2)*BR59+(1-EXP(-LN(2)/2))/(LN(2)/2)*BL60*BO60*VLOOKUP('Données projet'!$B$11,Paramètres!$A$1:$I$89,3,0)*0.475*44/12</f>
        <v>1.4409828319958491E-4</v>
      </c>
      <c r="BS60" s="22">
        <f t="shared" si="9"/>
        <v>3.8003878898572112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-5.6843418860808015E-14</v>
      </c>
      <c r="BZ60" s="13">
        <f>BY60*VLOOKUP('Données projet'!$B$12,Paramètres!$A$1:$I$89,3,0)*VLOOKUP('Données projet'!$B$12,Paramètres!$A$1:$I$89,5,0)</f>
        <v>-3.1036506698001178E-14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207.02306964567629</v>
      </c>
      <c r="CE60" s="59">
        <f t="shared" si="40"/>
        <v>342.06887933351783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3.8698372255727072</v>
      </c>
      <c r="CL60" s="21">
        <f>EXP(-LN(2)/25)*CL59+(1-EXP(-LN(2)/25))/(LN(2)/25)*Calculateur!CG60*Calculateur!CI60*VLOOKUP('Données projet'!$B$12,Paramètres!$A$1:$I$89,3,0)*0.475*44/12</f>
        <v>18.410117969116349</v>
      </c>
      <c r="CM60" s="21">
        <f>EXP(-LN(2)/2)*CM59+(1-EXP(-LN(2)/2))/(LN(2)/2)*CG60*CJ60*VLOOKUP('Données projet'!$B$12,Paramètres!$A$1:$I$89,3,0)*0.475*44/12</f>
        <v>1.1457730059059126E-3</v>
      </c>
      <c r="CN60" s="22">
        <f t="shared" si="12"/>
        <v>22.281100967694961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4.5999999999999996</v>
      </c>
      <c r="N61" s="13">
        <f>IF('Données projet'!$A$36&gt;35,N60+M61-V60,IF(A61&lt;'Données projet'!$A$36,$K$205^A61,IF(A61='Données projet'!$A$36,'Données projet'!$B$36,N60+M61-V60)))</f>
        <v>167.8</v>
      </c>
      <c r="O61" s="13">
        <f>N61*VLOOKUP('Données projet'!$B$9,Paramètres!$A$1:$I$89,3,0)*VLOOKUP('Données projet'!$B$9,Paramètres!$A$1:$I$89,5,0)</f>
        <v>146.59008000000003</v>
      </c>
      <c r="P61" s="13">
        <f t="shared" si="33"/>
        <v>37.802635033193511</v>
      </c>
      <c r="Q61" s="20">
        <f t="shared" si="53"/>
        <v>321.15064534947874</v>
      </c>
      <c r="R61" s="59">
        <f t="shared" si="0"/>
        <v>614.48397868281199</v>
      </c>
      <c r="S61" s="59">
        <f ca="1">AVERAGE(OFFSET($R$3,0,0,'Données projet'!$E$9+1,1))-AVERAGE(OFFSET($H$3,0,0,'Données projet'!$E$9+1,1))</f>
        <v>268.31928207836495</v>
      </c>
      <c r="T61" s="59">
        <f t="shared" si="34"/>
        <v>277.61304526670204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1.181782268748202</v>
      </c>
      <c r="AA61" s="21">
        <f>EXP(-LN(2)/25)*AA60+(1-EXP(-LN(2)/25))/(LN(2)/25)*Calculateur!V61*Calculateur!X61*VLOOKUP('Données projet'!$B$9,Paramètres!$A$1:$I$89,3,0)*0.475*44/12</f>
        <v>2.5911106860878812</v>
      </c>
      <c r="AB61" s="21">
        <f>EXP(-LN(2)/2)*AB60+(1-EXP(-LN(2)/2))/(LN(2)/2)*V61*Y61*VLOOKUP('Données projet'!$B$9,Paramètres!$A$1:$I$89,3,0)*0.475*44/12</f>
        <v>4.9826698427770993E-4</v>
      </c>
      <c r="AC61" s="22">
        <f t="shared" si="3"/>
        <v>3.7733912218203609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12.2</v>
      </c>
      <c r="AI61" s="13">
        <f>IF('Données projet'!$A$62&gt;35,AI60+AH61-AQ60,IF(A61&lt;'Données projet'!$A$62,$AF$205^A61,IF(A61='Données projet'!$A$62,'Données projet'!$B$62,AI60+AH61-AQ60)))</f>
        <v>729.59999999999957</v>
      </c>
      <c r="AJ61" s="13">
        <f>AI61*VLOOKUP('Données projet'!$B$10,Paramètres!$A$1:$I$89,3,0)*VLOOKUP('Données projet'!$B$10,Paramètres!$A$1:$I$89,5,0)</f>
        <v>407.84639999999973</v>
      </c>
      <c r="AK61" s="13">
        <f t="shared" si="35"/>
        <v>93.365599460181741</v>
      </c>
      <c r="AL61" s="20">
        <f t="shared" si="4"/>
        <v>872.94423239314926</v>
      </c>
      <c r="AM61" s="59">
        <f t="shared" si="5"/>
        <v>1166.2775657264826</v>
      </c>
      <c r="AN61" s="59">
        <f ca="1">AVERAGE(OFFSET($AM$3,0,0,'Données projet'!$E$10+1,1))-AVERAGE(OFFSET($H$3,0,0,'Données projet'!$E$10+1,1))</f>
        <v>544.48194192356823</v>
      </c>
      <c r="AO61" s="59">
        <f t="shared" si="36"/>
        <v>668.20427590250733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4.216492793394897</v>
      </c>
      <c r="AV61" s="21">
        <f>EXP(-LN(2)/25)*AV60+(1-EXP(-LN(2)/25))/(LN(2)/25)*Calculateur!AQ61*Calculateur!AS61*VLOOKUP('Données projet'!$B$10,Paramètres!$A$1:$I$89,3,0)*0.475*44/12</f>
        <v>16.434820022221462</v>
      </c>
      <c r="AW61" s="21">
        <f>EXP(-LN(2)/2)*AW60+(1-EXP(-LN(2)/2))/(LN(2)/2)*AQ61*AT61*VLOOKUP('Données projet'!$B$10,Paramètres!$A$1:$I$89,3,0)*0.475*44/12</f>
        <v>9.7233129627995846E-4</v>
      </c>
      <c r="AX61" s="21">
        <f t="shared" si="6"/>
        <v>20.652285146912636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1.625</v>
      </c>
      <c r="BD61" s="12">
        <f>IF('Données projet'!$A$88&gt;35,BD60+BC61-BL60,IF(A61&lt;'Données projet'!$A$88,$BA$205^A61,IF(A61='Données projet'!$A$88,'Données projet'!$B$88,BD60+BC61-BL60)))</f>
        <v>174.5</v>
      </c>
      <c r="BE61" s="13">
        <f>BD61*VLOOKUP('Données projet'!$B$11,Paramètres!$A$1:$I$89,3,0)*VLOOKUP('Données projet'!$B$11,Paramètres!$A$1:$I$89,5,0)</f>
        <v>104.35100000000001</v>
      </c>
      <c r="BF61" s="13">
        <f t="shared" si="37"/>
        <v>27.995979970833542</v>
      </c>
      <c r="BG61" s="20">
        <f t="shared" si="7"/>
        <v>230.50432344920179</v>
      </c>
      <c r="BH61" s="59">
        <f t="shared" si="8"/>
        <v>523.83765678253508</v>
      </c>
      <c r="BI61" s="59">
        <f ca="1">AVERAGE(OFFSET($BH$3,0,0,'Données projet'!$E$11+1,1))-AVERAGE(OFFSET($H$3,0,0,'Données projet'!$E$11+1,1))</f>
        <v>162.86181551380446</v>
      </c>
      <c r="BJ61" s="59">
        <f t="shared" si="38"/>
        <v>184.96823352120742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2.2752364323160088</v>
      </c>
      <c r="BQ61" s="21">
        <f>EXP(-LN(2)/25)*BQ60+(1-EXP(-LN(2)/25))/(LN(2)/25)*Calculateur!BL61*Calculateur!BN61*VLOOKUP('Données projet'!$B$11,Paramètres!$A$1:$I$89,3,0)*0.475*44/12</f>
        <v>1.4390419916926869</v>
      </c>
      <c r="BR61" s="21">
        <f>EXP(-LN(2)/2)*BR60+(1-EXP(-LN(2)/2))/(LN(2)/2)*BL61*BO61*VLOOKUP('Données projet'!$B$11,Paramètres!$A$1:$I$89,3,0)*0.475*44/12</f>
        <v>1.0189287320776604E-4</v>
      </c>
      <c r="BS61" s="22">
        <f t="shared" si="9"/>
        <v>3.7143803168819036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-5.6843418860808015E-14</v>
      </c>
      <c r="BZ61" s="13">
        <f>BY61*VLOOKUP('Données projet'!$B$12,Paramètres!$A$1:$I$89,3,0)*VLOOKUP('Données projet'!$B$12,Paramètres!$A$1:$I$89,5,0)</f>
        <v>-3.1036506698001178E-14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207.02306964567629</v>
      </c>
      <c r="CE61" s="59">
        <f t="shared" si="40"/>
        <v>342.06887933351783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3.7939520779468672</v>
      </c>
      <c r="CL61" s="21">
        <f>EXP(-LN(2)/25)*CL60+(1-EXP(-LN(2)/25))/(LN(2)/25)*Calculateur!CG61*Calculateur!CI61*VLOOKUP('Données projet'!$B$12,Paramètres!$A$1:$I$89,3,0)*0.475*44/12</f>
        <v>17.906692325104835</v>
      </c>
      <c r="CM61" s="21">
        <f>EXP(-LN(2)/2)*CM60+(1-EXP(-LN(2)/2))/(LN(2)/2)*CG61*CJ61*VLOOKUP('Données projet'!$B$12,Paramètres!$A$1:$I$89,3,0)*0.475*44/12</f>
        <v>8.1018386217656497E-4</v>
      </c>
      <c r="CN61" s="22">
        <f t="shared" si="12"/>
        <v>21.701454586913876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4.5999999999999996</v>
      </c>
      <c r="N62" s="13">
        <f>IF('Données projet'!$A$36&gt;35,N61+M62-V61,IF(A62&lt;'Données projet'!$A$36,$K$205^A62,IF(A62='Données projet'!$A$36,'Données projet'!$B$36,N61+M62-V61)))</f>
        <v>172.4</v>
      </c>
      <c r="O62" s="13">
        <f>N62*VLOOKUP('Données projet'!$B$9,Paramètres!$A$1:$I$89,3,0)*VLOOKUP('Données projet'!$B$9,Paramètres!$A$1:$I$89,5,0)</f>
        <v>150.60864000000004</v>
      </c>
      <c r="P62" s="13">
        <f t="shared" si="33"/>
        <v>38.716868630535288</v>
      </c>
      <c r="Q62" s="20">
        <f t="shared" si="53"/>
        <v>329.74192753151567</v>
      </c>
      <c r="R62" s="59">
        <f t="shared" si="0"/>
        <v>623.07526086484904</v>
      </c>
      <c r="S62" s="59">
        <f ca="1">AVERAGE(OFFSET($R$3,0,0,'Données projet'!$E$9+1,1))-AVERAGE(OFFSET($H$3,0,0,'Données projet'!$E$9+1,1))</f>
        <v>268.31928207836495</v>
      </c>
      <c r="T62" s="59">
        <f t="shared" si="34"/>
        <v>277.61304526670204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1.1586082392740591</v>
      </c>
      <c r="AA62" s="21">
        <f>EXP(-LN(2)/25)*AA61+(1-EXP(-LN(2)/25))/(LN(2)/25)*Calculateur!V62*Calculateur!X62*VLOOKUP('Données projet'!$B$9,Paramètres!$A$1:$I$89,3,0)*0.475*44/12</f>
        <v>2.5202566281162193</v>
      </c>
      <c r="AB62" s="21">
        <f>EXP(-LN(2)/2)*AB61+(1-EXP(-LN(2)/2))/(LN(2)/2)*V62*Y62*VLOOKUP('Données projet'!$B$9,Paramètres!$A$1:$I$89,3,0)*0.475*44/12</f>
        <v>3.5232796342413956E-4</v>
      </c>
      <c r="AC62" s="22">
        <f t="shared" si="3"/>
        <v>3.679217195353703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12.2</v>
      </c>
      <c r="AI62" s="13">
        <f>IF('Données projet'!$A$62&gt;35,AI61+AH62-AQ61,IF(A62&lt;'Données projet'!$A$62,$AF$205^A62,IF(A62='Données projet'!$A$62,'Données projet'!$B$62,AI61+AH62-AQ61)))</f>
        <v>741.79999999999961</v>
      </c>
      <c r="AJ62" s="13">
        <f>AI62*VLOOKUP('Données projet'!$B$10,Paramètres!$A$1:$I$89,3,0)*VLOOKUP('Données projet'!$B$10,Paramètres!$A$1:$I$89,5,0)</f>
        <v>414.66619999999978</v>
      </c>
      <c r="AK62" s="13">
        <f t="shared" si="35"/>
        <v>94.743752206399009</v>
      </c>
      <c r="AL62" s="20">
        <f t="shared" si="4"/>
        <v>887.22233342614447</v>
      </c>
      <c r="AM62" s="59">
        <f t="shared" si="5"/>
        <v>1180.5556667594778</v>
      </c>
      <c r="AN62" s="59">
        <f ca="1">AVERAGE(OFFSET($AM$3,0,0,'Données projet'!$E$10+1,1))-AVERAGE(OFFSET($H$3,0,0,'Données projet'!$E$10+1,1))</f>
        <v>544.48194192356823</v>
      </c>
      <c r="AO62" s="59">
        <f t="shared" si="36"/>
        <v>668.20427590250733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4.133809941523082</v>
      </c>
      <c r="AV62" s="21">
        <f>EXP(-LN(2)/25)*AV61+(1-EXP(-LN(2)/25))/(LN(2)/25)*Calculateur!AQ62*Calculateur!AS62*VLOOKUP('Données projet'!$B$10,Paramètres!$A$1:$I$89,3,0)*0.475*44/12</f>
        <v>15.985409004444193</v>
      </c>
      <c r="AW62" s="21">
        <f>EXP(-LN(2)/2)*AW61+(1-EXP(-LN(2)/2))/(LN(2)/2)*AQ62*AT62*VLOOKUP('Données projet'!$B$10,Paramètres!$A$1:$I$89,3,0)*0.475*44/12</f>
        <v>6.8754205315946476E-4</v>
      </c>
      <c r="AX62" s="21">
        <f t="shared" si="6"/>
        <v>20.119906488020437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1.625</v>
      </c>
      <c r="BD62" s="12">
        <f>IF('Données projet'!$A$88&gt;35,BD61+BC62-BL61,IF(A62&lt;'Données projet'!$A$88,$BA$205^A62,IF(A62='Données projet'!$A$88,'Données projet'!$B$88,BD61+BC62-BL61)))</f>
        <v>176.125</v>
      </c>
      <c r="BE62" s="13">
        <f>BD62*VLOOKUP('Données projet'!$B$11,Paramètres!$A$1:$I$89,3,0)*VLOOKUP('Données projet'!$B$11,Paramètres!$A$1:$I$89,5,0)</f>
        <v>105.32275</v>
      </c>
      <c r="BF62" s="13">
        <f t="shared" si="37"/>
        <v>28.226216741955572</v>
      </c>
      <c r="BG62" s="20">
        <f t="shared" si="7"/>
        <v>232.59778374223927</v>
      </c>
      <c r="BH62" s="59">
        <f t="shared" si="8"/>
        <v>525.93111707557262</v>
      </c>
      <c r="BI62" s="59">
        <f ca="1">AVERAGE(OFFSET($BH$3,0,0,'Données projet'!$E$11+1,1))-AVERAGE(OFFSET($H$3,0,0,'Données projet'!$E$11+1,1))</f>
        <v>162.86181551380446</v>
      </c>
      <c r="BJ62" s="59">
        <f t="shared" si="38"/>
        <v>184.96823352120742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2.2306204336354858</v>
      </c>
      <c r="BQ62" s="21">
        <f>EXP(-LN(2)/25)*BQ61+(1-EXP(-LN(2)/25))/(LN(2)/25)*Calculateur!BL62*Calculateur!BN62*VLOOKUP('Données projet'!$B$11,Paramètres!$A$1:$I$89,3,0)*0.475*44/12</f>
        <v>1.399691312753921</v>
      </c>
      <c r="BR62" s="21">
        <f>EXP(-LN(2)/2)*BR61+(1-EXP(-LN(2)/2))/(LN(2)/2)*BL62*BO62*VLOOKUP('Données projet'!$B$11,Paramètres!$A$1:$I$89,3,0)*0.475*44/12</f>
        <v>7.2049141599792453E-5</v>
      </c>
      <c r="BS62" s="22">
        <f t="shared" si="9"/>
        <v>3.630383795531007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-5.6843418860808015E-14</v>
      </c>
      <c r="BZ62" s="13">
        <f>BY62*VLOOKUP('Données projet'!$B$12,Paramètres!$A$1:$I$89,3,0)*VLOOKUP('Données projet'!$B$12,Paramètres!$A$1:$I$89,5,0)</f>
        <v>-3.1036506698001178E-14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207.02306964567629</v>
      </c>
      <c r="CE62" s="59">
        <f t="shared" si="40"/>
        <v>342.06887933351783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3.7195549917805999</v>
      </c>
      <c r="CL62" s="21">
        <f>EXP(-LN(2)/25)*CL61+(1-EXP(-LN(2)/25))/(LN(2)/25)*Calculateur!CG62*Calculateur!CI62*VLOOKUP('Données projet'!$B$12,Paramètres!$A$1:$I$89,3,0)*0.475*44/12</f>
        <v>17.417032881802822</v>
      </c>
      <c r="CM62" s="21">
        <f>EXP(-LN(2)/2)*CM61+(1-EXP(-LN(2)/2))/(LN(2)/2)*CG62*CJ62*VLOOKUP('Données projet'!$B$12,Paramètres!$A$1:$I$89,3,0)*0.475*44/12</f>
        <v>5.7288650295295629E-4</v>
      </c>
      <c r="CN62" s="22">
        <f t="shared" si="12"/>
        <v>21.137160760086378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177</v>
      </c>
      <c r="L63" s="12">
        <f>VLOOKUP(A63,'Données projet'!$A$35:$I$55,9,0)</f>
        <v>4.5999999999999996</v>
      </c>
      <c r="M63" s="12">
        <f t="array" ref="M63">INDEX(L:L,MIN(IF(ISNUMBER(L63:L259),ROW(L63:L259),"")))</f>
        <v>4.5999999999999996</v>
      </c>
      <c r="N63" s="13">
        <f>IF('Données projet'!$A$36&gt;35,N62+M63-V62,IF(A63&lt;'Données projet'!$A$36,$K$205^A63,IF(A63='Données projet'!$A$36,'Données projet'!$B$36,N62+M63-V62)))</f>
        <v>177</v>
      </c>
      <c r="O63" s="13">
        <f>N63*VLOOKUP('Données projet'!$B$9,Paramètres!$A$1:$I$89,3,0)*VLOOKUP('Données projet'!$B$9,Paramètres!$A$1:$I$89,5,0)</f>
        <v>154.62720000000002</v>
      </c>
      <c r="P63" s="13">
        <f t="shared" si="33"/>
        <v>39.62826685000794</v>
      </c>
      <c r="Q63" s="20">
        <f t="shared" si="53"/>
        <v>338.3282714304305</v>
      </c>
      <c r="R63" s="59">
        <f t="shared" si="0"/>
        <v>631.66160476376376</v>
      </c>
      <c r="S63" s="59">
        <f ca="1">AVERAGE(OFFSET($R$3,0,0,'Données projet'!$E$9+1,1))-AVERAGE(OFFSET($H$3,0,0,'Données projet'!$E$9+1,1))</f>
        <v>268.31928207836495</v>
      </c>
      <c r="T63" s="59">
        <f t="shared" si="34"/>
        <v>277.61304526670204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16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1.1358886383831417</v>
      </c>
      <c r="AA63" s="21">
        <f>EXP(-LN(2)/25)*AA62+(1-EXP(-LN(2)/25))/(LN(2)/25)*Calculateur!V63*Calculateur!X63*VLOOKUP('Données projet'!$B$9,Paramètres!$A$1:$I$89,3,0)*0.475*44/12</f>
        <v>2.4513400780858454</v>
      </c>
      <c r="AB63" s="21">
        <f>EXP(-LN(2)/2)*AB62+(1-EXP(-LN(2)/2))/(LN(2)/2)*V63*Y63*VLOOKUP('Données projet'!$B$9,Paramètres!$A$1:$I$89,3,0)*0.475*44/12</f>
        <v>2.4913349213885497E-4</v>
      </c>
      <c r="AC63" s="22">
        <f t="shared" si="3"/>
        <v>3.5874778499611257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754</v>
      </c>
      <c r="AG63" s="12">
        <f>VLOOKUP(A63,'Données projet'!$A$61:$I$81,9,0)</f>
        <v>12.2</v>
      </c>
      <c r="AH63" s="12">
        <f t="array" ref="AH63">INDEX(AG:AG,MIN(IF(ISNUMBER(AG63:AG259),ROW(AG63:AG259),"")))</f>
        <v>12.2</v>
      </c>
      <c r="AI63" s="13">
        <f>IF('Données projet'!$A$62&gt;35,AI62+AH63-AQ62,IF(A63&lt;'Données projet'!$A$62,$AF$205^A63,IF(A63='Données projet'!$A$62,'Données projet'!$B$62,AI62+AH63-AQ62)))</f>
        <v>753.99999999999966</v>
      </c>
      <c r="AJ63" s="13">
        <f>AI63*VLOOKUP('Données projet'!$B$10,Paramètres!$A$1:$I$89,3,0)*VLOOKUP('Données projet'!$B$10,Paramètres!$A$1:$I$89,5,0)</f>
        <v>421.48599999999982</v>
      </c>
      <c r="AK63" s="13">
        <f t="shared" si="35"/>
        <v>96.119269055816147</v>
      </c>
      <c r="AL63" s="20">
        <f t="shared" si="4"/>
        <v>901.49584360554616</v>
      </c>
      <c r="AM63" s="59">
        <f t="shared" si="5"/>
        <v>1194.8291769388795</v>
      </c>
      <c r="AN63" s="59">
        <f ca="1">AVERAGE(OFFSET($AM$3,0,0,'Données projet'!$E$10+1,1))-AVERAGE(OFFSET($H$3,0,0,'Données projet'!$E$10+1,1))</f>
        <v>544.48194192356823</v>
      </c>
      <c r="AO63" s="59">
        <f t="shared" si="36"/>
        <v>668.20427590250733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4.0527484499449136</v>
      </c>
      <c r="AV63" s="21">
        <f>EXP(-LN(2)/25)*AV62+(1-EXP(-LN(2)/25))/(LN(2)/25)*Calculateur!AQ63*Calculateur!AS63*VLOOKUP('Données projet'!$B$10,Paramètres!$A$1:$I$89,3,0)*0.475*44/12</f>
        <v>15.548287154581542</v>
      </c>
      <c r="AW63" s="21">
        <f>EXP(-LN(2)/2)*AW62+(1-EXP(-LN(2)/2))/(LN(2)/2)*AQ63*AT63*VLOOKUP('Données projet'!$B$10,Paramètres!$A$1:$I$89,3,0)*0.475*44/12</f>
        <v>4.8616564813997929E-4</v>
      </c>
      <c r="AX63" s="21">
        <f t="shared" si="6"/>
        <v>19.601521770174596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1.625</v>
      </c>
      <c r="BD63" s="12">
        <f>IF('Données projet'!$A$88&gt;35,BD62+BC63-BL62,IF(A63&lt;'Données projet'!$A$88,$BA$205^A63,IF(A63='Données projet'!$A$88,'Données projet'!$B$88,BD62+BC63-BL62)))</f>
        <v>177.75</v>
      </c>
      <c r="BE63" s="13">
        <f>BD63*VLOOKUP('Données projet'!$B$11,Paramètres!$A$1:$I$89,3,0)*VLOOKUP('Données projet'!$B$11,Paramètres!$A$1:$I$89,5,0)</f>
        <v>106.2945</v>
      </c>
      <c r="BF63" s="13">
        <f t="shared" si="37"/>
        <v>28.45620637858886</v>
      </c>
      <c r="BG63" s="20">
        <f t="shared" si="7"/>
        <v>234.6908136093756</v>
      </c>
      <c r="BH63" s="59">
        <f t="shared" si="8"/>
        <v>528.02414694270897</v>
      </c>
      <c r="BI63" s="59">
        <f ca="1">AVERAGE(OFFSET($BH$3,0,0,'Données projet'!$E$11+1,1))-AVERAGE(OFFSET($H$3,0,0,'Données projet'!$E$11+1,1))</f>
        <v>162.86181551380446</v>
      </c>
      <c r="BJ63" s="59">
        <f t="shared" si="38"/>
        <v>184.96823352120742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2.1868793274760159</v>
      </c>
      <c r="BQ63" s="21">
        <f>EXP(-LN(2)/25)*BQ62+(1-EXP(-LN(2)/25))/(LN(2)/25)*Calculateur!BL63*Calculateur!BN63*VLOOKUP('Données projet'!$B$11,Paramètres!$A$1:$I$89,3,0)*0.475*44/12</f>
        <v>1.361416680200098</v>
      </c>
      <c r="BR63" s="21">
        <f>EXP(-LN(2)/2)*BR62+(1-EXP(-LN(2)/2))/(LN(2)/2)*BL63*BO63*VLOOKUP('Données projet'!$B$11,Paramètres!$A$1:$I$89,3,0)*0.475*44/12</f>
        <v>5.0946436603883021E-5</v>
      </c>
      <c r="BS63" s="22">
        <f t="shared" si="9"/>
        <v>3.5483469541127177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-5.6843418860808015E-14</v>
      </c>
      <c r="BZ63" s="13">
        <f>BY63*VLOOKUP('Données projet'!$B$12,Paramètres!$A$1:$I$89,3,0)*VLOOKUP('Données projet'!$B$12,Paramètres!$A$1:$I$89,5,0)</f>
        <v>-3.1036506698001178E-14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207.02306964567629</v>
      </c>
      <c r="CE63" s="59">
        <f t="shared" si="40"/>
        <v>342.06887933351783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3.6466167870963115</v>
      </c>
      <c r="CL63" s="21">
        <f>EXP(-LN(2)/25)*CL62+(1-EXP(-LN(2)/25))/(LN(2)/25)*Calculateur!CG63*Calculateur!CI63*VLOOKUP('Données projet'!$B$12,Paramètres!$A$1:$I$89,3,0)*0.475*44/12</f>
        <v>16.940763201727972</v>
      </c>
      <c r="CM63" s="21">
        <f>EXP(-LN(2)/2)*CM62+(1-EXP(-LN(2)/2))/(LN(2)/2)*CG63*CJ63*VLOOKUP('Données projet'!$B$12,Paramètres!$A$1:$I$89,3,0)*0.475*44/12</f>
        <v>4.0509193108828248E-4</v>
      </c>
      <c r="CN63" s="22">
        <f t="shared" si="12"/>
        <v>20.587785080755371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</v>
      </c>
      <c r="N64" s="13">
        <f>IF('Données projet'!$A$36&gt;35,N63+M64-V63,IF(A64&lt;'Données projet'!$A$36,$K$205^A64,IF(A64='Données projet'!$A$36,'Données projet'!$B$36,N63+M64-V63)))</f>
        <v>165</v>
      </c>
      <c r="O64" s="13">
        <f>N64*VLOOKUP('Données projet'!$B$9,Paramètres!$A$1:$I$89,3,0)*VLOOKUP('Données projet'!$B$9,Paramètres!$A$1:$I$89,5,0)</f>
        <v>144.14400000000001</v>
      </c>
      <c r="P64" s="13">
        <f t="shared" si="33"/>
        <v>37.244720006976252</v>
      </c>
      <c r="Q64" s="20">
        <f t="shared" si="53"/>
        <v>315.91868734548365</v>
      </c>
      <c r="R64" s="59">
        <f t="shared" si="0"/>
        <v>609.25202067881696</v>
      </c>
      <c r="S64" s="59">
        <f ca="1">AVERAGE(OFFSET($R$3,0,0,'Données projet'!$E$9+1,1))-AVERAGE(OFFSET($H$3,0,0,'Données projet'!$E$9+1,1))</f>
        <v>268.31928207836495</v>
      </c>
      <c r="T64" s="59">
        <f t="shared" si="34"/>
        <v>277.61304526670204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1.1136145550081071</v>
      </c>
      <c r="AA64" s="21">
        <f>EXP(-LN(2)/25)*AA63+(1-EXP(-LN(2)/25))/(LN(2)/25)*Calculateur!V64*Calculateur!X64*VLOOKUP('Données projet'!$B$9,Paramètres!$A$1:$I$89,3,0)*0.475*44/12</f>
        <v>2.3843080547402158</v>
      </c>
      <c r="AB64" s="21">
        <f>EXP(-LN(2)/2)*AB63+(1-EXP(-LN(2)/2))/(LN(2)/2)*V64*Y64*VLOOKUP('Données projet'!$B$9,Paramètres!$A$1:$I$89,3,0)*0.475*44/12</f>
        <v>1.7616398171206978E-4</v>
      </c>
      <c r="AC64" s="22">
        <f t="shared" si="3"/>
        <v>3.4980987737300349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</v>
      </c>
      <c r="AI64" s="13">
        <f>IF('Données projet'!$A$62&gt;35,AI63+AH64-AQ63,IF(A64&lt;'Données projet'!$A$62,$AF$205^A64,IF(A64='Données projet'!$A$62,'Données projet'!$B$62,AI63+AH64-AQ63)))</f>
        <v>728.99999999999966</v>
      </c>
      <c r="AJ64" s="13">
        <f>AI64*VLOOKUP('Données projet'!$B$10,Paramètres!$A$1:$I$89,3,0)*VLOOKUP('Données projet'!$B$10,Paramètres!$A$1:$I$89,5,0)</f>
        <v>407.51099999999985</v>
      </c>
      <c r="AK64" s="13">
        <f t="shared" si="35"/>
        <v>93.297752590617137</v>
      </c>
      <c r="AL64" s="20">
        <f t="shared" si="4"/>
        <v>872.24191076199133</v>
      </c>
      <c r="AM64" s="59">
        <f t="shared" si="5"/>
        <v>1165.5752440953247</v>
      </c>
      <c r="AN64" s="59">
        <f ca="1">AVERAGE(OFFSET($AM$3,0,0,'Données projet'!$E$10+1,1))-AVERAGE(OFFSET($H$3,0,0,'Données projet'!$E$10+1,1))</f>
        <v>544.48194192356823</v>
      </c>
      <c r="AO64" s="59">
        <f t="shared" si="36"/>
        <v>668.20427590250733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3.9732765247739654</v>
      </c>
      <c r="AV64" s="21">
        <f>EXP(-LN(2)/25)*AV63+(1-EXP(-LN(2)/25))/(LN(2)/25)*Calculateur!AQ64*Calculateur!AS64*VLOOKUP('Données projet'!$B$10,Paramètres!$A$1:$I$89,3,0)*0.475*44/12</f>
        <v>15.123118424690626</v>
      </c>
      <c r="AW64" s="21">
        <f>EXP(-LN(2)/2)*AW63+(1-EXP(-LN(2)/2))/(LN(2)/2)*AQ64*AT64*VLOOKUP('Données projet'!$B$10,Paramètres!$A$1:$I$89,3,0)*0.475*44/12</f>
        <v>3.4377102657973243E-4</v>
      </c>
      <c r="AX64" s="21">
        <f t="shared" si="6"/>
        <v>19.096738720491171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1.625</v>
      </c>
      <c r="BD64" s="12">
        <f>IF('Données projet'!$A$88&gt;35,BD63+BC64-BL63,IF(A64&lt;'Données projet'!$A$88,$BA$205^A64,IF(A64='Données projet'!$A$88,'Données projet'!$B$88,BD63+BC64-BL63)))</f>
        <v>179.375</v>
      </c>
      <c r="BE64" s="13">
        <f>BD64*VLOOKUP('Données projet'!$B$11,Paramètres!$A$1:$I$89,3,0)*VLOOKUP('Données projet'!$B$11,Paramètres!$A$1:$I$89,5,0)</f>
        <v>107.26625000000001</v>
      </c>
      <c r="BF64" s="13">
        <f t="shared" si="37"/>
        <v>28.685951401763571</v>
      </c>
      <c r="BG64" s="20">
        <f t="shared" si="7"/>
        <v>236.78341744140491</v>
      </c>
      <c r="BH64" s="59">
        <f t="shared" si="8"/>
        <v>530.11675077473819</v>
      </c>
      <c r="BI64" s="59">
        <f ca="1">AVERAGE(OFFSET($BH$3,0,0,'Données projet'!$E$11+1,1))-AVERAGE(OFFSET($H$3,0,0,'Données projet'!$E$11+1,1))</f>
        <v>162.86181551380446</v>
      </c>
      <c r="BJ64" s="59">
        <f t="shared" si="38"/>
        <v>184.96823352120742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2.143995957728893</v>
      </c>
      <c r="BQ64" s="21">
        <f>EXP(-LN(2)/25)*BQ63+(1-EXP(-LN(2)/25))/(LN(2)/25)*Calculateur!BL64*Calculateur!BN64*VLOOKUP('Données projet'!$B$11,Paramètres!$A$1:$I$89,3,0)*0.475*44/12</f>
        <v>1.3241886694862346</v>
      </c>
      <c r="BR64" s="21">
        <f>EXP(-LN(2)/2)*BR63+(1-EXP(-LN(2)/2))/(LN(2)/2)*BL64*BO64*VLOOKUP('Données projet'!$B$11,Paramètres!$A$1:$I$89,3,0)*0.475*44/12</f>
        <v>3.6024570799896226E-5</v>
      </c>
      <c r="BS64" s="22">
        <f t="shared" si="9"/>
        <v>3.4682206517859275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-5.6843418860808015E-14</v>
      </c>
      <c r="BZ64" s="13">
        <f>BY64*VLOOKUP('Données projet'!$B$12,Paramètres!$A$1:$I$89,3,0)*VLOOKUP('Données projet'!$B$12,Paramètres!$A$1:$I$89,5,0)</f>
        <v>-3.1036506698001178E-14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207.02306964567629</v>
      </c>
      <c r="CE64" s="59">
        <f t="shared" si="40"/>
        <v>342.06887933351783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3.57510885611797</v>
      </c>
      <c r="CL64" s="21">
        <f>EXP(-LN(2)/25)*CL63+(1-EXP(-LN(2)/25))/(LN(2)/25)*Calculateur!CG64*Calculateur!CI64*VLOOKUP('Données projet'!$B$12,Paramètres!$A$1:$I$89,3,0)*0.475*44/12</f>
        <v>16.477517141100702</v>
      </c>
      <c r="CM64" s="21">
        <f>EXP(-LN(2)/2)*CM63+(1-EXP(-LN(2)/2))/(LN(2)/2)*CG64*CJ64*VLOOKUP('Données projet'!$B$12,Paramètres!$A$1:$I$89,3,0)*0.475*44/12</f>
        <v>2.8644325147647815E-4</v>
      </c>
      <c r="CN64" s="22">
        <f t="shared" si="12"/>
        <v>20.052912440470148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</v>
      </c>
      <c r="N65" s="13">
        <f>IF('Données projet'!$A$36&gt;35,N64+M65-V64,IF(A65&lt;'Données projet'!$A$36,$K$205^A65,IF(A65='Données projet'!$A$36,'Données projet'!$B$36,N64+M65-V64)))</f>
        <v>169</v>
      </c>
      <c r="O65" s="13">
        <f>N65*VLOOKUP('Données projet'!$B$9,Paramètres!$A$1:$I$89,3,0)*VLOOKUP('Données projet'!$B$9,Paramètres!$A$1:$I$89,5,0)</f>
        <v>147.63840000000002</v>
      </c>
      <c r="P65" s="13">
        <f t="shared" si="33"/>
        <v>38.04140887895133</v>
      </c>
      <c r="Q65" s="20">
        <f t="shared" si="53"/>
        <v>323.39233379750692</v>
      </c>
      <c r="R65" s="59">
        <f t="shared" si="0"/>
        <v>616.72566713084029</v>
      </c>
      <c r="S65" s="59">
        <f ca="1">AVERAGE(OFFSET($R$3,0,0,'Données projet'!$E$9+1,1))-AVERAGE(OFFSET($H$3,0,0,'Données projet'!$E$9+1,1))</f>
        <v>268.31928207836495</v>
      </c>
      <c r="T65" s="59">
        <f t="shared" si="34"/>
        <v>277.61304526670204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1.0917772528222076</v>
      </c>
      <c r="AA65" s="21">
        <f>EXP(-LN(2)/25)*AA64+(1-EXP(-LN(2)/25))/(LN(2)/25)*Calculateur!V65*Calculateur!X65*VLOOKUP('Données projet'!$B$9,Paramètres!$A$1:$I$89,3,0)*0.475*44/12</f>
        <v>2.3191090255980336</v>
      </c>
      <c r="AB65" s="21">
        <f>EXP(-LN(2)/2)*AB64+(1-EXP(-LN(2)/2))/(LN(2)/2)*V65*Y65*VLOOKUP('Données projet'!$B$9,Paramètres!$A$1:$I$89,3,0)*0.475*44/12</f>
        <v>1.2456674606942748E-4</v>
      </c>
      <c r="AC65" s="22">
        <f t="shared" si="3"/>
        <v>3.4110108451663108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</v>
      </c>
      <c r="AI65" s="13">
        <f>IF('Données projet'!$A$62&gt;35,AI64+AH65-AQ64,IF(A65&lt;'Données projet'!$A$62,$AF$205^A65,IF(A65='Données projet'!$A$62,'Données projet'!$B$62,AI64+AH65-AQ64)))</f>
        <v>738.99999999999966</v>
      </c>
      <c r="AJ65" s="13">
        <f>AI65*VLOOKUP('Données projet'!$B$10,Paramètres!$A$1:$I$89,3,0)*VLOOKUP('Données projet'!$B$10,Paramètres!$A$1:$I$89,5,0)</f>
        <v>413.10099999999983</v>
      </c>
      <c r="AK65" s="13">
        <f t="shared" si="35"/>
        <v>94.427689670462357</v>
      </c>
      <c r="AL65" s="20">
        <f t="shared" si="4"/>
        <v>883.94580117605494</v>
      </c>
      <c r="AM65" s="59">
        <f t="shared" si="5"/>
        <v>1177.2791345093883</v>
      </c>
      <c r="AN65" s="59">
        <f ca="1">AVERAGE(OFFSET($AM$3,0,0,'Données projet'!$E$10+1,1))-AVERAGE(OFFSET($H$3,0,0,'Données projet'!$E$10+1,1))</f>
        <v>544.48194192356823</v>
      </c>
      <c r="AO65" s="59">
        <f t="shared" si="36"/>
        <v>668.20427590250733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3.8953629955825315</v>
      </c>
      <c r="AV65" s="21">
        <f>EXP(-LN(2)/25)*AV64+(1-EXP(-LN(2)/25))/(LN(2)/25)*Calculateur!AQ65*Calculateur!AS65*VLOOKUP('Données projet'!$B$10,Paramètres!$A$1:$I$89,3,0)*0.475*44/12</f>
        <v>14.709575956077227</v>
      </c>
      <c r="AW65" s="21">
        <f>EXP(-LN(2)/2)*AW64+(1-EXP(-LN(2)/2))/(LN(2)/2)*AQ65*AT65*VLOOKUP('Données projet'!$B$10,Paramètres!$A$1:$I$89,3,0)*0.475*44/12</f>
        <v>2.430828240699897E-4</v>
      </c>
      <c r="AX65" s="21">
        <f t="shared" si="6"/>
        <v>18.605182034483828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181</v>
      </c>
      <c r="BB65" s="12">
        <f>VLOOKUP(A65,'Données projet'!$A$87:$I$107,9,0)</f>
        <v>1.625</v>
      </c>
      <c r="BC65" s="12">
        <f t="array" ref="BC65">INDEX(BB:BB,MIN(IF(ISNUMBER(BB65:BB261),ROW(BB65:BB261),"")))</f>
        <v>1.625</v>
      </c>
      <c r="BD65" s="12">
        <f>IF('Données projet'!$A$88&gt;35,BD64+BC65-BL64,IF(A65&lt;'Données projet'!$A$88,$BA$205^A65,IF(A65='Données projet'!$A$88,'Données projet'!$B$88,BD64+BC65-BL64)))</f>
        <v>181</v>
      </c>
      <c r="BE65" s="13">
        <f>BD65*VLOOKUP('Données projet'!$B$11,Paramètres!$A$1:$I$89,3,0)*VLOOKUP('Données projet'!$B$11,Paramètres!$A$1:$I$89,5,0)</f>
        <v>108.23800000000001</v>
      </c>
      <c r="BF65" s="13">
        <f t="shared" si="37"/>
        <v>28.915454284197679</v>
      </c>
      <c r="BG65" s="20">
        <f t="shared" si="7"/>
        <v>238.87559954497763</v>
      </c>
      <c r="BH65" s="59">
        <f t="shared" si="8"/>
        <v>532.20893287831097</v>
      </c>
      <c r="BI65" s="59">
        <f ca="1">AVERAGE(OFFSET($BH$3,0,0,'Données projet'!$E$11+1,1))-AVERAGE(OFFSET($H$3,0,0,'Données projet'!$E$11+1,1))</f>
        <v>162.86181551380446</v>
      </c>
      <c r="BJ65" s="59">
        <f t="shared" si="38"/>
        <v>184.96823352120742</v>
      </c>
      <c r="BK65" s="15">
        <f>IF(ISNA(VLOOKUP(A65,'Données projet'!$A$87:$I$107,3,0)),0,VLOOKUP(A65,'Données projet'!$A$87:$I$107,3,0))</f>
        <v>9</v>
      </c>
      <c r="BL65" s="15">
        <f>IF(ISNA(VLOOKUP(A65,'Données projet'!$A$87:$I$107,4,0)),0,VLOOKUP(A65,'Données projet'!$A$87:$I$107,4,0))</f>
        <v>181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2.1019535047062381</v>
      </c>
      <c r="BQ65" s="21">
        <f>EXP(-LN(2)/25)*BQ64+(1-EXP(-LN(2)/25))/(LN(2)/25)*Calculateur!BL65*Calculateur!BN65*VLOOKUP('Données projet'!$B$11,Paramètres!$A$1:$I$89,3,0)*0.475*44/12</f>
        <v>1.2879786606830779</v>
      </c>
      <c r="BR65" s="21">
        <f>EXP(-LN(2)/2)*BR64+(1-EXP(-LN(2)/2))/(LN(2)/2)*BL65*BO65*VLOOKUP('Données projet'!$B$11,Paramètres!$A$1:$I$89,3,0)*0.475*44/12</f>
        <v>2.5473218301941511E-5</v>
      </c>
      <c r="BS65" s="22">
        <f t="shared" si="9"/>
        <v>3.3899576386076178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-5.6843418860808015E-14</v>
      </c>
      <c r="BZ65" s="13">
        <f>BY65*VLOOKUP('Données projet'!$B$12,Paramètres!$A$1:$I$89,3,0)*VLOOKUP('Données projet'!$B$12,Paramètres!$A$1:$I$89,5,0)</f>
        <v>-3.1036506698001178E-14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207.02306964567629</v>
      </c>
      <c r="CE65" s="59">
        <f t="shared" si="40"/>
        <v>342.06887933351783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3.5050031520505822</v>
      </c>
      <c r="CL65" s="21">
        <f>EXP(-LN(2)/25)*CL64+(1-EXP(-LN(2)/25))/(LN(2)/25)*Calculateur!CG65*Calculateur!CI65*VLOOKUP('Données projet'!$B$12,Paramètres!$A$1:$I$89,3,0)*0.475*44/12</f>
        <v>16.026938568362336</v>
      </c>
      <c r="CM65" s="21">
        <f>EXP(-LN(2)/2)*CM64+(1-EXP(-LN(2)/2))/(LN(2)/2)*CG65*CJ65*VLOOKUP('Données projet'!$B$12,Paramètres!$A$1:$I$89,3,0)*0.475*44/12</f>
        <v>2.0254596554414124E-4</v>
      </c>
      <c r="CN65" s="22">
        <f t="shared" si="12"/>
        <v>19.532144266378459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</v>
      </c>
      <c r="N66" s="13">
        <f>IF('Données projet'!$A$36&gt;35,N65+M66-V65,IF(A66&lt;'Données projet'!$A$36,$K$205^A66,IF(A66='Données projet'!$A$36,'Données projet'!$B$36,N65+M66-V65)))</f>
        <v>173</v>
      </c>
      <c r="O66" s="13">
        <f>N66*VLOOKUP('Données projet'!$B$9,Paramètres!$A$1:$I$89,3,0)*VLOOKUP('Données projet'!$B$9,Paramètres!$A$1:$I$89,5,0)</f>
        <v>151.13280000000003</v>
      </c>
      <c r="P66" s="13">
        <f t="shared" si="33"/>
        <v>38.835905653934425</v>
      </c>
      <c r="Q66" s="20">
        <f t="shared" si="53"/>
        <v>330.86216234726913</v>
      </c>
      <c r="R66" s="59">
        <f t="shared" si="0"/>
        <v>624.19549568060245</v>
      </c>
      <c r="S66" s="59">
        <f ca="1">AVERAGE(OFFSET($R$3,0,0,'Données projet'!$E$9+1,1))-AVERAGE(OFFSET($H$3,0,0,'Données projet'!$E$9+1,1))</f>
        <v>268.31928207836495</v>
      </c>
      <c r="T66" s="59">
        <f t="shared" si="34"/>
        <v>277.61304526670204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1.0703681668127343</v>
      </c>
      <c r="AA66" s="21">
        <f>EXP(-LN(2)/25)*AA65+(1-EXP(-LN(2)/25))/(LN(2)/25)*Calculateur!V66*Calculateur!X66*VLOOKUP('Données projet'!$B$9,Paramètres!$A$1:$I$89,3,0)*0.475*44/12</f>
        <v>2.2556928673364123</v>
      </c>
      <c r="AB66" s="21">
        <f>EXP(-LN(2)/2)*AB65+(1-EXP(-LN(2)/2))/(LN(2)/2)*V66*Y66*VLOOKUP('Données projet'!$B$9,Paramètres!$A$1:$I$89,3,0)*0.475*44/12</f>
        <v>8.8081990856034889E-5</v>
      </c>
      <c r="AC66" s="22">
        <f t="shared" si="3"/>
        <v>3.326149116140003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</v>
      </c>
      <c r="AI66" s="13">
        <f>IF('Données projet'!$A$62&gt;35,AI65+AH66-AQ65,IF(A66&lt;'Données projet'!$A$62,$AF$205^A66,IF(A66='Données projet'!$A$62,'Données projet'!$B$62,AI65+AH66-AQ65)))</f>
        <v>748.99999999999966</v>
      </c>
      <c r="AJ66" s="13">
        <f>AI66*VLOOKUP('Données projet'!$B$10,Paramètres!$A$1:$I$89,3,0)*VLOOKUP('Données projet'!$B$10,Paramètres!$A$1:$I$89,5,0)</f>
        <v>418.6909999999998</v>
      </c>
      <c r="AK66" s="13">
        <f t="shared" si="35"/>
        <v>95.555848328260851</v>
      </c>
      <c r="AL66" s="20">
        <f t="shared" si="4"/>
        <v>895.64659417172061</v>
      </c>
      <c r="AM66" s="59">
        <f t="shared" si="5"/>
        <v>1188.9799275050539</v>
      </c>
      <c r="AN66" s="59">
        <f ca="1">AVERAGE(OFFSET($AM$3,0,0,'Données projet'!$E$10+1,1))-AVERAGE(OFFSET($H$3,0,0,'Données projet'!$E$10+1,1))</f>
        <v>544.48194192356823</v>
      </c>
      <c r="AO66" s="59">
        <f t="shared" si="36"/>
        <v>668.20427590250733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3.8189773031759811</v>
      </c>
      <c r="AV66" s="21">
        <f>EXP(-LN(2)/25)*AV65+(1-EXP(-LN(2)/25))/(LN(2)/25)*Calculateur!AQ66*Calculateur!AS66*VLOOKUP('Données projet'!$B$10,Paramètres!$A$1:$I$89,3,0)*0.475*44/12</f>
        <v>14.307341828015316</v>
      </c>
      <c r="AW66" s="21">
        <f>EXP(-LN(2)/2)*AW65+(1-EXP(-LN(2)/2))/(LN(2)/2)*AQ66*AT66*VLOOKUP('Données projet'!$B$10,Paramètres!$A$1:$I$89,3,0)*0.475*44/12</f>
        <v>1.7188551328986624E-4</v>
      </c>
      <c r="AX66" s="21">
        <f t="shared" si="6"/>
        <v>18.126491016704588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162.86181551380446</v>
      </c>
      <c r="BJ66" s="59">
        <f t="shared" si="38"/>
        <v>184.96823352120742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2.0607354785439931</v>
      </c>
      <c r="BQ66" s="21">
        <f>EXP(-LN(2)/25)*BQ65+(1-EXP(-LN(2)/25))/(LN(2)/25)*Calculateur!BL66*Calculateur!BN66*VLOOKUP('Données projet'!$B$11,Paramètres!$A$1:$I$89,3,0)*0.475*44/12</f>
        <v>1.2527588164748451</v>
      </c>
      <c r="BR66" s="21">
        <f>EXP(-LN(2)/2)*BR65+(1-EXP(-LN(2)/2))/(LN(2)/2)*BL66*BO66*VLOOKUP('Données projet'!$B$11,Paramètres!$A$1:$I$89,3,0)*0.475*44/12</f>
        <v>1.8012285399948113E-5</v>
      </c>
      <c r="BS66" s="22">
        <f t="shared" si="9"/>
        <v>3.3135123073042383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-5.6843418860808015E-14</v>
      </c>
      <c r="BZ66" s="13">
        <f>BY66*VLOOKUP('Données projet'!$B$12,Paramètres!$A$1:$I$89,3,0)*VLOOKUP('Données projet'!$B$12,Paramètres!$A$1:$I$89,5,0)</f>
        <v>-3.1036506698001178E-14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207.02306964567629</v>
      </c>
      <c r="CE66" s="59">
        <f t="shared" si="40"/>
        <v>342.06887933351783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3.4362721780796988</v>
      </c>
      <c r="CL66" s="21">
        <f>EXP(-LN(2)/25)*CL65+(1-EXP(-LN(2)/25))/(LN(2)/25)*Calculateur!CG66*Calculateur!CI66*VLOOKUP('Données projet'!$B$12,Paramètres!$A$1:$I$89,3,0)*0.475*44/12</f>
        <v>15.588681090390399</v>
      </c>
      <c r="CM66" s="21">
        <f>EXP(-LN(2)/2)*CM65+(1-EXP(-LN(2)/2))/(LN(2)/2)*CG66*CJ66*VLOOKUP('Données projet'!$B$12,Paramètres!$A$1:$I$89,3,0)*0.475*44/12</f>
        <v>1.4322162573823907E-4</v>
      </c>
      <c r="CN66" s="22">
        <f t="shared" si="12"/>
        <v>19.025096490095834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</v>
      </c>
      <c r="N67" s="13">
        <f>IF('Données projet'!$A$36&gt;35,N66+M67-V66,IF(A67&lt;'Données projet'!$A$36,$K$205^A67,IF(A67='Données projet'!$A$36,'Données projet'!$B$36,N66+M67-V66)))</f>
        <v>177</v>
      </c>
      <c r="O67" s="13">
        <f>N67*VLOOKUP('Données projet'!$B$9,Paramètres!$A$1:$I$89,3,0)*VLOOKUP('Données projet'!$B$9,Paramètres!$A$1:$I$89,5,0)</f>
        <v>154.62720000000002</v>
      </c>
      <c r="P67" s="13">
        <f t="shared" si="33"/>
        <v>39.62826685000794</v>
      </c>
      <c r="Q67" s="20">
        <f t="shared" ref="Q67:Q98" si="54">(O67+P67)*0.475*44/12</f>
        <v>338.3282714304305</v>
      </c>
      <c r="R67" s="59">
        <f t="shared" ref="R67:R130" si="55">Q67+(I67+J67)*44/12</f>
        <v>631.66160476376376</v>
      </c>
      <c r="S67" s="59">
        <f ca="1">AVERAGE(OFFSET($R$3,0,0,'Données projet'!$E$9+1,1))-AVERAGE(OFFSET($H$3,0,0,'Données projet'!$E$9+1,1))</f>
        <v>268.31928207836495</v>
      </c>
      <c r="T67" s="59">
        <f t="shared" si="34"/>
        <v>277.61304526670204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1.0493788999216538</v>
      </c>
      <c r="AA67" s="21">
        <f>EXP(-LN(2)/25)*AA66+(1-EXP(-LN(2)/25))/(LN(2)/25)*Calculateur!V67*Calculateur!X67*VLOOKUP('Données projet'!$B$9,Paramètres!$A$1:$I$89,3,0)*0.475*44/12</f>
        <v>2.1940108272573657</v>
      </c>
      <c r="AB67" s="21">
        <f>EXP(-LN(2)/2)*AB66+(1-EXP(-LN(2)/2))/(LN(2)/2)*V67*Y67*VLOOKUP('Données projet'!$B$9,Paramètres!$A$1:$I$89,3,0)*0.475*44/12</f>
        <v>6.2283373034713741E-5</v>
      </c>
      <c r="AC67" s="22">
        <f t="shared" si="3"/>
        <v>3.2434520105520543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</v>
      </c>
      <c r="AI67" s="13">
        <f>IF('Données projet'!$A$62&gt;35,AI66+AH67-AQ66,IF(A67&lt;'Données projet'!$A$62,$AF$205^A67,IF(A67='Données projet'!$A$62,'Données projet'!$B$62,AI66+AH67-AQ66)))</f>
        <v>758.99999999999966</v>
      </c>
      <c r="AJ67" s="13">
        <f>AI67*VLOOKUP('Données projet'!$B$10,Paramètres!$A$1:$I$89,3,0)*VLOOKUP('Données projet'!$B$10,Paramètres!$A$1:$I$89,5,0)</f>
        <v>424.28099999999978</v>
      </c>
      <c r="AK67" s="13">
        <f t="shared" si="35"/>
        <v>96.682255052757768</v>
      </c>
      <c r="AL67" s="20">
        <f t="shared" si="4"/>
        <v>907.34433588355262</v>
      </c>
      <c r="AM67" s="59">
        <f t="shared" si="5"/>
        <v>1200.677669216886</v>
      </c>
      <c r="AN67" s="59">
        <f ca="1">AVERAGE(OFFSET($AM$3,0,0,'Données projet'!$E$10+1,1))-AVERAGE(OFFSET($H$3,0,0,'Données projet'!$E$10+1,1))</f>
        <v>544.48194192356823</v>
      </c>
      <c r="AO67" s="59">
        <f t="shared" si="36"/>
        <v>668.20427590250733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3.7440894876068511</v>
      </c>
      <c r="AV67" s="21">
        <f>EXP(-LN(2)/25)*AV66+(1-EXP(-LN(2)/25))/(LN(2)/25)*Calculateur!AQ67*Calculateur!AS67*VLOOKUP('Données projet'!$B$10,Paramètres!$A$1:$I$89,3,0)*0.475*44/12</f>
        <v>13.91610681333783</v>
      </c>
      <c r="AW67" s="21">
        <f>EXP(-LN(2)/2)*AW66+(1-EXP(-LN(2)/2))/(LN(2)/2)*AQ67*AT67*VLOOKUP('Données projet'!$B$10,Paramètres!$A$1:$I$89,3,0)*0.475*44/12</f>
        <v>1.2154141203499486E-4</v>
      </c>
      <c r="AX67" s="21">
        <f t="shared" si="6"/>
        <v>17.660317842356715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162.86181551380446</v>
      </c>
      <c r="BJ67" s="59">
        <f t="shared" si="38"/>
        <v>184.96823352120742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2.0203257127342762</v>
      </c>
      <c r="BQ67" s="21">
        <f>EXP(-LN(2)/25)*BQ66+(1-EXP(-LN(2)/25))/(LN(2)/25)*Calculateur!BL67*Calculateur!BN67*VLOOKUP('Données projet'!$B$11,Paramètres!$A$1:$I$89,3,0)*0.475*44/12</f>
        <v>1.2185020607586174</v>
      </c>
      <c r="BR67" s="21">
        <f>EXP(-LN(2)/2)*BR66+(1-EXP(-LN(2)/2))/(LN(2)/2)*BL67*BO67*VLOOKUP('Données projet'!$B$11,Paramètres!$A$1:$I$89,3,0)*0.475*44/12</f>
        <v>1.2736609150970755E-5</v>
      </c>
      <c r="BS67" s="22">
        <f t="shared" si="9"/>
        <v>3.2388405101020443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-5.6843418860808015E-14</v>
      </c>
      <c r="BZ67" s="13">
        <f>BY67*VLOOKUP('Données projet'!$B$12,Paramètres!$A$1:$I$89,3,0)*VLOOKUP('Données projet'!$B$12,Paramètres!$A$1:$I$89,5,0)</f>
        <v>-3.1036506698001178E-14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207.02306964567629</v>
      </c>
      <c r="CE67" s="59">
        <f t="shared" si="40"/>
        <v>342.06887933351783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3.3688889765866299</v>
      </c>
      <c r="CL67" s="21">
        <f>EXP(-LN(2)/25)*CL66+(1-EXP(-LN(2)/25))/(LN(2)/25)*Calculateur!CG67*Calculateur!CI67*VLOOKUP('Données projet'!$B$12,Paramètres!$A$1:$I$89,3,0)*0.475*44/12</f>
        <v>15.162407786200562</v>
      </c>
      <c r="CM67" s="21">
        <f>EXP(-LN(2)/2)*CM66+(1-EXP(-LN(2)/2))/(LN(2)/2)*CG67*CJ67*VLOOKUP('Données projet'!$B$12,Paramètres!$A$1:$I$89,3,0)*0.475*44/12</f>
        <v>1.0127298277207062E-4</v>
      </c>
      <c r="CN67" s="22">
        <f t="shared" si="12"/>
        <v>18.531398035769964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181</v>
      </c>
      <c r="L68" s="12">
        <f>VLOOKUP(A68,'Données projet'!$A$35:$I$55,9,0)</f>
        <v>4</v>
      </c>
      <c r="M68" s="12">
        <f t="array" ref="M68">INDEX(L:L,MIN(IF(ISNUMBER(L68:L264),ROW(L68:L264),"")))</f>
        <v>4</v>
      </c>
      <c r="N68" s="13">
        <f>IF('Données projet'!$A$36&gt;35,N67+M68-V67,IF(A68&lt;'Données projet'!$A$36,$K$205^A68,IF(A68='Données projet'!$A$36,'Données projet'!$B$36,N67+M68-V67)))</f>
        <v>181</v>
      </c>
      <c r="O68" s="13">
        <f>N68*VLOOKUP('Données projet'!$B$9,Paramètres!$A$1:$I$89,3,0)*VLOOKUP('Données projet'!$B$9,Paramètres!$A$1:$I$89,5,0)</f>
        <v>158.12160000000003</v>
      </c>
      <c r="P68" s="13">
        <f t="shared" si="33"/>
        <v>40.418546284954211</v>
      </c>
      <c r="Q68" s="20">
        <f t="shared" si="54"/>
        <v>345.79075477962857</v>
      </c>
      <c r="R68" s="59">
        <f t="shared" si="55"/>
        <v>639.12408811296189</v>
      </c>
      <c r="S68" s="59">
        <f ca="1">AVERAGE(OFFSET($R$3,0,0,'Données projet'!$E$9+1,1))-AVERAGE(OFFSET($H$3,0,0,'Données projet'!$E$9+1,1))</f>
        <v>268.31928207836495</v>
      </c>
      <c r="T68" s="59">
        <f t="shared" si="34"/>
        <v>277.61304526670204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14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1.0288012197521186</v>
      </c>
      <c r="AA68" s="21">
        <f>EXP(-LN(2)/25)*AA67+(1-EXP(-LN(2)/25))/(LN(2)/25)*Calculateur!V68*Calculateur!X68*VLOOKUP('Données projet'!$B$9,Paramètres!$A$1:$I$89,3,0)*0.475*44/12</f>
        <v>2.134015485807998</v>
      </c>
      <c r="AB68" s="21">
        <f>EXP(-LN(2)/2)*AB67+(1-EXP(-LN(2)/2))/(LN(2)/2)*V68*Y68*VLOOKUP('Données projet'!$B$9,Paramètres!$A$1:$I$89,3,0)*0.475*44/12</f>
        <v>4.4040995428017444E-5</v>
      </c>
      <c r="AC68" s="22">
        <f t="shared" ref="AC68:AC131" si="57">SUM(Z68:AB68)</f>
        <v>3.1628607465555443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769</v>
      </c>
      <c r="AG68" s="12">
        <f>VLOOKUP(A68,'Données projet'!$A$61:$I$81,9,0)</f>
        <v>10</v>
      </c>
      <c r="AH68" s="12">
        <f t="array" ref="AH68">INDEX(AG:AG,MIN(IF(ISNUMBER(AG68:AG264),ROW(AG68:AG264),"")))</f>
        <v>10</v>
      </c>
      <c r="AI68" s="13">
        <f>IF('Données projet'!$A$62&gt;35,AI67+AH68-AQ67,IF(A68&lt;'Données projet'!$A$62,$AF$205^A68,IF(A68='Données projet'!$A$62,'Données projet'!$B$62,AI67+AH68-AQ67)))</f>
        <v>768.99999999999966</v>
      </c>
      <c r="AJ68" s="13">
        <f>AI68*VLOOKUP('Données projet'!$B$10,Paramètres!$A$1:$I$89,3,0)*VLOOKUP('Données projet'!$B$10,Paramètres!$A$1:$I$89,5,0)</f>
        <v>429.87099999999981</v>
      </c>
      <c r="AK68" s="13">
        <f t="shared" si="35"/>
        <v>97.806935594587088</v>
      </c>
      <c r="AL68" s="20">
        <f t="shared" ref="AL68:AL131" si="58">(AJ68+AK68)*0.475*44/12</f>
        <v>919.03907116057201</v>
      </c>
      <c r="AM68" s="59">
        <f t="shared" ref="AM68:AM131" si="59">AL68+(AD68+AE68)*44/12</f>
        <v>1212.3724044939054</v>
      </c>
      <c r="AN68" s="59">
        <f ca="1">AVERAGE(OFFSET($AM$3,0,0,'Données projet'!$E$10+1,1))-AVERAGE(OFFSET($H$3,0,0,'Données projet'!$E$10+1,1))</f>
        <v>544.48194192356823</v>
      </c>
      <c r="AO68" s="59">
        <f t="shared" si="36"/>
        <v>668.20427590250733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769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3.6706701764239744</v>
      </c>
      <c r="AV68" s="21">
        <f>EXP(-LN(2)/25)*AV67+(1-EXP(-LN(2)/25))/(LN(2)/25)*Calculateur!AQ68*Calculateur!AS68*VLOOKUP('Données projet'!$B$10,Paramètres!$A$1:$I$89,3,0)*0.475*44/12</f>
        <v>13.535570140710856</v>
      </c>
      <c r="AW68" s="21">
        <f>EXP(-LN(2)/2)*AW67+(1-EXP(-LN(2)/2))/(LN(2)/2)*AQ68*AT68*VLOOKUP('Données projet'!$B$10,Paramètres!$A$1:$I$89,3,0)*0.475*44/12</f>
        <v>8.5942756644933135E-5</v>
      </c>
      <c r="AX68" s="21">
        <f t="shared" ref="AX68:AX131" si="60">SUM(AU68:AW68)</f>
        <v>17.206326259891476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162.86181551380446</v>
      </c>
      <c r="BJ68" s="59">
        <f t="shared" si="38"/>
        <v>184.96823352120742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1.9807083577845646</v>
      </c>
      <c r="BQ68" s="21">
        <f>EXP(-LN(2)/25)*BQ67+(1-EXP(-LN(2)/25))/(LN(2)/25)*Calculateur!BL68*Calculateur!BN68*VLOOKUP('Données projet'!$B$11,Paramètres!$A$1:$I$89,3,0)*0.475*44/12</f>
        <v>1.1851820578289347</v>
      </c>
      <c r="BR68" s="21">
        <f>EXP(-LN(2)/2)*BR67+(1-EXP(-LN(2)/2))/(LN(2)/2)*BL68*BO68*VLOOKUP('Données projet'!$B$11,Paramètres!$A$1:$I$89,3,0)*0.475*44/12</f>
        <v>9.0061426999740566E-6</v>
      </c>
      <c r="BS68" s="22">
        <f t="shared" ref="BS68:BS131" si="63">SUM(BP68:BR68)</f>
        <v>3.1658994217561993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-5.6843418860808015E-14</v>
      </c>
      <c r="BZ68" s="13">
        <f>BY68*VLOOKUP('Données projet'!$B$12,Paramètres!$A$1:$I$89,3,0)*VLOOKUP('Données projet'!$B$12,Paramètres!$A$1:$I$89,5,0)</f>
        <v>-3.1036506698001178E-14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207.02306964567629</v>
      </c>
      <c r="CE68" s="59">
        <f t="shared" si="40"/>
        <v>342.06887933351783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3.3028271185751454</v>
      </c>
      <c r="CL68" s="21">
        <f>EXP(-LN(2)/25)*CL67+(1-EXP(-LN(2)/25))/(LN(2)/25)*Calculateur!CG68*Calculateur!CI68*VLOOKUP('Données projet'!$B$12,Paramètres!$A$1:$I$89,3,0)*0.475*44/12</f>
        <v>14.747790947930536</v>
      </c>
      <c r="CM68" s="21">
        <f>EXP(-LN(2)/2)*CM67+(1-EXP(-LN(2)/2))/(LN(2)/2)*CG68*CJ68*VLOOKUP('Données projet'!$B$12,Paramètres!$A$1:$I$89,3,0)*0.475*44/12</f>
        <v>7.1610812869119536E-5</v>
      </c>
      <c r="CN68" s="22">
        <f t="shared" ref="CN68:CN131" si="66">SUM(CK68:CM68)</f>
        <v>18.050689677318552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3.4</v>
      </c>
      <c r="N69" s="13">
        <f>IF('Données projet'!$A$36&gt;35,N68+M69-V68,IF(A69&lt;'Données projet'!$A$36,$K$205^A69,IF(A69='Données projet'!$A$36,'Données projet'!$B$36,N68+M69-V68)))</f>
        <v>170.4</v>
      </c>
      <c r="O69" s="13">
        <f>N69*VLOOKUP('Données projet'!$B$9,Paramètres!$A$1:$I$89,3,0)*VLOOKUP('Données projet'!$B$9,Paramètres!$A$1:$I$89,5,0)</f>
        <v>148.86144000000002</v>
      </c>
      <c r="P69" s="13">
        <f t="shared" ref="P69:P132" si="87">EXP(-1.0587+0.8836*LN(O69)+0.284)</f>
        <v>38.319729148991918</v>
      </c>
      <c r="Q69" s="20">
        <f t="shared" si="54"/>
        <v>326.00720293449427</v>
      </c>
      <c r="R69" s="59">
        <f t="shared" si="55"/>
        <v>619.34053626782759</v>
      </c>
      <c r="S69" s="59">
        <f ca="1">AVERAGE(OFFSET($R$3,0,0,'Données projet'!$E$9+1,1))-AVERAGE(OFFSET($H$3,0,0,'Données projet'!$E$9+1,1))</f>
        <v>268.31928207836495</v>
      </c>
      <c r="T69" s="59">
        <f t="shared" ref="T69:T132" si="88">$T$3</f>
        <v>277.61304526670204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1.0086270553395624</v>
      </c>
      <c r="AA69" s="21">
        <f>EXP(-LN(2)/25)*AA68+(1-EXP(-LN(2)/25))/(LN(2)/25)*Calculateur!V69*Calculateur!X69*VLOOKUP('Données projet'!$B$9,Paramètres!$A$1:$I$89,3,0)*0.475*44/12</f>
        <v>2.0756607201255814</v>
      </c>
      <c r="AB69" s="21">
        <f>EXP(-LN(2)/2)*AB68+(1-EXP(-LN(2)/2))/(LN(2)/2)*V69*Y69*VLOOKUP('Données projet'!$B$9,Paramètres!$A$1:$I$89,3,0)*0.475*44/12</f>
        <v>3.1141686517356871E-5</v>
      </c>
      <c r="AC69" s="22">
        <f t="shared" si="57"/>
        <v>3.0843189171516614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-3.4106051316484809E-13</v>
      </c>
      <c r="AJ69" s="13">
        <f>AI69*VLOOKUP('Données projet'!$B$10,Paramètres!$A$1:$I$89,3,0)*VLOOKUP('Données projet'!$B$10,Paramètres!$A$1:$I$89,5,0)</f>
        <v>-1.9065282685915009E-13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544.48194192356823</v>
      </c>
      <c r="AO69" s="59">
        <f t="shared" ref="AO69:AO132" si="90">$AO$3</f>
        <v>668.20427590250733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3.598690573152036</v>
      </c>
      <c r="AV69" s="21">
        <f>EXP(-LN(2)/25)*AV68+(1-EXP(-LN(2)/25))/(LN(2)/25)*Calculateur!AQ69*Calculateur!AS69*VLOOKUP('Données projet'!$B$10,Paramètres!$A$1:$I$89,3,0)*0.475*44/12</f>
        <v>13.16543926340842</v>
      </c>
      <c r="AW69" s="21">
        <f>EXP(-LN(2)/2)*AW68+(1-EXP(-LN(2)/2))/(LN(2)/2)*AQ69*AT69*VLOOKUP('Données projet'!$B$10,Paramètres!$A$1:$I$89,3,0)*0.475*44/12</f>
        <v>6.0770706017497445E-5</v>
      </c>
      <c r="AX69" s="21">
        <f t="shared" si="60"/>
        <v>16.764190607266475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162.86181551380446</v>
      </c>
      <c r="BJ69" s="59">
        <f t="shared" ref="BJ69:BJ132" si="92">$BJ$3</f>
        <v>184.96823352120742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1.9418678750012162</v>
      </c>
      <c r="BQ69" s="21">
        <f>EXP(-LN(2)/25)*BQ68+(1-EXP(-LN(2)/25))/(LN(2)/25)*Calculateur!BL69*Calculateur!BN69*VLOOKUP('Données projet'!$B$11,Paramètres!$A$1:$I$89,3,0)*0.475*44/12</f>
        <v>1.1527731921315869</v>
      </c>
      <c r="BR69" s="21">
        <f>EXP(-LN(2)/2)*BR68+(1-EXP(-LN(2)/2))/(LN(2)/2)*BL69*BO69*VLOOKUP('Données projet'!$B$11,Paramètres!$A$1:$I$89,3,0)*0.475*44/12</f>
        <v>6.3683045754853777E-6</v>
      </c>
      <c r="BS69" s="22">
        <f t="shared" si="63"/>
        <v>3.0946474354373787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-5.6843418860808015E-14</v>
      </c>
      <c r="BZ69" s="13">
        <f>BY69*VLOOKUP('Données projet'!$B$12,Paramètres!$A$1:$I$89,3,0)*VLOOKUP('Données projet'!$B$12,Paramètres!$A$1:$I$89,5,0)</f>
        <v>-3.1036506698001178E-14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207.02306964567629</v>
      </c>
      <c r="CE69" s="59">
        <f t="shared" ref="CE69:CE132" si="94">$CE$3</f>
        <v>342.06887933351783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3.2380606933055112</v>
      </c>
      <c r="CL69" s="21">
        <f>EXP(-LN(2)/25)*CL68+(1-EXP(-LN(2)/25))/(LN(2)/25)*Calculateur!CG69*Calculateur!CI69*VLOOKUP('Données projet'!$B$12,Paramètres!$A$1:$I$89,3,0)*0.475*44/12</f>
        <v>14.344511828906755</v>
      </c>
      <c r="CM69" s="21">
        <f>EXP(-LN(2)/2)*CM68+(1-EXP(-LN(2)/2))/(LN(2)/2)*CG69*CJ69*VLOOKUP('Données projet'!$B$12,Paramètres!$A$1:$I$89,3,0)*0.475*44/12</f>
        <v>5.0636491386035311E-5</v>
      </c>
      <c r="CN69" s="22">
        <f t="shared" si="66"/>
        <v>17.582623158703655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3.4</v>
      </c>
      <c r="N70" s="13">
        <f>IF('Données projet'!$A$36&gt;35,N69+M70-V69,IF(A70&lt;'Données projet'!$A$36,$K$205^A70,IF(A70='Données projet'!$A$36,'Données projet'!$B$36,N69+M70-V69)))</f>
        <v>173.8</v>
      </c>
      <c r="O70" s="13">
        <f>N70*VLOOKUP('Données projet'!$B$9,Paramètres!$A$1:$I$89,3,0)*VLOOKUP('Données projet'!$B$9,Paramètres!$A$1:$I$89,5,0)</f>
        <v>151.83168000000003</v>
      </c>
      <c r="P70" s="13">
        <f t="shared" si="87"/>
        <v>38.99454697963769</v>
      </c>
      <c r="Q70" s="20">
        <f t="shared" si="54"/>
        <v>332.35567865620237</v>
      </c>
      <c r="R70" s="59">
        <f t="shared" si="55"/>
        <v>625.68901198953563</v>
      </c>
      <c r="S70" s="59">
        <f ca="1">AVERAGE(OFFSET($R$3,0,0,'Données projet'!$E$9+1,1))-AVERAGE(OFFSET($H$3,0,0,'Données projet'!$E$9+1,1))</f>
        <v>268.31928207836495</v>
      </c>
      <c r="T70" s="59">
        <f t="shared" si="88"/>
        <v>277.61304526670204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0.98884849398611119</v>
      </c>
      <c r="AA70" s="21">
        <f>EXP(-LN(2)/25)*AA69+(1-EXP(-LN(2)/25))/(LN(2)/25)*Calculateur!V70*Calculateur!X70*VLOOKUP('Données projet'!$B$9,Paramètres!$A$1:$I$89,3,0)*0.475*44/12</f>
        <v>2.018901668579494</v>
      </c>
      <c r="AB70" s="21">
        <f>EXP(-LN(2)/2)*AB69+(1-EXP(-LN(2)/2))/(LN(2)/2)*V70*Y70*VLOOKUP('Données projet'!$B$9,Paramètres!$A$1:$I$89,3,0)*0.475*44/12</f>
        <v>2.2020497714008722E-5</v>
      </c>
      <c r="AC70" s="22">
        <f t="shared" si="57"/>
        <v>3.0077721830633193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-3.4106051316484809E-13</v>
      </c>
      <c r="AJ70" s="13">
        <f>AI70*VLOOKUP('Données projet'!$B$10,Paramètres!$A$1:$I$89,3,0)*VLOOKUP('Données projet'!$B$10,Paramètres!$A$1:$I$89,5,0)</f>
        <v>-1.9065282685915009E-13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544.48194192356823</v>
      </c>
      <c r="AO70" s="59">
        <f t="shared" si="90"/>
        <v>668.20427590250733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3.5281224459970373</v>
      </c>
      <c r="AV70" s="21">
        <f>EXP(-LN(2)/25)*AV69+(1-EXP(-LN(2)/25))/(LN(2)/25)*Calculateur!AQ70*Calculateur!AS70*VLOOKUP('Données projet'!$B$10,Paramètres!$A$1:$I$89,3,0)*0.475*44/12</f>
        <v>12.805429634410155</v>
      </c>
      <c r="AW70" s="21">
        <f>EXP(-LN(2)/2)*AW69+(1-EXP(-LN(2)/2))/(LN(2)/2)*AQ70*AT70*VLOOKUP('Données projet'!$B$10,Paramètres!$A$1:$I$89,3,0)*0.475*44/12</f>
        <v>4.2971378322466574E-5</v>
      </c>
      <c r="AX70" s="21">
        <f t="shared" si="60"/>
        <v>16.333595051785515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162.86181551380446</v>
      </c>
      <c r="BJ70" s="59">
        <f t="shared" si="92"/>
        <v>184.96823352120742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1.9037890303948941</v>
      </c>
      <c r="BQ70" s="21">
        <f>EXP(-LN(2)/25)*BQ69+(1-EXP(-LN(2)/25))/(LN(2)/25)*Calculateur!BL70*Calculateur!BN70*VLOOKUP('Données projet'!$B$11,Paramètres!$A$1:$I$89,3,0)*0.475*44/12</f>
        <v>1.1212505485710411</v>
      </c>
      <c r="BR70" s="21">
        <f>EXP(-LN(2)/2)*BR69+(1-EXP(-LN(2)/2))/(LN(2)/2)*BL70*BO70*VLOOKUP('Données projet'!$B$11,Paramètres!$A$1:$I$89,3,0)*0.475*44/12</f>
        <v>4.5030713499870283E-6</v>
      </c>
      <c r="BS70" s="22">
        <f t="shared" si="63"/>
        <v>3.0250440820372853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-5.6843418860808015E-14</v>
      </c>
      <c r="BZ70" s="13">
        <f>BY70*VLOOKUP('Données projet'!$B$12,Paramètres!$A$1:$I$89,3,0)*VLOOKUP('Données projet'!$B$12,Paramètres!$A$1:$I$89,5,0)</f>
        <v>-3.1036506698001178E-14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207.02306964567629</v>
      </c>
      <c r="CE70" s="59">
        <f t="shared" si="94"/>
        <v>342.06887933351783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3.1745642981317959</v>
      </c>
      <c r="CL70" s="21">
        <f>EXP(-LN(2)/25)*CL69+(1-EXP(-LN(2)/25))/(LN(2)/25)*Calculateur!CG70*Calculateur!CI70*VLOOKUP('Données projet'!$B$12,Paramètres!$A$1:$I$89,3,0)*0.475*44/12</f>
        <v>13.952260398600208</v>
      </c>
      <c r="CM70" s="21">
        <f>EXP(-LN(2)/2)*CM69+(1-EXP(-LN(2)/2))/(LN(2)/2)*CG70*CJ70*VLOOKUP('Données projet'!$B$12,Paramètres!$A$1:$I$89,3,0)*0.475*44/12</f>
        <v>3.5805406434559768E-5</v>
      </c>
      <c r="CN70" s="22">
        <f t="shared" si="66"/>
        <v>17.126860502138438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3.4</v>
      </c>
      <c r="N71" s="13">
        <f>IF('Données projet'!$A$36&gt;35,N70+M71-V70,IF(A71&lt;'Données projet'!$A$36,$K$205^A71,IF(A71='Données projet'!$A$36,'Données projet'!$B$36,N70+M71-V70)))</f>
        <v>177.20000000000002</v>
      </c>
      <c r="O71" s="13">
        <f>N71*VLOOKUP('Données projet'!$B$9,Paramètres!$A$1:$I$89,3,0)*VLOOKUP('Données projet'!$B$9,Paramètres!$A$1:$I$89,5,0)</f>
        <v>154.80192000000002</v>
      </c>
      <c r="P71" s="13">
        <f t="shared" si="87"/>
        <v>39.667829827227955</v>
      </c>
      <c r="Q71" s="20">
        <f t="shared" si="54"/>
        <v>338.70148094908876</v>
      </c>
      <c r="R71" s="59">
        <f t="shared" si="55"/>
        <v>632.03481428242208</v>
      </c>
      <c r="S71" s="59">
        <f ca="1">AVERAGE(OFFSET($R$3,0,0,'Données projet'!$E$9+1,1))-AVERAGE(OFFSET($H$3,0,0,'Données projet'!$E$9+1,1))</f>
        <v>268.31928207836495</v>
      </c>
      <c r="T71" s="59">
        <f t="shared" si="88"/>
        <v>277.61304526670204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0.9694577781570699</v>
      </c>
      <c r="AA71" s="21">
        <f>EXP(-LN(2)/25)*AA70+(1-EXP(-LN(2)/25))/(LN(2)/25)*Calculateur!V71*Calculateur!X71*VLOOKUP('Données projet'!$B$9,Paramètres!$A$1:$I$89,3,0)*0.475*44/12</f>
        <v>1.9636946962827633</v>
      </c>
      <c r="AB71" s="21">
        <f>EXP(-LN(2)/2)*AB70+(1-EXP(-LN(2)/2))/(LN(2)/2)*V71*Y71*VLOOKUP('Données projet'!$B$9,Paramètres!$A$1:$I$89,3,0)*0.475*44/12</f>
        <v>1.5570843258678435E-5</v>
      </c>
      <c r="AC71" s="22">
        <f t="shared" si="57"/>
        <v>2.9331680452830917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-3.4106051316484809E-13</v>
      </c>
      <c r="AJ71" s="13">
        <f>AI71*VLOOKUP('Données projet'!$B$10,Paramètres!$A$1:$I$89,3,0)*VLOOKUP('Données projet'!$B$10,Paramètres!$A$1:$I$89,5,0)</f>
        <v>-1.9065282685915009E-13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544.48194192356823</v>
      </c>
      <c r="AO71" s="59">
        <f t="shared" si="90"/>
        <v>668.20427590250733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3.4589381167732407</v>
      </c>
      <c r="AV71" s="21">
        <f>EXP(-LN(2)/25)*AV70+(1-EXP(-LN(2)/25))/(LN(2)/25)*Calculateur!AQ71*Calculateur!AS71*VLOOKUP('Données projet'!$B$10,Paramètres!$A$1:$I$89,3,0)*0.475*44/12</f>
        <v>12.455264487648932</v>
      </c>
      <c r="AW71" s="21">
        <f>EXP(-LN(2)/2)*AW70+(1-EXP(-LN(2)/2))/(LN(2)/2)*AQ71*AT71*VLOOKUP('Données projet'!$B$10,Paramètres!$A$1:$I$89,3,0)*0.475*44/12</f>
        <v>3.0385353008748726E-5</v>
      </c>
      <c r="AX71" s="21">
        <f t="shared" si="60"/>
        <v>15.914232989775181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162.86181551380446</v>
      </c>
      <c r="BJ71" s="59">
        <f t="shared" si="92"/>
        <v>184.96823352120742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1.8664568887055002</v>
      </c>
      <c r="BQ71" s="21">
        <f>EXP(-LN(2)/25)*BQ70+(1-EXP(-LN(2)/25))/(LN(2)/25)*Calculateur!BL71*Calculateur!BN71*VLOOKUP('Données projet'!$B$11,Paramètres!$A$1:$I$89,3,0)*0.475*44/12</f>
        <v>1.0905898933563622</v>
      </c>
      <c r="BR71" s="21">
        <f>EXP(-LN(2)/2)*BR70+(1-EXP(-LN(2)/2))/(LN(2)/2)*BL71*BO71*VLOOKUP('Données projet'!$B$11,Paramètres!$A$1:$I$89,3,0)*0.475*44/12</f>
        <v>3.1841522877426888E-6</v>
      </c>
      <c r="BS71" s="22">
        <f t="shared" si="63"/>
        <v>2.9570499662141501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-5.6843418860808015E-14</v>
      </c>
      <c r="BZ71" s="13">
        <f>BY71*VLOOKUP('Données projet'!$B$12,Paramètres!$A$1:$I$89,3,0)*VLOOKUP('Données projet'!$B$12,Paramètres!$A$1:$I$89,5,0)</f>
        <v>-3.1036506698001178E-14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207.02306964567629</v>
      </c>
      <c r="CE71" s="59">
        <f t="shared" si="94"/>
        <v>342.06887933351783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3.1123130285384599</v>
      </c>
      <c r="CL71" s="21">
        <f>EXP(-LN(2)/25)*CL70+(1-EXP(-LN(2)/25))/(LN(2)/25)*Calculateur!CG71*Calculateur!CI71*VLOOKUP('Données projet'!$B$12,Paramètres!$A$1:$I$89,3,0)*0.475*44/12</f>
        <v>13.570735104282999</v>
      </c>
      <c r="CM71" s="21">
        <f>EXP(-LN(2)/2)*CM70+(1-EXP(-LN(2)/2))/(LN(2)/2)*CG71*CJ71*VLOOKUP('Données projet'!$B$12,Paramètres!$A$1:$I$89,3,0)*0.475*44/12</f>
        <v>2.5318245693017655E-5</v>
      </c>
      <c r="CN71" s="22">
        <f t="shared" si="66"/>
        <v>16.683073451067152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3.4</v>
      </c>
      <c r="N72" s="13">
        <f>IF('Données projet'!$A$36&gt;35,N71+M72-V71,IF(A72&lt;'Données projet'!$A$36,$K$205^A72,IF(A72='Données projet'!$A$36,'Données projet'!$B$36,N71+M72-V71)))</f>
        <v>180.60000000000002</v>
      </c>
      <c r="O72" s="13">
        <f>N72*VLOOKUP('Données projet'!$B$9,Paramètres!$A$1:$I$89,3,0)*VLOOKUP('Données projet'!$B$9,Paramètres!$A$1:$I$89,5,0)</f>
        <v>157.77216000000004</v>
      </c>
      <c r="P72" s="13">
        <f t="shared" si="87"/>
        <v>40.339610539653599</v>
      </c>
      <c r="Q72" s="20">
        <f t="shared" si="54"/>
        <v>345.04466702323003</v>
      </c>
      <c r="R72" s="59">
        <f t="shared" si="55"/>
        <v>638.37800035656335</v>
      </c>
      <c r="S72" s="59">
        <f ca="1">AVERAGE(OFFSET($R$3,0,0,'Données projet'!$E$9+1,1))-AVERAGE(OFFSET($H$3,0,0,'Données projet'!$E$9+1,1))</f>
        <v>268.31928207836495</v>
      </c>
      <c r="T72" s="59">
        <f t="shared" si="88"/>
        <v>277.61304526670204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0.95044730243826736</v>
      </c>
      <c r="AA72" s="21">
        <f>EXP(-LN(2)/25)*AA71+(1-EXP(-LN(2)/25))/(LN(2)/25)*Calculateur!V72*Calculateur!X72*VLOOKUP('Données projet'!$B$9,Paramètres!$A$1:$I$89,3,0)*0.475*44/12</f>
        <v>1.9099973615466952</v>
      </c>
      <c r="AB72" s="21">
        <f>EXP(-LN(2)/2)*AB71+(1-EXP(-LN(2)/2))/(LN(2)/2)*V72*Y72*VLOOKUP('Données projet'!$B$9,Paramètres!$A$1:$I$89,3,0)*0.475*44/12</f>
        <v>1.1010248857004361E-5</v>
      </c>
      <c r="AC72" s="22">
        <f t="shared" si="57"/>
        <v>2.8604556742338194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-3.4106051316484809E-13</v>
      </c>
      <c r="AJ72" s="13">
        <f>AI72*VLOOKUP('Données projet'!$B$10,Paramètres!$A$1:$I$89,3,0)*VLOOKUP('Données projet'!$B$10,Paramètres!$A$1:$I$89,5,0)</f>
        <v>-1.9065282685915009E-13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544.48194192356823</v>
      </c>
      <c r="AO72" s="59">
        <f t="shared" si="90"/>
        <v>668.20427590250733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3.3911104500472486</v>
      </c>
      <c r="AV72" s="21">
        <f>EXP(-LN(2)/25)*AV71+(1-EXP(-LN(2)/25))/(LN(2)/25)*Calculateur!AQ72*Calculateur!AS72*VLOOKUP('Données projet'!$B$10,Paramètres!$A$1:$I$89,3,0)*0.475*44/12</f>
        <v>12.11467462524028</v>
      </c>
      <c r="AW72" s="21">
        <f>EXP(-LN(2)/2)*AW71+(1-EXP(-LN(2)/2))/(LN(2)/2)*AQ72*AT72*VLOOKUP('Données projet'!$B$10,Paramètres!$A$1:$I$89,3,0)*0.475*44/12</f>
        <v>2.1485689161233291E-5</v>
      </c>
      <c r="AX72" s="21">
        <f t="shared" si="60"/>
        <v>15.505806560976691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162.86181551380446</v>
      </c>
      <c r="BJ72" s="59">
        <f t="shared" si="92"/>
        <v>184.96823352120742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1.8298568075442772</v>
      </c>
      <c r="BQ72" s="21">
        <f>EXP(-LN(2)/25)*BQ71+(1-EXP(-LN(2)/25))/(LN(2)/25)*Calculateur!BL72*Calculateur!BN72*VLOOKUP('Données projet'!$B$11,Paramètres!$A$1:$I$89,3,0)*0.475*44/12</f>
        <v>1.0607676553709027</v>
      </c>
      <c r="BR72" s="21">
        <f>EXP(-LN(2)/2)*BR71+(1-EXP(-LN(2)/2))/(LN(2)/2)*BL72*BO72*VLOOKUP('Données projet'!$B$11,Paramètres!$A$1:$I$89,3,0)*0.475*44/12</f>
        <v>2.2515356749935141E-6</v>
      </c>
      <c r="BS72" s="22">
        <f t="shared" si="63"/>
        <v>2.8906267144508546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-5.6843418860808015E-14</v>
      </c>
      <c r="BZ72" s="13">
        <f>BY72*VLOOKUP('Données projet'!$B$12,Paramètres!$A$1:$I$89,3,0)*VLOOKUP('Données projet'!$B$12,Paramètres!$A$1:$I$89,5,0)</f>
        <v>-3.1036506698001178E-14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207.02306964567629</v>
      </c>
      <c r="CE72" s="59">
        <f t="shared" si="94"/>
        <v>342.06887933351783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3.0512824683723241</v>
      </c>
      <c r="CL72" s="21">
        <f>EXP(-LN(2)/25)*CL71+(1-EXP(-LN(2)/25))/(LN(2)/25)*Calculateur!CG72*Calculateur!CI72*VLOOKUP('Données projet'!$B$12,Paramètres!$A$1:$I$89,3,0)*0.475*44/12</f>
        <v>13.199642639202438</v>
      </c>
      <c r="CM72" s="21">
        <f>EXP(-LN(2)/2)*CM71+(1-EXP(-LN(2)/2))/(LN(2)/2)*CG72*CJ72*VLOOKUP('Données projet'!$B$12,Paramètres!$A$1:$I$89,3,0)*0.475*44/12</f>
        <v>1.7902703217279884E-5</v>
      </c>
      <c r="CN72" s="22">
        <f t="shared" si="66"/>
        <v>16.250943010277979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184</v>
      </c>
      <c r="L73" s="12">
        <f>VLOOKUP(A73,'Données projet'!$A$35:$I$55,9,0)</f>
        <v>3.4</v>
      </c>
      <c r="M73" s="12">
        <f t="array" ref="M73">INDEX(L:L,MIN(IF(ISNUMBER(L73:L269),ROW(L73:L269),"")))</f>
        <v>3.4</v>
      </c>
      <c r="N73" s="13">
        <f>IF('Données projet'!$A$36&gt;35,N72+M73-V72,IF(A73&lt;'Données projet'!$A$36,$K$205^A73,IF(A73='Données projet'!$A$36,'Données projet'!$B$36,N72+M73-V72)))</f>
        <v>184.00000000000003</v>
      </c>
      <c r="O73" s="13">
        <f>N73*VLOOKUP('Données projet'!$B$9,Paramètres!$A$1:$I$89,3,0)*VLOOKUP('Données projet'!$B$9,Paramètres!$A$1:$I$89,5,0)</f>
        <v>160.74240000000003</v>
      </c>
      <c r="P73" s="13">
        <f t="shared" si="87"/>
        <v>41.009920657227809</v>
      </c>
      <c r="Q73" s="20">
        <f t="shared" si="54"/>
        <v>351.38529181133845</v>
      </c>
      <c r="R73" s="59">
        <f t="shared" si="55"/>
        <v>644.71862514467171</v>
      </c>
      <c r="S73" s="59">
        <f ca="1">AVERAGE(OFFSET($R$3,0,0,'Données projet'!$E$9+1,1))-AVERAGE(OFFSET($H$3,0,0,'Données projet'!$E$9+1,1))</f>
        <v>268.31928207836495</v>
      </c>
      <c r="T73" s="59">
        <f t="shared" si="88"/>
        <v>277.61304526670204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12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0.93180961055306522</v>
      </c>
      <c r="AA73" s="21">
        <f>EXP(-LN(2)/25)*AA72+(1-EXP(-LN(2)/25))/(LN(2)/25)*Calculateur!V73*Calculateur!X73*VLOOKUP('Données projet'!$B$9,Paramètres!$A$1:$I$89,3,0)*0.475*44/12</f>
        <v>1.8577683832528049</v>
      </c>
      <c r="AB73" s="21">
        <f>EXP(-LN(2)/2)*AB72+(1-EXP(-LN(2)/2))/(LN(2)/2)*V73*Y73*VLOOKUP('Données projet'!$B$9,Paramètres!$A$1:$I$89,3,0)*0.475*44/12</f>
        <v>7.7854216293392177E-6</v>
      </c>
      <c r="AC73" s="22">
        <f t="shared" si="57"/>
        <v>2.7895857792274992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-3.4106051316484809E-13</v>
      </c>
      <c r="AJ73" s="13">
        <f>AI73*VLOOKUP('Données projet'!$B$10,Paramètres!$A$1:$I$89,3,0)*VLOOKUP('Données projet'!$B$10,Paramètres!$A$1:$I$89,5,0)</f>
        <v>-1.9065282685915009E-13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544.48194192356823</v>
      </c>
      <c r="AO73" s="59">
        <f t="shared" si="90"/>
        <v>668.20427590250733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3.3246128424949619</v>
      </c>
      <c r="AV73" s="21">
        <f>EXP(-LN(2)/25)*AV72+(1-EXP(-LN(2)/25))/(LN(2)/25)*Calculateur!AQ73*Calculateur!AS73*VLOOKUP('Données projet'!$B$10,Paramètres!$A$1:$I$89,3,0)*0.475*44/12</f>
        <v>11.783398210530034</v>
      </c>
      <c r="AW73" s="21">
        <f>EXP(-LN(2)/2)*AW72+(1-EXP(-LN(2)/2))/(LN(2)/2)*AQ73*AT73*VLOOKUP('Données projet'!$B$10,Paramètres!$A$1:$I$89,3,0)*0.475*44/12</f>
        <v>1.5192676504374365E-5</v>
      </c>
      <c r="AX73" s="21">
        <f t="shared" si="60"/>
        <v>15.108026245701499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162.86181551380446</v>
      </c>
      <c r="BJ73" s="59">
        <f t="shared" si="92"/>
        <v>184.96823352120742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1.7939744316507804</v>
      </c>
      <c r="BQ73" s="21">
        <f>EXP(-LN(2)/25)*BQ72+(1-EXP(-LN(2)/25))/(LN(2)/25)*Calculateur!BL73*Calculateur!BN73*VLOOKUP('Données projet'!$B$11,Paramètres!$A$1:$I$89,3,0)*0.475*44/12</f>
        <v>1.0317609080514387</v>
      </c>
      <c r="BR73" s="21">
        <f>EXP(-LN(2)/2)*BR72+(1-EXP(-LN(2)/2))/(LN(2)/2)*BL73*BO73*VLOOKUP('Données projet'!$B$11,Paramètres!$A$1:$I$89,3,0)*0.475*44/12</f>
        <v>1.5920761438713444E-6</v>
      </c>
      <c r="BS73" s="22">
        <f t="shared" si="63"/>
        <v>2.8257369317783629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-5.6843418860808015E-14</v>
      </c>
      <c r="BZ73" s="13">
        <f>BY73*VLOOKUP('Données projet'!$B$12,Paramètres!$A$1:$I$89,3,0)*VLOOKUP('Données projet'!$B$12,Paramètres!$A$1:$I$89,5,0)</f>
        <v>-3.1036506698001178E-14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207.02306964567629</v>
      </c>
      <c r="CE73" s="59">
        <f t="shared" si="94"/>
        <v>342.06887933351783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2.9914486802660805</v>
      </c>
      <c r="CL73" s="21">
        <f>EXP(-LN(2)/25)*CL72+(1-EXP(-LN(2)/25))/(LN(2)/25)*Calculateur!CG73*Calculateur!CI73*VLOOKUP('Données projet'!$B$12,Paramètres!$A$1:$I$89,3,0)*0.475*44/12</f>
        <v>12.838697717094409</v>
      </c>
      <c r="CM73" s="21">
        <f>EXP(-LN(2)/2)*CM72+(1-EXP(-LN(2)/2))/(LN(2)/2)*CG73*CJ73*VLOOKUP('Données projet'!$B$12,Paramètres!$A$1:$I$89,3,0)*0.475*44/12</f>
        <v>1.2659122846508828E-5</v>
      </c>
      <c r="CN73" s="22">
        <f t="shared" si="66"/>
        <v>15.830159056483335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</v>
      </c>
      <c r="N74" s="13">
        <f>IF('Données projet'!$A$36&gt;35,N73+M74-V73,IF(A74&lt;'Données projet'!$A$36,$K$205^A74,IF(A74='Données projet'!$A$36,'Données projet'!$B$36,N73+M74-V73)))</f>
        <v>175.00000000000003</v>
      </c>
      <c r="O74" s="13">
        <f>N74*VLOOKUP('Données projet'!$B$9,Paramètres!$A$1:$I$89,3,0)*VLOOKUP('Données projet'!$B$9,Paramètres!$A$1:$I$89,5,0)</f>
        <v>152.88000000000005</v>
      </c>
      <c r="P74" s="13">
        <f t="shared" si="87"/>
        <v>39.232349774697852</v>
      </c>
      <c r="Q74" s="20">
        <f t="shared" si="54"/>
        <v>334.59567585759885</v>
      </c>
      <c r="R74" s="59">
        <f t="shared" si="55"/>
        <v>627.92900919093222</v>
      </c>
      <c r="S74" s="59">
        <f ca="1">AVERAGE(OFFSET($R$3,0,0,'Données projet'!$E$9+1,1))-AVERAGE(OFFSET($H$3,0,0,'Données projet'!$E$9+1,1))</f>
        <v>268.31928207836495</v>
      </c>
      <c r="T74" s="59">
        <f t="shared" si="88"/>
        <v>277.61304526670204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0.91353739243786236</v>
      </c>
      <c r="AA74" s="21">
        <f>EXP(-LN(2)/25)*AA73+(1-EXP(-LN(2)/25))/(LN(2)/25)*Calculateur!V74*Calculateur!X74*VLOOKUP('Données projet'!$B$9,Paramètres!$A$1:$I$89,3,0)*0.475*44/12</f>
        <v>1.8069676091169637</v>
      </c>
      <c r="AB74" s="21">
        <f>EXP(-LN(2)/2)*AB73+(1-EXP(-LN(2)/2))/(LN(2)/2)*V74*Y74*VLOOKUP('Données projet'!$B$9,Paramètres!$A$1:$I$89,3,0)*0.475*44/12</f>
        <v>5.5051244285021805E-6</v>
      </c>
      <c r="AC74" s="22">
        <f t="shared" si="57"/>
        <v>2.7205105066792545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-3.4106051316484809E-13</v>
      </c>
      <c r="AJ74" s="13">
        <f>AI74*VLOOKUP('Données projet'!$B$10,Paramètres!$A$1:$I$89,3,0)*VLOOKUP('Données projet'!$B$10,Paramètres!$A$1:$I$89,5,0)</f>
        <v>-1.9065282685915009E-13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544.48194192356823</v>
      </c>
      <c r="AO74" s="59">
        <f t="shared" si="90"/>
        <v>668.20427590250733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3.2594192124672396</v>
      </c>
      <c r="AV74" s="21">
        <f>EXP(-LN(2)/25)*AV73+(1-EXP(-LN(2)/25))/(LN(2)/25)*Calculateur!AQ74*Calculateur!AS74*VLOOKUP('Données projet'!$B$10,Paramètres!$A$1:$I$89,3,0)*0.475*44/12</f>
        <v>11.46118056680111</v>
      </c>
      <c r="AW74" s="21">
        <f>EXP(-LN(2)/2)*AW73+(1-EXP(-LN(2)/2))/(LN(2)/2)*AQ74*AT74*VLOOKUP('Données projet'!$B$10,Paramètres!$A$1:$I$89,3,0)*0.475*44/12</f>
        <v>1.0742844580616647E-5</v>
      </c>
      <c r="AX74" s="21">
        <f t="shared" si="60"/>
        <v>14.72061052211293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162.86181551380446</v>
      </c>
      <c r="BJ74" s="59">
        <f t="shared" si="92"/>
        <v>184.96823352120742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1.758795687262467</v>
      </c>
      <c r="BQ74" s="21">
        <f>EXP(-LN(2)/25)*BQ73+(1-EXP(-LN(2)/25))/(LN(2)/25)*Calculateur!BL74*Calculateur!BN74*VLOOKUP('Données projet'!$B$11,Paramètres!$A$1:$I$89,3,0)*0.475*44/12</f>
        <v>1.0035473517628242</v>
      </c>
      <c r="BR74" s="21">
        <f>EXP(-LN(2)/2)*BR73+(1-EXP(-LN(2)/2))/(LN(2)/2)*BL74*BO74*VLOOKUP('Données projet'!$B$11,Paramètres!$A$1:$I$89,3,0)*0.475*44/12</f>
        <v>1.1257678374967571E-6</v>
      </c>
      <c r="BS74" s="22">
        <f t="shared" si="63"/>
        <v>2.7623441647931286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-5.6843418860808015E-14</v>
      </c>
      <c r="BZ74" s="13">
        <f>BY74*VLOOKUP('Données projet'!$B$12,Paramètres!$A$1:$I$89,3,0)*VLOOKUP('Données projet'!$B$12,Paramètres!$A$1:$I$89,5,0)</f>
        <v>-3.1036506698001178E-14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207.02306964567629</v>
      </c>
      <c r="CE74" s="59">
        <f t="shared" si="94"/>
        <v>342.06887933351783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2.932788196249593</v>
      </c>
      <c r="CL74" s="21">
        <f>EXP(-LN(2)/25)*CL73+(1-EXP(-LN(2)/25))/(LN(2)/25)*Calculateur!CG74*Calculateur!CI74*VLOOKUP('Données projet'!$B$12,Paramètres!$A$1:$I$89,3,0)*0.475*44/12</f>
        <v>12.487622852862692</v>
      </c>
      <c r="CM74" s="21">
        <f>EXP(-LN(2)/2)*CM73+(1-EXP(-LN(2)/2))/(LN(2)/2)*CG74*CJ74*VLOOKUP('Données projet'!$B$12,Paramètres!$A$1:$I$89,3,0)*0.475*44/12</f>
        <v>8.951351608639942E-6</v>
      </c>
      <c r="CN74" s="22">
        <f t="shared" si="66"/>
        <v>15.420420000463894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</v>
      </c>
      <c r="N75" s="13">
        <f>IF('Données projet'!$A$36&gt;35,N74+M75-V74,IF(A75&lt;'Données projet'!$A$36,$K$205^A75,IF(A75='Données projet'!$A$36,'Données projet'!$B$36,N74+M75-V74)))</f>
        <v>178.00000000000003</v>
      </c>
      <c r="O75" s="13">
        <f>N75*VLOOKUP('Données projet'!$B$9,Paramètres!$A$1:$I$89,3,0)*VLOOKUP('Données projet'!$B$9,Paramètres!$A$1:$I$89,5,0)</f>
        <v>155.50080000000003</v>
      </c>
      <c r="P75" s="13">
        <f t="shared" si="87"/>
        <v>39.826029828200333</v>
      </c>
      <c r="Q75" s="20">
        <f t="shared" si="54"/>
        <v>340.19422861744891</v>
      </c>
      <c r="R75" s="59">
        <f t="shared" si="55"/>
        <v>633.52756195078223</v>
      </c>
      <c r="S75" s="59">
        <f ca="1">AVERAGE(OFFSET($R$3,0,0,'Données projet'!$E$9+1,1))-AVERAGE(OFFSET($H$3,0,0,'Données projet'!$E$9+1,1))</f>
        <v>268.31928207836495</v>
      </c>
      <c r="T75" s="59">
        <f t="shared" si="88"/>
        <v>277.61304526670204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0.89562348137494607</v>
      </c>
      <c r="AA75" s="21">
        <f>EXP(-LN(2)/25)*AA74+(1-EXP(-LN(2)/25))/(LN(2)/25)*Calculateur!V75*Calculateur!X75*VLOOKUP('Données projet'!$B$9,Paramètres!$A$1:$I$89,3,0)*0.475*44/12</f>
        <v>1.7575559848213638</v>
      </c>
      <c r="AB75" s="21">
        <f>EXP(-LN(2)/2)*AB74+(1-EXP(-LN(2)/2))/(LN(2)/2)*V75*Y75*VLOOKUP('Données projet'!$B$9,Paramètres!$A$1:$I$89,3,0)*0.475*44/12</f>
        <v>3.8927108146696088E-6</v>
      </c>
      <c r="AC75" s="22">
        <f t="shared" si="57"/>
        <v>2.6531833589071243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-3.4106051316484809E-13</v>
      </c>
      <c r="AJ75" s="13">
        <f>AI75*VLOOKUP('Données projet'!$B$10,Paramètres!$A$1:$I$89,3,0)*VLOOKUP('Données projet'!$B$10,Paramètres!$A$1:$I$89,5,0)</f>
        <v>-1.9065282685915009E-13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544.48194192356823</v>
      </c>
      <c r="AO75" s="59">
        <f t="shared" si="90"/>
        <v>668.20427590250733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3.1955039897601729</v>
      </c>
      <c r="AV75" s="21">
        <f>EXP(-LN(2)/25)*AV74+(1-EXP(-LN(2)/25))/(LN(2)/25)*Calculateur!AQ75*Calculateur!AS75*VLOOKUP('Données projet'!$B$10,Paramètres!$A$1:$I$89,3,0)*0.475*44/12</f>
        <v>11.147773981484642</v>
      </c>
      <c r="AW75" s="21">
        <f>EXP(-LN(2)/2)*AW74+(1-EXP(-LN(2)/2))/(LN(2)/2)*AQ75*AT75*VLOOKUP('Données projet'!$B$10,Paramètres!$A$1:$I$89,3,0)*0.475*44/12</f>
        <v>7.596338252187184E-6</v>
      </c>
      <c r="AX75" s="21">
        <f t="shared" si="60"/>
        <v>14.343285567583067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162.86181551380446</v>
      </c>
      <c r="BJ75" s="59">
        <f t="shared" si="92"/>
        <v>184.96823352120742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1.7243067765946931</v>
      </c>
      <c r="BQ75" s="21">
        <f>EXP(-LN(2)/25)*BQ74+(1-EXP(-LN(2)/25))/(LN(2)/25)*Calculateur!BL75*Calculateur!BN75*VLOOKUP('Données projet'!$B$11,Paramètres!$A$1:$I$89,3,0)*0.475*44/12</f>
        <v>0.9761052966546081</v>
      </c>
      <c r="BR75" s="21">
        <f>EXP(-LN(2)/2)*BR74+(1-EXP(-LN(2)/2))/(LN(2)/2)*BL75*BO75*VLOOKUP('Données projet'!$B$11,Paramètres!$A$1:$I$89,3,0)*0.475*44/12</f>
        <v>7.9603807193567221E-7</v>
      </c>
      <c r="BS75" s="22">
        <f t="shared" si="63"/>
        <v>2.7004128692873732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-5.6843418860808015E-14</v>
      </c>
      <c r="BZ75" s="13">
        <f>BY75*VLOOKUP('Données projet'!$B$12,Paramètres!$A$1:$I$89,3,0)*VLOOKUP('Données projet'!$B$12,Paramètres!$A$1:$I$89,5,0)</f>
        <v>-3.1036506698001178E-14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207.02306964567629</v>
      </c>
      <c r="CE75" s="59">
        <f t="shared" si="94"/>
        <v>342.06887933351783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2.8752780085453065</v>
      </c>
      <c r="CL75" s="21">
        <f>EXP(-LN(2)/25)*CL74+(1-EXP(-LN(2)/25))/(LN(2)/25)*Calculateur!CG75*Calculateur!CI75*VLOOKUP('Données projet'!$B$12,Paramètres!$A$1:$I$89,3,0)*0.475*44/12</f>
        <v>12.146148149255618</v>
      </c>
      <c r="CM75" s="21">
        <f>EXP(-LN(2)/2)*CM74+(1-EXP(-LN(2)/2))/(LN(2)/2)*CG75*CJ75*VLOOKUP('Données projet'!$B$12,Paramètres!$A$1:$I$89,3,0)*0.475*44/12</f>
        <v>6.3295614232544138E-6</v>
      </c>
      <c r="CN75" s="22">
        <f t="shared" si="66"/>
        <v>15.021432487362347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</v>
      </c>
      <c r="N76" s="13">
        <f>IF('Données projet'!$A$36&gt;35,N75+M76-V75,IF(A76&lt;'Données projet'!$A$36,$K$205^A76,IF(A76='Données projet'!$A$36,'Données projet'!$B$36,N75+M76-V75)))</f>
        <v>181.00000000000003</v>
      </c>
      <c r="O76" s="13">
        <f>N76*VLOOKUP('Données projet'!$B$9,Paramètres!$A$1:$I$89,3,0)*VLOOKUP('Données projet'!$B$9,Paramètres!$A$1:$I$89,5,0)</f>
        <v>158.12160000000006</v>
      </c>
      <c r="P76" s="13">
        <f t="shared" si="87"/>
        <v>40.418546284954246</v>
      </c>
      <c r="Q76" s="20">
        <f t="shared" si="54"/>
        <v>345.79075477962868</v>
      </c>
      <c r="R76" s="59">
        <f t="shared" si="55"/>
        <v>639.124088112962</v>
      </c>
      <c r="S76" s="59">
        <f ca="1">AVERAGE(OFFSET($R$3,0,0,'Données projet'!$E$9+1,1))-AVERAGE(OFFSET($H$3,0,0,'Données projet'!$E$9+1,1))</f>
        <v>268.31928207836495</v>
      </c>
      <c r="T76" s="59">
        <f t="shared" si="88"/>
        <v>277.61304526670204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0.87806085118156674</v>
      </c>
      <c r="AA76" s="21">
        <f>EXP(-LN(2)/25)*AA75+(1-EXP(-LN(2)/25))/(LN(2)/25)*Calculateur!V76*Calculateur!X76*VLOOKUP('Données projet'!$B$9,Paramètres!$A$1:$I$89,3,0)*0.475*44/12</f>
        <v>1.7094955239905714</v>
      </c>
      <c r="AB76" s="21">
        <f>EXP(-LN(2)/2)*AB75+(1-EXP(-LN(2)/2))/(LN(2)/2)*V76*Y76*VLOOKUP('Données projet'!$B$9,Paramètres!$A$1:$I$89,3,0)*0.475*44/12</f>
        <v>2.7525622142510903E-6</v>
      </c>
      <c r="AC76" s="22">
        <f t="shared" si="57"/>
        <v>2.5875591277343521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-3.4106051316484809E-13</v>
      </c>
      <c r="AJ76" s="13">
        <f>AI76*VLOOKUP('Données projet'!$B$10,Paramètres!$A$1:$I$89,3,0)*VLOOKUP('Données projet'!$B$10,Paramètres!$A$1:$I$89,5,0)</f>
        <v>-1.9065282685915009E-13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544.48194192356823</v>
      </c>
      <c r="AO76" s="59">
        <f t="shared" si="90"/>
        <v>668.20427590250733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3.1328421055859557</v>
      </c>
      <c r="AV76" s="21">
        <f>EXP(-LN(2)/25)*AV75+(1-EXP(-LN(2)/25))/(LN(2)/25)*Calculateur!AQ76*Calculateur!AS76*VLOOKUP('Données projet'!$B$10,Paramètres!$A$1:$I$89,3,0)*0.475*44/12</f>
        <v>10.842937515724989</v>
      </c>
      <c r="AW76" s="21">
        <f>EXP(-LN(2)/2)*AW75+(1-EXP(-LN(2)/2))/(LN(2)/2)*AQ76*AT76*VLOOKUP('Données projet'!$B$10,Paramètres!$A$1:$I$89,3,0)*0.475*44/12</f>
        <v>5.3714222903083243E-6</v>
      </c>
      <c r="AX76" s="21">
        <f t="shared" si="60"/>
        <v>13.975784992733235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162.86181551380446</v>
      </c>
      <c r="BJ76" s="59">
        <f t="shared" si="92"/>
        <v>184.96823352120742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1.6904941724289559</v>
      </c>
      <c r="BQ76" s="21">
        <f>EXP(-LN(2)/25)*BQ75+(1-EXP(-LN(2)/25))/(LN(2)/25)*Calculateur!BL76*Calculateur!BN76*VLOOKUP('Données projet'!$B$11,Paramètres!$A$1:$I$89,3,0)*0.475*44/12</f>
        <v>0.94941364598644118</v>
      </c>
      <c r="BR76" s="21">
        <f>EXP(-LN(2)/2)*BR75+(1-EXP(-LN(2)/2))/(LN(2)/2)*BL76*BO76*VLOOKUP('Données projet'!$B$11,Paramètres!$A$1:$I$89,3,0)*0.475*44/12</f>
        <v>5.6288391874837854E-7</v>
      </c>
      <c r="BS76" s="22">
        <f t="shared" si="63"/>
        <v>2.6399083812993158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-5.6843418860808015E-14</v>
      </c>
      <c r="BZ76" s="13">
        <f>BY76*VLOOKUP('Données projet'!$B$12,Paramètres!$A$1:$I$89,3,0)*VLOOKUP('Données projet'!$B$12,Paramètres!$A$1:$I$89,5,0)</f>
        <v>-3.1036506698001178E-14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207.02306964567629</v>
      </c>
      <c r="CE76" s="59">
        <f t="shared" si="94"/>
        <v>342.06887933351783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2.8188955605441501</v>
      </c>
      <c r="CL76" s="21">
        <f>EXP(-LN(2)/25)*CL75+(1-EXP(-LN(2)/25))/(LN(2)/25)*Calculateur!CG76*Calculateur!CI76*VLOOKUP('Données projet'!$B$12,Paramètres!$A$1:$I$89,3,0)*0.475*44/12</f>
        <v>11.814011089376052</v>
      </c>
      <c r="CM76" s="21">
        <f>EXP(-LN(2)/2)*CM75+(1-EXP(-LN(2)/2))/(LN(2)/2)*CG76*CJ76*VLOOKUP('Données projet'!$B$12,Paramètres!$A$1:$I$89,3,0)*0.475*44/12</f>
        <v>4.475675804319971E-6</v>
      </c>
      <c r="CN76" s="22">
        <f t="shared" si="66"/>
        <v>14.632911125596006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</v>
      </c>
      <c r="N77" s="13">
        <f>IF('Données projet'!$A$36&gt;35,N76+M77-V76,IF(A77&lt;'Données projet'!$A$36,$K$205^A77,IF(A77='Données projet'!$A$36,'Données projet'!$B$36,N76+M77-V76)))</f>
        <v>184.00000000000003</v>
      </c>
      <c r="O77" s="13">
        <f>N77*VLOOKUP('Données projet'!$B$9,Paramètres!$A$1:$I$89,3,0)*VLOOKUP('Données projet'!$B$9,Paramètres!$A$1:$I$89,5,0)</f>
        <v>160.74240000000003</v>
      </c>
      <c r="P77" s="13">
        <f t="shared" si="87"/>
        <v>41.009920657227809</v>
      </c>
      <c r="Q77" s="20">
        <f t="shared" si="54"/>
        <v>351.38529181133845</v>
      </c>
      <c r="R77" s="59">
        <f t="shared" si="55"/>
        <v>644.71862514467171</v>
      </c>
      <c r="S77" s="59">
        <f ca="1">AVERAGE(OFFSET($R$3,0,0,'Données projet'!$E$9+1,1))-AVERAGE(OFFSET($H$3,0,0,'Données projet'!$E$9+1,1))</f>
        <v>268.31928207836495</v>
      </c>
      <c r="T77" s="59">
        <f t="shared" si="88"/>
        <v>277.61304526670204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0.86084261345413282</v>
      </c>
      <c r="AA77" s="21">
        <f>EXP(-LN(2)/25)*AA76+(1-EXP(-LN(2)/25))/(LN(2)/25)*Calculateur!V77*Calculateur!X77*VLOOKUP('Données projet'!$B$9,Paramètres!$A$1:$I$89,3,0)*0.475*44/12</f>
        <v>1.6627492789885867</v>
      </c>
      <c r="AB77" s="21">
        <f>EXP(-LN(2)/2)*AB76+(1-EXP(-LN(2)/2))/(LN(2)/2)*V77*Y77*VLOOKUP('Données projet'!$B$9,Paramètres!$A$1:$I$89,3,0)*0.475*44/12</f>
        <v>1.9463554073348044E-6</v>
      </c>
      <c r="AC77" s="22">
        <f t="shared" si="57"/>
        <v>2.5235938387981269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-3.4106051316484809E-13</v>
      </c>
      <c r="AJ77" s="13">
        <f>AI77*VLOOKUP('Données projet'!$B$10,Paramètres!$A$1:$I$89,3,0)*VLOOKUP('Données projet'!$B$10,Paramètres!$A$1:$I$89,5,0)</f>
        <v>-1.9065282685915009E-13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544.48194192356823</v>
      </c>
      <c r="AO77" s="59">
        <f t="shared" si="90"/>
        <v>668.20427590250733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3.0714089827404192</v>
      </c>
      <c r="AV77" s="21">
        <f>EXP(-LN(2)/25)*AV76+(1-EXP(-LN(2)/25))/(LN(2)/25)*Calculateur!AQ77*Calculateur!AS77*VLOOKUP('Données projet'!$B$10,Paramètres!$A$1:$I$89,3,0)*0.475*44/12</f>
        <v>10.546436819152188</v>
      </c>
      <c r="AW77" s="21">
        <f>EXP(-LN(2)/2)*AW76+(1-EXP(-LN(2)/2))/(LN(2)/2)*AQ77*AT77*VLOOKUP('Données projet'!$B$10,Paramètres!$A$1:$I$89,3,0)*0.475*44/12</f>
        <v>3.7981691260935924E-6</v>
      </c>
      <c r="AX77" s="21">
        <f t="shared" si="60"/>
        <v>13.617849600061733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162.86181551380446</v>
      </c>
      <c r="BJ77" s="59">
        <f t="shared" si="92"/>
        <v>184.96823352120742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1.6573446128072566</v>
      </c>
      <c r="BQ77" s="21">
        <f>EXP(-LN(2)/25)*BQ76+(1-EXP(-LN(2)/25))/(LN(2)/25)*Calculateur!BL77*Calculateur!BN77*VLOOKUP('Données projet'!$B$11,Paramètres!$A$1:$I$89,3,0)*0.475*44/12</f>
        <v>0.92345187990944821</v>
      </c>
      <c r="BR77" s="21">
        <f>EXP(-LN(2)/2)*BR76+(1-EXP(-LN(2)/2))/(LN(2)/2)*BL77*BO77*VLOOKUP('Données projet'!$B$11,Paramètres!$A$1:$I$89,3,0)*0.475*44/12</f>
        <v>3.980190359678361E-7</v>
      </c>
      <c r="BS77" s="22">
        <f t="shared" si="63"/>
        <v>2.580796890735741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-5.6843418860808015E-14</v>
      </c>
      <c r="BZ77" s="13">
        <f>BY77*VLOOKUP('Données projet'!$B$12,Paramètres!$A$1:$I$89,3,0)*VLOOKUP('Données projet'!$B$12,Paramètres!$A$1:$I$89,5,0)</f>
        <v>-3.1036506698001178E-14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207.02306964567629</v>
      </c>
      <c r="CE77" s="59">
        <f t="shared" si="94"/>
        <v>342.06887933351783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2.763618737958399</v>
      </c>
      <c r="CL77" s="21">
        <f>EXP(-LN(2)/25)*CL76+(1-EXP(-LN(2)/25))/(LN(2)/25)*Calculateur!CG77*Calculateur!CI77*VLOOKUP('Données projet'!$B$12,Paramètres!$A$1:$I$89,3,0)*0.475*44/12</f>
        <v>11.490956334865222</v>
      </c>
      <c r="CM77" s="21">
        <f>EXP(-LN(2)/2)*CM76+(1-EXP(-LN(2)/2))/(LN(2)/2)*CG77*CJ77*VLOOKUP('Données projet'!$B$12,Paramètres!$A$1:$I$89,3,0)*0.475*44/12</f>
        <v>3.1647807116272069E-6</v>
      </c>
      <c r="CN77" s="22">
        <f t="shared" si="66"/>
        <v>14.254578237604333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187</v>
      </c>
      <c r="L78" s="12">
        <f>VLOOKUP(A78,'Données projet'!$A$35:$I$55,9,0)</f>
        <v>3</v>
      </c>
      <c r="M78" s="12">
        <f t="array" ref="M78">INDEX(L:L,MIN(IF(ISNUMBER(L78:L274),ROW(L78:L274),"")))</f>
        <v>3</v>
      </c>
      <c r="N78" s="13">
        <f>IF('Données projet'!$A$36&gt;35,N77+M78-V77,IF(A78&lt;'Données projet'!$A$36,$K$205^A78,IF(A78='Données projet'!$A$36,'Données projet'!$B$36,N77+M78-V77)))</f>
        <v>187.00000000000003</v>
      </c>
      <c r="O78" s="13">
        <f>N78*VLOOKUP('Données projet'!$B$9,Paramètres!$A$1:$I$89,3,0)*VLOOKUP('Données projet'!$B$9,Paramètres!$A$1:$I$89,5,0)</f>
        <v>163.36320000000003</v>
      </c>
      <c r="P78" s="13">
        <f t="shared" si="87"/>
        <v>41.600173715581626</v>
      </c>
      <c r="Q78" s="20">
        <f t="shared" si="54"/>
        <v>356.97787588797138</v>
      </c>
      <c r="R78" s="59">
        <f t="shared" si="55"/>
        <v>650.31120922130469</v>
      </c>
      <c r="S78" s="59">
        <f ca="1">AVERAGE(OFFSET($R$3,0,0,'Données projet'!$E$9+1,1))-AVERAGE(OFFSET($H$3,0,0,'Données projet'!$E$9+1,1))</f>
        <v>268.31928207836495</v>
      </c>
      <c r="T78" s="59">
        <f t="shared" si="88"/>
        <v>277.61304526670204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11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0.84396201486644595</v>
      </c>
      <c r="AA78" s="21">
        <f>EXP(-LN(2)/25)*AA77+(1-EXP(-LN(2)/25))/(LN(2)/25)*Calculateur!V78*Calculateur!X78*VLOOKUP('Données projet'!$B$9,Paramètres!$A$1:$I$89,3,0)*0.475*44/12</f>
        <v>1.6172813125144594</v>
      </c>
      <c r="AB78" s="21">
        <f>EXP(-LN(2)/2)*AB77+(1-EXP(-LN(2)/2))/(LN(2)/2)*V78*Y78*VLOOKUP('Données projet'!$B$9,Paramètres!$A$1:$I$89,3,0)*0.475*44/12</f>
        <v>1.3762811071255451E-6</v>
      </c>
      <c r="AC78" s="22">
        <f t="shared" si="57"/>
        <v>2.4612447036620124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-3.4106051316484809E-13</v>
      </c>
      <c r="AJ78" s="13">
        <f>AI78*VLOOKUP('Données projet'!$B$10,Paramètres!$A$1:$I$89,3,0)*VLOOKUP('Données projet'!$B$10,Paramètres!$A$1:$I$89,5,0)</f>
        <v>-1.9065282685915009E-13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544.48194192356823</v>
      </c>
      <c r="AO78" s="59">
        <f t="shared" si="90"/>
        <v>668.20427590250733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3.0111805259633786</v>
      </c>
      <c r="AV78" s="21">
        <f>EXP(-LN(2)/25)*AV77+(1-EXP(-LN(2)/25))/(LN(2)/25)*Calculateur!AQ78*Calculateur!AS78*VLOOKUP('Données projet'!$B$10,Paramètres!$A$1:$I$89,3,0)*0.475*44/12</f>
        <v>10.258043949719463</v>
      </c>
      <c r="AW78" s="21">
        <f>EXP(-LN(2)/2)*AW77+(1-EXP(-LN(2)/2))/(LN(2)/2)*AQ78*AT78*VLOOKUP('Données projet'!$B$10,Paramètres!$A$1:$I$89,3,0)*0.475*44/12</f>
        <v>2.6857111451541626E-6</v>
      </c>
      <c r="AX78" s="21">
        <f t="shared" si="60"/>
        <v>13.269227161393987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162.86181551380446</v>
      </c>
      <c r="BJ78" s="59">
        <f t="shared" si="92"/>
        <v>184.96823352120742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1.6248450958305041</v>
      </c>
      <c r="BQ78" s="21">
        <f>EXP(-LN(2)/25)*BQ77+(1-EXP(-LN(2)/25))/(LN(2)/25)*Calculateur!BL78*Calculateur!BN78*VLOOKUP('Données projet'!$B$11,Paramètres!$A$1:$I$89,3,0)*0.475*44/12</f>
        <v>0.89820003969110052</v>
      </c>
      <c r="BR78" s="21">
        <f>EXP(-LN(2)/2)*BR77+(1-EXP(-LN(2)/2))/(LN(2)/2)*BL78*BO78*VLOOKUP('Données projet'!$B$11,Paramètres!$A$1:$I$89,3,0)*0.475*44/12</f>
        <v>2.8144195937418927E-7</v>
      </c>
      <c r="BS78" s="22">
        <f t="shared" si="63"/>
        <v>2.5230454169635639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-5.6843418860808015E-14</v>
      </c>
      <c r="BZ78" s="13">
        <f>BY78*VLOOKUP('Données projet'!$B$12,Paramètres!$A$1:$I$89,3,0)*VLOOKUP('Données projet'!$B$12,Paramètres!$A$1:$I$89,5,0)</f>
        <v>-3.1036506698001178E-14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207.02306964567629</v>
      </c>
      <c r="CE78" s="59">
        <f t="shared" si="94"/>
        <v>342.06887933351783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2.7094258601480217</v>
      </c>
      <c r="CL78" s="21">
        <f>EXP(-LN(2)/25)*CL77+(1-EXP(-LN(2)/25))/(LN(2)/25)*Calculateur!CG78*Calculateur!CI78*VLOOKUP('Données projet'!$B$12,Paramètres!$A$1:$I$89,3,0)*0.475*44/12</f>
        <v>11.176735529605201</v>
      </c>
      <c r="CM78" s="21">
        <f>EXP(-LN(2)/2)*CM77+(1-EXP(-LN(2)/2))/(LN(2)/2)*CG78*CJ78*VLOOKUP('Données projet'!$B$12,Paramètres!$A$1:$I$89,3,0)*0.475*44/12</f>
        <v>2.2378379021599855E-6</v>
      </c>
      <c r="CN78" s="22">
        <f t="shared" si="66"/>
        <v>13.886163627591126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2.6</v>
      </c>
      <c r="N79" s="13">
        <f>IF('Données projet'!$A$36&gt;35,N78+M79-V78,IF(A79&lt;'Données projet'!$A$36,$K$205^A79,IF(A79='Données projet'!$A$36,'Données projet'!$B$36,N78+M79-V78)))</f>
        <v>178.60000000000002</v>
      </c>
      <c r="O79" s="13">
        <f>N79*VLOOKUP('Données projet'!$B$9,Paramètres!$A$1:$I$89,3,0)*VLOOKUP('Données projet'!$B$9,Paramètres!$A$1:$I$89,5,0)</f>
        <v>156.02496000000005</v>
      </c>
      <c r="P79" s="13">
        <f t="shared" si="87"/>
        <v>39.944625507905997</v>
      </c>
      <c r="Q79" s="20">
        <f t="shared" si="54"/>
        <v>341.31369475960304</v>
      </c>
      <c r="R79" s="59">
        <f t="shared" si="55"/>
        <v>634.64702809293635</v>
      </c>
      <c r="S79" s="59">
        <f ca="1">AVERAGE(OFFSET($R$3,0,0,'Données projet'!$E$9+1,1))-AVERAGE(OFFSET($H$3,0,0,'Données projet'!$E$9+1,1))</f>
        <v>268.31928207836495</v>
      </c>
      <c r="T79" s="59">
        <f t="shared" si="88"/>
        <v>277.61304526670204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0.82741243452091506</v>
      </c>
      <c r="AA79" s="21">
        <f>EXP(-LN(2)/25)*AA78+(1-EXP(-LN(2)/25))/(LN(2)/25)*Calculateur!V79*Calculateur!X79*VLOOKUP('Données projet'!$B$9,Paramètres!$A$1:$I$89,3,0)*0.475*44/12</f>
        <v>1.5730566699746236</v>
      </c>
      <c r="AB79" s="21">
        <f>EXP(-LN(2)/2)*AB78+(1-EXP(-LN(2)/2))/(LN(2)/2)*V79*Y79*VLOOKUP('Données projet'!$B$9,Paramètres!$A$1:$I$89,3,0)*0.475*44/12</f>
        <v>9.7317770366740221E-7</v>
      </c>
      <c r="AC79" s="22">
        <f t="shared" si="57"/>
        <v>2.4004700776732424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-3.4106051316484809E-13</v>
      </c>
      <c r="AJ79" s="13">
        <f>AI79*VLOOKUP('Données projet'!$B$10,Paramètres!$A$1:$I$89,3,0)*VLOOKUP('Données projet'!$B$10,Paramètres!$A$1:$I$89,5,0)</f>
        <v>-1.9065282685915009E-13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544.48194192356823</v>
      </c>
      <c r="AO79" s="59">
        <f t="shared" si="90"/>
        <v>668.20427590250733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2.9521331124880046</v>
      </c>
      <c r="AV79" s="21">
        <f>EXP(-LN(2)/25)*AV78+(1-EXP(-LN(2)/25))/(LN(2)/25)*Calculateur!AQ79*Calculateur!AS79*VLOOKUP('Données projet'!$B$10,Paramètres!$A$1:$I$89,3,0)*0.475*44/12</f>
        <v>9.9775371984672976</v>
      </c>
      <c r="AW79" s="21">
        <f>EXP(-LN(2)/2)*AW78+(1-EXP(-LN(2)/2))/(LN(2)/2)*AQ79*AT79*VLOOKUP('Données projet'!$B$10,Paramètres!$A$1:$I$89,3,0)*0.475*44/12</f>
        <v>1.8990845630467966E-6</v>
      </c>
      <c r="AX79" s="21">
        <f t="shared" si="60"/>
        <v>12.929672210039865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162.86181551380446</v>
      </c>
      <c r="BJ79" s="59">
        <f t="shared" si="92"/>
        <v>184.96823352120742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1.5929828745589176</v>
      </c>
      <c r="BQ79" s="21">
        <f>EXP(-LN(2)/25)*BQ78+(1-EXP(-LN(2)/25))/(LN(2)/25)*Calculateur!BL79*Calculateur!BN79*VLOOKUP('Données projet'!$B$11,Paramètres!$A$1:$I$89,3,0)*0.475*44/12</f>
        <v>0.87363871237146018</v>
      </c>
      <c r="BR79" s="21">
        <f>EXP(-LN(2)/2)*BR78+(1-EXP(-LN(2)/2))/(LN(2)/2)*BL79*BO79*VLOOKUP('Données projet'!$B$11,Paramètres!$A$1:$I$89,3,0)*0.475*44/12</f>
        <v>1.9900951798391805E-7</v>
      </c>
      <c r="BS79" s="22">
        <f t="shared" si="63"/>
        <v>2.4666217859398962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-5.6843418860808015E-14</v>
      </c>
      <c r="BZ79" s="13">
        <f>BY79*VLOOKUP('Données projet'!$B$12,Paramètres!$A$1:$I$89,3,0)*VLOOKUP('Données projet'!$B$12,Paramètres!$A$1:$I$89,5,0)</f>
        <v>-3.1036506698001178E-14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207.02306964567629</v>
      </c>
      <c r="CE79" s="59">
        <f t="shared" si="94"/>
        <v>342.06887933351783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2.6562956716171144</v>
      </c>
      <c r="CL79" s="21">
        <f>EXP(-LN(2)/25)*CL78+(1-EXP(-LN(2)/25))/(LN(2)/25)*Calculateur!CG79*Calculateur!CI79*VLOOKUP('Données projet'!$B$12,Paramètres!$A$1:$I$89,3,0)*0.475*44/12</f>
        <v>10.87110710878917</v>
      </c>
      <c r="CM79" s="21">
        <f>EXP(-LN(2)/2)*CM78+(1-EXP(-LN(2)/2))/(LN(2)/2)*CG79*CJ79*VLOOKUP('Données projet'!$B$12,Paramètres!$A$1:$I$89,3,0)*0.475*44/12</f>
        <v>1.5823903558136035E-6</v>
      </c>
      <c r="CN79" s="22">
        <f t="shared" si="66"/>
        <v>13.52740436279664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2.6</v>
      </c>
      <c r="N80" s="13">
        <f>IF('Données projet'!$A$36&gt;35,N79+M80-V79,IF(A80&lt;'Données projet'!$A$36,$K$205^A80,IF(A80='Données projet'!$A$36,'Données projet'!$B$36,N79+M80-V79)))</f>
        <v>181.20000000000002</v>
      </c>
      <c r="O80" s="13">
        <f>N80*VLOOKUP('Données projet'!$B$9,Paramètres!$A$1:$I$89,3,0)*VLOOKUP('Données projet'!$B$9,Paramètres!$A$1:$I$89,5,0)</f>
        <v>158.29632000000004</v>
      </c>
      <c r="P80" s="13">
        <f t="shared" si="87"/>
        <v>40.458006540983739</v>
      </c>
      <c r="Q80" s="20">
        <f t="shared" si="54"/>
        <v>346.16378539221341</v>
      </c>
      <c r="R80" s="59">
        <f t="shared" si="55"/>
        <v>639.49711872554667</v>
      </c>
      <c r="S80" s="59">
        <f ca="1">AVERAGE(OFFSET($R$3,0,0,'Données projet'!$E$9+1,1))-AVERAGE(OFFSET($H$3,0,0,'Données projet'!$E$9+1,1))</f>
        <v>268.31928207836495</v>
      </c>
      <c r="T80" s="59">
        <f t="shared" si="88"/>
        <v>277.61304526670204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0.81118738135171276</v>
      </c>
      <c r="AA80" s="21">
        <f>EXP(-LN(2)/25)*AA79+(1-EXP(-LN(2)/25))/(LN(2)/25)*Calculateur!V80*Calculateur!X80*VLOOKUP('Données projet'!$B$9,Paramètres!$A$1:$I$89,3,0)*0.475*44/12</f>
        <v>1.5300413526107124</v>
      </c>
      <c r="AB80" s="21">
        <f>EXP(-LN(2)/2)*AB79+(1-EXP(-LN(2)/2))/(LN(2)/2)*V80*Y80*VLOOKUP('Données projet'!$B$9,Paramètres!$A$1:$I$89,3,0)*0.475*44/12</f>
        <v>6.8814055356277257E-7</v>
      </c>
      <c r="AC80" s="22">
        <f t="shared" si="57"/>
        <v>2.3412294221029786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-3.4106051316484809E-13</v>
      </c>
      <c r="AJ80" s="13">
        <f>AI80*VLOOKUP('Données projet'!$B$10,Paramètres!$A$1:$I$89,3,0)*VLOOKUP('Données projet'!$B$10,Paramètres!$A$1:$I$89,5,0)</f>
        <v>-1.9065282685915009E-13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544.48194192356823</v>
      </c>
      <c r="AO80" s="59">
        <f t="shared" si="90"/>
        <v>668.20427590250733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2.8942435827755166</v>
      </c>
      <c r="AV80" s="21">
        <f>EXP(-LN(2)/25)*AV79+(1-EXP(-LN(2)/25))/(LN(2)/25)*Calculateur!AQ80*Calculateur!AS80*VLOOKUP('Données projet'!$B$10,Paramètres!$A$1:$I$89,3,0)*0.475*44/12</f>
        <v>9.7047009190793325</v>
      </c>
      <c r="AW80" s="21">
        <f>EXP(-LN(2)/2)*AW79+(1-EXP(-LN(2)/2))/(LN(2)/2)*AQ80*AT80*VLOOKUP('Données projet'!$B$10,Paramètres!$A$1:$I$89,3,0)*0.475*44/12</f>
        <v>1.3428555725770815E-6</v>
      </c>
      <c r="AX80" s="21">
        <f t="shared" si="60"/>
        <v>12.598945844710421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162.86181551380446</v>
      </c>
      <c r="BJ80" s="59">
        <f t="shared" si="92"/>
        <v>184.96823352120742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1.561745452012431</v>
      </c>
      <c r="BQ80" s="21">
        <f>EXP(-LN(2)/25)*BQ79+(1-EXP(-LN(2)/25))/(LN(2)/25)*Calculateur!BL80*Calculateur!BN80*VLOOKUP('Données projet'!$B$11,Paramètres!$A$1:$I$89,3,0)*0.475*44/12</f>
        <v>0.84974901583899942</v>
      </c>
      <c r="BR80" s="21">
        <f>EXP(-LN(2)/2)*BR79+(1-EXP(-LN(2)/2))/(LN(2)/2)*BL80*BO80*VLOOKUP('Données projet'!$B$11,Paramètres!$A$1:$I$89,3,0)*0.475*44/12</f>
        <v>1.4072097968709463E-7</v>
      </c>
      <c r="BS80" s="22">
        <f t="shared" si="63"/>
        <v>2.41149460857241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-5.6843418860808015E-14</v>
      </c>
      <c r="BZ80" s="13">
        <f>BY80*VLOOKUP('Données projet'!$B$12,Paramètres!$A$1:$I$89,3,0)*VLOOKUP('Données projet'!$B$12,Paramètres!$A$1:$I$89,5,0)</f>
        <v>-3.1036506698001178E-14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207.02306964567629</v>
      </c>
      <c r="CE80" s="59">
        <f t="shared" si="94"/>
        <v>342.06887933351783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2.604207333677083</v>
      </c>
      <c r="CL80" s="21">
        <f>EXP(-LN(2)/25)*CL79+(1-EXP(-LN(2)/25))/(LN(2)/25)*Calculateur!CG80*Calculateur!CI80*VLOOKUP('Données projet'!$B$12,Paramètres!$A$1:$I$89,3,0)*0.475*44/12</f>
        <v>10.573836113212653</v>
      </c>
      <c r="CM80" s="21">
        <f>EXP(-LN(2)/2)*CM79+(1-EXP(-LN(2)/2))/(LN(2)/2)*CG80*CJ80*VLOOKUP('Données projet'!$B$12,Paramètres!$A$1:$I$89,3,0)*0.475*44/12</f>
        <v>1.1189189510799928E-6</v>
      </c>
      <c r="CN80" s="22">
        <f t="shared" si="66"/>
        <v>13.178044565808687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2.6</v>
      </c>
      <c r="N81" s="13">
        <f>IF('Données projet'!$A$36&gt;35,N80+M81-V80,IF(A81&lt;'Données projet'!$A$36,$K$205^A81,IF(A81='Données projet'!$A$36,'Données projet'!$B$36,N80+M81-V80)))</f>
        <v>183.8</v>
      </c>
      <c r="O81" s="13">
        <f>N81*VLOOKUP('Données projet'!$B$9,Paramètres!$A$1:$I$89,3,0)*VLOOKUP('Données projet'!$B$9,Paramètres!$A$1:$I$89,5,0)</f>
        <v>160.56768000000002</v>
      </c>
      <c r="P81" s="13">
        <f t="shared" si="87"/>
        <v>40.970530810309882</v>
      </c>
      <c r="Q81" s="20">
        <f t="shared" si="54"/>
        <v>351.0123838279564</v>
      </c>
      <c r="R81" s="59">
        <f t="shared" si="55"/>
        <v>644.34571716128971</v>
      </c>
      <c r="S81" s="59">
        <f ca="1">AVERAGE(OFFSET($R$3,0,0,'Données projet'!$E$9+1,1))-AVERAGE(OFFSET($H$3,0,0,'Données projet'!$E$9+1,1))</f>
        <v>268.31928207836495</v>
      </c>
      <c r="T81" s="59">
        <f t="shared" si="88"/>
        <v>277.61304526670204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0.79528049157885328</v>
      </c>
      <c r="AA81" s="21">
        <f>EXP(-LN(2)/25)*AA80+(1-EXP(-LN(2)/25))/(LN(2)/25)*Calculateur!V81*Calculateur!X81*VLOOKUP('Données projet'!$B$9,Paramètres!$A$1:$I$89,3,0)*0.475*44/12</f>
        <v>1.4882022913621946</v>
      </c>
      <c r="AB81" s="21">
        <f>EXP(-LN(2)/2)*AB80+(1-EXP(-LN(2)/2))/(LN(2)/2)*V81*Y81*VLOOKUP('Données projet'!$B$9,Paramètres!$A$1:$I$89,3,0)*0.475*44/12</f>
        <v>4.865888518337011E-7</v>
      </c>
      <c r="AC81" s="22">
        <f t="shared" si="57"/>
        <v>2.2834832695298997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-3.4106051316484809E-13</v>
      </c>
      <c r="AJ81" s="13">
        <f>AI81*VLOOKUP('Données projet'!$B$10,Paramètres!$A$1:$I$89,3,0)*VLOOKUP('Données projet'!$B$10,Paramètres!$A$1:$I$89,5,0)</f>
        <v>-1.9065282685915009E-13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544.48194192356823</v>
      </c>
      <c r="AO81" s="59">
        <f t="shared" si="90"/>
        <v>668.20427590250733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2.8374892314315638</v>
      </c>
      <c r="AV81" s="21">
        <f>EXP(-LN(2)/25)*AV80+(1-EXP(-LN(2)/25))/(LN(2)/25)*Calculateur!AQ81*Calculateur!AS81*VLOOKUP('Données projet'!$B$10,Paramètres!$A$1:$I$89,3,0)*0.475*44/12</f>
        <v>9.4393253620990674</v>
      </c>
      <c r="AW81" s="21">
        <f>EXP(-LN(2)/2)*AW80+(1-EXP(-LN(2)/2))/(LN(2)/2)*AQ81*AT81*VLOOKUP('Données projet'!$B$10,Paramètres!$A$1:$I$89,3,0)*0.475*44/12</f>
        <v>9.4954228152339842E-7</v>
      </c>
      <c r="AX81" s="21">
        <f t="shared" si="60"/>
        <v>12.276815543072912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162.86181551380446</v>
      </c>
      <c r="BJ81" s="59">
        <f t="shared" si="92"/>
        <v>184.96823352120742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1.5311205762691344</v>
      </c>
      <c r="BQ81" s="21">
        <f>EXP(-LN(2)/25)*BQ80+(1-EXP(-LN(2)/25))/(LN(2)/25)*Calculateur!BL81*Calculateur!BN81*VLOOKUP('Données projet'!$B$11,Paramètres!$A$1:$I$89,3,0)*0.475*44/12</f>
        <v>0.82651258431452335</v>
      </c>
      <c r="BR81" s="21">
        <f>EXP(-LN(2)/2)*BR80+(1-EXP(-LN(2)/2))/(LN(2)/2)*BL81*BO81*VLOOKUP('Données projet'!$B$11,Paramètres!$A$1:$I$89,3,0)*0.475*44/12</f>
        <v>9.9504758991959026E-8</v>
      </c>
      <c r="BS81" s="22">
        <f t="shared" si="63"/>
        <v>2.3576332600884169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-5.6843418860808015E-14</v>
      </c>
      <c r="BZ81" s="13">
        <f>BY81*VLOOKUP('Données projet'!$B$12,Paramètres!$A$1:$I$89,3,0)*VLOOKUP('Données projet'!$B$12,Paramètres!$A$1:$I$89,5,0)</f>
        <v>-3.1036506698001178E-14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207.02306964567629</v>
      </c>
      <c r="CE81" s="59">
        <f t="shared" si="94"/>
        <v>342.06887933351783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2.5531404162733065</v>
      </c>
      <c r="CL81" s="21">
        <f>EXP(-LN(2)/25)*CL80+(1-EXP(-LN(2)/25))/(LN(2)/25)*Calculateur!CG81*Calculateur!CI81*VLOOKUP('Données projet'!$B$12,Paramètres!$A$1:$I$89,3,0)*0.475*44/12</f>
        <v>10.28469400864298</v>
      </c>
      <c r="CM81" s="21">
        <f>EXP(-LN(2)/2)*CM80+(1-EXP(-LN(2)/2))/(LN(2)/2)*CG81*CJ81*VLOOKUP('Données projet'!$B$12,Paramètres!$A$1:$I$89,3,0)*0.475*44/12</f>
        <v>7.9119517790680173E-7</v>
      </c>
      <c r="CN81" s="22">
        <f t="shared" si="66"/>
        <v>12.837835216111465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2.6</v>
      </c>
      <c r="N82" s="13">
        <f>IF('Données projet'!$A$36&gt;35,N81+M82-V81,IF(A82&lt;'Données projet'!$A$36,$K$205^A82,IF(A82='Données projet'!$A$36,'Données projet'!$B$36,N81+M82-V81)))</f>
        <v>186.4</v>
      </c>
      <c r="O82" s="13">
        <f>N82*VLOOKUP('Données projet'!$B$9,Paramètres!$A$1:$I$89,3,0)*VLOOKUP('Données projet'!$B$9,Paramètres!$A$1:$I$89,5,0)</f>
        <v>162.83904000000004</v>
      </c>
      <c r="P82" s="13">
        <f t="shared" si="87"/>
        <v>41.482211836000111</v>
      </c>
      <c r="Q82" s="20">
        <f t="shared" si="54"/>
        <v>355.85951361436696</v>
      </c>
      <c r="R82" s="59">
        <f t="shared" si="55"/>
        <v>649.19284694770022</v>
      </c>
      <c r="S82" s="59">
        <f ca="1">AVERAGE(OFFSET($R$3,0,0,'Données projet'!$E$9+1,1))-AVERAGE(OFFSET($H$3,0,0,'Données projet'!$E$9+1,1))</f>
        <v>268.31928207836495</v>
      </c>
      <c r="T82" s="59">
        <f t="shared" si="88"/>
        <v>277.61304526670204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0.77968552621219478</v>
      </c>
      <c r="AA82" s="21">
        <f>EXP(-LN(2)/25)*AA81+(1-EXP(-LN(2)/25))/(LN(2)/25)*Calculateur!V82*Calculateur!X82*VLOOKUP('Données projet'!$B$9,Paramètres!$A$1:$I$89,3,0)*0.475*44/12</f>
        <v>1.4475073214437382</v>
      </c>
      <c r="AB82" s="21">
        <f>EXP(-LN(2)/2)*AB81+(1-EXP(-LN(2)/2))/(LN(2)/2)*V82*Y82*VLOOKUP('Données projet'!$B$9,Paramètres!$A$1:$I$89,3,0)*0.475*44/12</f>
        <v>3.4407027678138628E-7</v>
      </c>
      <c r="AC82" s="22">
        <f t="shared" si="57"/>
        <v>2.2271931917262098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-3.4106051316484809E-13</v>
      </c>
      <c r="AJ82" s="13">
        <f>AI82*VLOOKUP('Données projet'!$B$10,Paramètres!$A$1:$I$89,3,0)*VLOOKUP('Données projet'!$B$10,Paramètres!$A$1:$I$89,5,0)</f>
        <v>-1.9065282685915009E-13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544.48194192356823</v>
      </c>
      <c r="AO82" s="59">
        <f t="shared" si="90"/>
        <v>668.20427590250733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2.7818477983007299</v>
      </c>
      <c r="AV82" s="21">
        <f>EXP(-LN(2)/25)*AV81+(1-EXP(-LN(2)/25))/(LN(2)/25)*Calculateur!AQ82*Calculateur!AS82*VLOOKUP('Données projet'!$B$10,Paramètres!$A$1:$I$89,3,0)*0.475*44/12</f>
        <v>9.1812065136799212</v>
      </c>
      <c r="AW82" s="21">
        <f>EXP(-LN(2)/2)*AW81+(1-EXP(-LN(2)/2))/(LN(2)/2)*AQ82*AT82*VLOOKUP('Données projet'!$B$10,Paramètres!$A$1:$I$89,3,0)*0.475*44/12</f>
        <v>6.7142778628854086E-7</v>
      </c>
      <c r="AX82" s="21">
        <f t="shared" si="60"/>
        <v>11.963054983408437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162.86181551380446</v>
      </c>
      <c r="BJ82" s="59">
        <f t="shared" si="92"/>
        <v>184.96823352120742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1.5010962356598341</v>
      </c>
      <c r="BQ82" s="21">
        <f>EXP(-LN(2)/25)*BQ81+(1-EXP(-LN(2)/25))/(LN(2)/25)*Calculateur!BL82*Calculateur!BN82*VLOOKUP('Données projet'!$B$11,Paramètres!$A$1:$I$89,3,0)*0.475*44/12</f>
        <v>0.80391155423203486</v>
      </c>
      <c r="BR82" s="21">
        <f>EXP(-LN(2)/2)*BR81+(1-EXP(-LN(2)/2))/(LN(2)/2)*BL82*BO82*VLOOKUP('Données projet'!$B$11,Paramètres!$A$1:$I$89,3,0)*0.475*44/12</f>
        <v>7.0360489843547317E-8</v>
      </c>
      <c r="BS82" s="22">
        <f t="shared" si="63"/>
        <v>2.3050078602523589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-5.6843418860808015E-14</v>
      </c>
      <c r="BZ82" s="13">
        <f>BY82*VLOOKUP('Données projet'!$B$12,Paramètres!$A$1:$I$89,3,0)*VLOOKUP('Données projet'!$B$12,Paramètres!$A$1:$I$89,5,0)</f>
        <v>-3.1036506698001178E-14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207.02306964567629</v>
      </c>
      <c r="CE82" s="59">
        <f t="shared" si="94"/>
        <v>342.06887933351783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2.5030748899720741</v>
      </c>
      <c r="CL82" s="21">
        <f>EXP(-LN(2)/25)*CL81+(1-EXP(-LN(2)/25))/(LN(2)/25)*Calculateur!CG82*Calculateur!CI82*VLOOKUP('Données projet'!$B$12,Paramètres!$A$1:$I$89,3,0)*0.475*44/12</f>
        <v>10.003458510128086</v>
      </c>
      <c r="CM82" s="21">
        <f>EXP(-LN(2)/2)*CM81+(1-EXP(-LN(2)/2))/(LN(2)/2)*CG82*CJ82*VLOOKUP('Données projet'!$B$12,Paramètres!$A$1:$I$89,3,0)*0.475*44/12</f>
        <v>5.5945947553999638E-7</v>
      </c>
      <c r="CN82" s="22">
        <f t="shared" si="66"/>
        <v>12.506533959559636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189</v>
      </c>
      <c r="L83" s="12">
        <f>VLOOKUP(A83,'Données projet'!$A$35:$I$55,9,0)</f>
        <v>2.6</v>
      </c>
      <c r="M83" s="12">
        <f t="array" ref="M83">INDEX(L:L,MIN(IF(ISNUMBER(L83:L279),ROW(L83:L279),"")))</f>
        <v>2.6</v>
      </c>
      <c r="N83" s="13">
        <f>IF('Données projet'!$A$36&gt;35,N82+M83-V82,IF(A83&lt;'Données projet'!$A$36,$K$205^A83,IF(A83='Données projet'!$A$36,'Données projet'!$B$36,N82+M83-V82)))</f>
        <v>189</v>
      </c>
      <c r="O83" s="13">
        <f>N83*VLOOKUP('Données projet'!$B$9,Paramètres!$A$1:$I$89,3,0)*VLOOKUP('Données projet'!$B$9,Paramètres!$A$1:$I$89,5,0)</f>
        <v>165.1104</v>
      </c>
      <c r="P83" s="13">
        <f t="shared" si="87"/>
        <v>41.993062739333446</v>
      </c>
      <c r="Q83" s="20">
        <f t="shared" si="54"/>
        <v>360.70519760433905</v>
      </c>
      <c r="R83" s="59">
        <f t="shared" si="55"/>
        <v>654.03853093767236</v>
      </c>
      <c r="S83" s="59">
        <f ca="1">AVERAGE(OFFSET($R$3,0,0,'Données projet'!$E$9+1,1))-AVERAGE(OFFSET($H$3,0,0,'Données projet'!$E$9+1,1))</f>
        <v>268.31928207836495</v>
      </c>
      <c r="T83" s="59">
        <f t="shared" si="88"/>
        <v>277.61304526670204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9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0.76439636860438687</v>
      </c>
      <c r="AA83" s="21">
        <f>EXP(-LN(2)/25)*AA82+(1-EXP(-LN(2)/25))/(LN(2)/25)*Calculateur!V83*Calculateur!X83*VLOOKUP('Données projet'!$B$9,Paramètres!$A$1:$I$89,3,0)*0.475*44/12</f>
        <v>1.4079251576177574</v>
      </c>
      <c r="AB83" s="21">
        <f>EXP(-LN(2)/2)*AB82+(1-EXP(-LN(2)/2))/(LN(2)/2)*V83*Y83*VLOOKUP('Données projet'!$B$9,Paramètres!$A$1:$I$89,3,0)*0.475*44/12</f>
        <v>2.4329442591685055E-7</v>
      </c>
      <c r="AC83" s="22">
        <f t="shared" si="57"/>
        <v>2.1723217695165702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-3.4106051316484809E-13</v>
      </c>
      <c r="AJ83" s="13">
        <f>AI83*VLOOKUP('Données projet'!$B$10,Paramètres!$A$1:$I$89,3,0)*VLOOKUP('Données projet'!$B$10,Paramètres!$A$1:$I$89,5,0)</f>
        <v>-1.9065282685915009E-13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544.48194192356823</v>
      </c>
      <c r="AO83" s="59">
        <f t="shared" si="90"/>
        <v>668.20427590250733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2.7272974597356683</v>
      </c>
      <c r="AV83" s="21">
        <f>EXP(-LN(2)/25)*AV82+(1-EXP(-LN(2)/25))/(LN(2)/25)*Calculateur!AQ83*Calculateur!AS83*VLOOKUP('Données projet'!$B$10,Paramètres!$A$1:$I$89,3,0)*0.475*44/12</f>
        <v>8.930145938744678</v>
      </c>
      <c r="AW83" s="21">
        <f>EXP(-LN(2)/2)*AW82+(1-EXP(-LN(2)/2))/(LN(2)/2)*AQ83*AT83*VLOOKUP('Données projet'!$B$10,Paramètres!$A$1:$I$89,3,0)*0.475*44/12</f>
        <v>4.7477114076169926E-7</v>
      </c>
      <c r="AX83" s="21">
        <f t="shared" si="60"/>
        <v>11.657443873251488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162.86181551380446</v>
      </c>
      <c r="BJ83" s="59">
        <f t="shared" si="92"/>
        <v>184.96823352120742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1.4716606540568427</v>
      </c>
      <c r="BQ83" s="21">
        <f>EXP(-LN(2)/25)*BQ82+(1-EXP(-LN(2)/25))/(LN(2)/25)*Calculateur!BL83*Calculateur!BN83*VLOOKUP('Données projet'!$B$11,Paramètres!$A$1:$I$89,3,0)*0.475*44/12</f>
        <v>0.78192855050568855</v>
      </c>
      <c r="BR83" s="21">
        <f>EXP(-LN(2)/2)*BR82+(1-EXP(-LN(2)/2))/(LN(2)/2)*BL83*BO83*VLOOKUP('Données projet'!$B$11,Paramètres!$A$1:$I$89,3,0)*0.475*44/12</f>
        <v>4.9752379495979513E-8</v>
      </c>
      <c r="BS83" s="22">
        <f t="shared" si="63"/>
        <v>2.2535892543149108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-5.6843418860808015E-14</v>
      </c>
      <c r="BZ83" s="13">
        <f>BY83*VLOOKUP('Données projet'!$B$12,Paramètres!$A$1:$I$89,3,0)*VLOOKUP('Données projet'!$B$12,Paramètres!$A$1:$I$89,5,0)</f>
        <v>-3.1036506698001178E-14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207.02306964567629</v>
      </c>
      <c r="CE83" s="59">
        <f t="shared" si="94"/>
        <v>342.06887933351783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2.453991118104653</v>
      </c>
      <c r="CL83" s="21">
        <f>EXP(-LN(2)/25)*CL82+(1-EXP(-LN(2)/25))/(LN(2)/25)*Calculateur!CG83*Calculateur!CI83*VLOOKUP('Données projet'!$B$12,Paramètres!$A$1:$I$89,3,0)*0.475*44/12</f>
        <v>9.7299134111096137</v>
      </c>
      <c r="CM83" s="21">
        <f>EXP(-LN(2)/2)*CM82+(1-EXP(-LN(2)/2))/(LN(2)/2)*CG83*CJ83*VLOOKUP('Données projet'!$B$12,Paramètres!$A$1:$I$89,3,0)*0.475*44/12</f>
        <v>3.9559758895340086E-7</v>
      </c>
      <c r="CN83" s="22">
        <f t="shared" si="66"/>
        <v>12.183904924811856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2.2000000000000002</v>
      </c>
      <c r="N84" s="13">
        <f>IF('Données projet'!$A$36&gt;35,N83+M84-V83,IF(A84&lt;'Données projet'!$A$36,$K$205^A84,IF(A84='Données projet'!$A$36,'Données projet'!$B$36,N83+M84-V83)))</f>
        <v>182.2</v>
      </c>
      <c r="O84" s="13">
        <f>N84*VLOOKUP('Données projet'!$B$9,Paramètres!$A$1:$I$89,3,0)*VLOOKUP('Données projet'!$B$9,Paramètres!$A$1:$I$89,5,0)</f>
        <v>159.16991999999999</v>
      </c>
      <c r="P84" s="13">
        <f t="shared" si="87"/>
        <v>40.655231904645788</v>
      </c>
      <c r="Q84" s="20">
        <f t="shared" si="54"/>
        <v>348.02880623392474</v>
      </c>
      <c r="R84" s="59">
        <f t="shared" si="55"/>
        <v>641.36213956725805</v>
      </c>
      <c r="S84" s="59">
        <f ca="1">AVERAGE(OFFSET($R$3,0,0,'Données projet'!$E$9+1,1))-AVERAGE(OFFSET($H$3,0,0,'Données projet'!$E$9+1,1))</f>
        <v>268.31928207836495</v>
      </c>
      <c r="T84" s="59">
        <f t="shared" si="88"/>
        <v>277.61304526670204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0.74940702205180276</v>
      </c>
      <c r="AA84" s="21">
        <f>EXP(-LN(2)/25)*AA83+(1-EXP(-LN(2)/25))/(LN(2)/25)*Calculateur!V84*Calculateur!X84*VLOOKUP('Données projet'!$B$9,Paramètres!$A$1:$I$89,3,0)*0.475*44/12</f>
        <v>1.3694253701431336</v>
      </c>
      <c r="AB84" s="21">
        <f>EXP(-LN(2)/2)*AB83+(1-EXP(-LN(2)/2))/(LN(2)/2)*V84*Y84*VLOOKUP('Données projet'!$B$9,Paramètres!$A$1:$I$89,3,0)*0.475*44/12</f>
        <v>1.7203513839069314E-7</v>
      </c>
      <c r="AC84" s="22">
        <f t="shared" si="57"/>
        <v>2.1188325642300749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-3.4106051316484809E-13</v>
      </c>
      <c r="AJ84" s="13">
        <f>AI84*VLOOKUP('Données projet'!$B$10,Paramètres!$A$1:$I$89,3,0)*VLOOKUP('Données projet'!$B$10,Paramètres!$A$1:$I$89,5,0)</f>
        <v>-1.9065282685915009E-13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544.48194192356823</v>
      </c>
      <c r="AO84" s="59">
        <f t="shared" si="90"/>
        <v>668.20427590250733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2.6738168200374464</v>
      </c>
      <c r="AV84" s="21">
        <f>EXP(-LN(2)/25)*AV83+(1-EXP(-LN(2)/25))/(LN(2)/25)*Calculateur!AQ84*Calculateur!AS84*VLOOKUP('Données projet'!$B$10,Paramètres!$A$1:$I$89,3,0)*0.475*44/12</f>
        <v>8.6859506284337407</v>
      </c>
      <c r="AW84" s="21">
        <f>EXP(-LN(2)/2)*AW83+(1-EXP(-LN(2)/2))/(LN(2)/2)*AQ84*AT84*VLOOKUP('Données projet'!$B$10,Paramètres!$A$1:$I$89,3,0)*0.475*44/12</f>
        <v>3.3571389314427048E-7</v>
      </c>
      <c r="AX84" s="21">
        <f t="shared" si="60"/>
        <v>11.359767784185081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162.86181551380446</v>
      </c>
      <c r="BJ84" s="59">
        <f t="shared" si="92"/>
        <v>184.96823352120742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1.4428022862551539</v>
      </c>
      <c r="BQ84" s="21">
        <f>EXP(-LN(2)/25)*BQ83+(1-EXP(-LN(2)/25))/(LN(2)/25)*Calculateur!BL84*Calculateur!BN84*VLOOKUP('Données projet'!$B$11,Paramètres!$A$1:$I$89,3,0)*0.475*44/12</f>
        <v>0.76054667317227509</v>
      </c>
      <c r="BR84" s="21">
        <f>EXP(-LN(2)/2)*BR83+(1-EXP(-LN(2)/2))/(LN(2)/2)*BL84*BO84*VLOOKUP('Données projet'!$B$11,Paramètres!$A$1:$I$89,3,0)*0.475*44/12</f>
        <v>3.5180244921773659E-8</v>
      </c>
      <c r="BS84" s="22">
        <f t="shared" si="63"/>
        <v>2.2033489946076741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-5.6843418860808015E-14</v>
      </c>
      <c r="BZ84" s="13">
        <f>BY84*VLOOKUP('Données projet'!$B$12,Paramètres!$A$1:$I$89,3,0)*VLOOKUP('Données projet'!$B$12,Paramètres!$A$1:$I$89,5,0)</f>
        <v>-3.1036506698001178E-14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207.02306964567629</v>
      </c>
      <c r="CE84" s="59">
        <f t="shared" si="94"/>
        <v>342.06887933351783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2.4058698490654074</v>
      </c>
      <c r="CL84" s="21">
        <f>EXP(-LN(2)/25)*CL83+(1-EXP(-LN(2)/25))/(LN(2)/25)*Calculateur!CG84*Calculateur!CI84*VLOOKUP('Données projet'!$B$12,Paramètres!$A$1:$I$89,3,0)*0.475*44/12</f>
        <v>9.4638484172089132</v>
      </c>
      <c r="CM84" s="21">
        <f>EXP(-LN(2)/2)*CM83+(1-EXP(-LN(2)/2))/(LN(2)/2)*CG84*CJ84*VLOOKUP('Données projet'!$B$12,Paramètres!$A$1:$I$89,3,0)*0.475*44/12</f>
        <v>2.7972973776999819E-7</v>
      </c>
      <c r="CN84" s="22">
        <f t="shared" si="66"/>
        <v>11.869718546004059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2.2000000000000002</v>
      </c>
      <c r="N85" s="13">
        <f>IF('Données projet'!$A$36&gt;35,N84+M85-V84,IF(A85&lt;'Données projet'!$A$36,$K$205^A85,IF(A85='Données projet'!$A$36,'Données projet'!$B$36,N84+M85-V84)))</f>
        <v>184.39999999999998</v>
      </c>
      <c r="O85" s="13">
        <f>N85*VLOOKUP('Données projet'!$B$9,Paramètres!$A$1:$I$89,3,0)*VLOOKUP('Données projet'!$B$9,Paramètres!$A$1:$I$89,5,0)</f>
        <v>161.09183999999999</v>
      </c>
      <c r="P85" s="13">
        <f t="shared" si="87"/>
        <v>41.088685407030823</v>
      </c>
      <c r="Q85" s="20">
        <f t="shared" si="54"/>
        <v>352.13108175057863</v>
      </c>
      <c r="R85" s="59">
        <f t="shared" si="55"/>
        <v>645.46441508391194</v>
      </c>
      <c r="S85" s="59">
        <f ca="1">AVERAGE(OFFSET($R$3,0,0,'Données projet'!$E$9+1,1))-AVERAGE(OFFSET($H$3,0,0,'Données projet'!$E$9+1,1))</f>
        <v>268.31928207836495</v>
      </c>
      <c r="T85" s="59">
        <f t="shared" si="88"/>
        <v>277.61304526670204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0.73471160744251618</v>
      </c>
      <c r="AA85" s="21">
        <f>EXP(-LN(2)/25)*AA84+(1-EXP(-LN(2)/25))/(LN(2)/25)*Calculateur!V85*Calculateur!X85*VLOOKUP('Données projet'!$B$9,Paramètres!$A$1:$I$89,3,0)*0.475*44/12</f>
        <v>1.3319783613816192</v>
      </c>
      <c r="AB85" s="21">
        <f>EXP(-LN(2)/2)*AB84+(1-EXP(-LN(2)/2))/(LN(2)/2)*V85*Y85*VLOOKUP('Données projet'!$B$9,Paramètres!$A$1:$I$89,3,0)*0.475*44/12</f>
        <v>1.2164721295842528E-7</v>
      </c>
      <c r="AC85" s="22">
        <f t="shared" si="57"/>
        <v>2.0666900904713481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-3.4106051316484809E-13</v>
      </c>
      <c r="AJ85" s="13">
        <f>AI85*VLOOKUP('Données projet'!$B$10,Paramètres!$A$1:$I$89,3,0)*VLOOKUP('Données projet'!$B$10,Paramètres!$A$1:$I$89,5,0)</f>
        <v>-1.9065282685915009E-13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544.48194192356823</v>
      </c>
      <c r="AO85" s="59">
        <f t="shared" si="90"/>
        <v>668.20427590250733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2.6213849030637375</v>
      </c>
      <c r="AV85" s="21">
        <f>EXP(-LN(2)/25)*AV84+(1-EXP(-LN(2)/25))/(LN(2)/25)*Calculateur!AQ85*Calculateur!AS85*VLOOKUP('Données projet'!$B$10,Paramètres!$A$1:$I$89,3,0)*0.475*44/12</f>
        <v>8.4484328517249292</v>
      </c>
      <c r="AW85" s="21">
        <f>EXP(-LN(2)/2)*AW84+(1-EXP(-LN(2)/2))/(LN(2)/2)*AQ85*AT85*VLOOKUP('Données projet'!$B$10,Paramètres!$A$1:$I$89,3,0)*0.475*44/12</f>
        <v>2.3738557038084968E-7</v>
      </c>
      <c r="AX85" s="21">
        <f t="shared" si="60"/>
        <v>11.069817992174237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162.86181551380446</v>
      </c>
      <c r="BJ85" s="59">
        <f t="shared" si="92"/>
        <v>184.96823352120742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1.41450981344419</v>
      </c>
      <c r="BQ85" s="21">
        <f>EXP(-LN(2)/25)*BQ84+(1-EXP(-LN(2)/25))/(LN(2)/25)*Calculateur!BL85*Calculateur!BN85*VLOOKUP('Données projet'!$B$11,Paramètres!$A$1:$I$89,3,0)*0.475*44/12</f>
        <v>0.73974948439896793</v>
      </c>
      <c r="BR85" s="21">
        <f>EXP(-LN(2)/2)*BR84+(1-EXP(-LN(2)/2))/(LN(2)/2)*BL85*BO85*VLOOKUP('Données projet'!$B$11,Paramètres!$A$1:$I$89,3,0)*0.475*44/12</f>
        <v>2.4876189747989757E-8</v>
      </c>
      <c r="BS85" s="22">
        <f t="shared" si="63"/>
        <v>2.1542593227193474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-5.6843418860808015E-14</v>
      </c>
      <c r="BZ85" s="13">
        <f>BY85*VLOOKUP('Données projet'!$B$12,Paramètres!$A$1:$I$89,3,0)*VLOOKUP('Données projet'!$B$12,Paramètres!$A$1:$I$89,5,0)</f>
        <v>-3.1036506698001178E-14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207.02306964567629</v>
      </c>
      <c r="CE85" s="59">
        <f t="shared" si="94"/>
        <v>342.06887933351783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2.3586922087609454</v>
      </c>
      <c r="CL85" s="21">
        <f>EXP(-LN(2)/25)*CL84+(1-EXP(-LN(2)/25))/(LN(2)/25)*Calculateur!CG85*Calculateur!CI85*VLOOKUP('Données projet'!$B$12,Paramètres!$A$1:$I$89,3,0)*0.475*44/12</f>
        <v>9.2050589845581765</v>
      </c>
      <c r="CM85" s="21">
        <f>EXP(-LN(2)/2)*CM84+(1-EXP(-LN(2)/2))/(LN(2)/2)*CG85*CJ85*VLOOKUP('Données projet'!$B$12,Paramètres!$A$1:$I$89,3,0)*0.475*44/12</f>
        <v>1.9779879447670043E-7</v>
      </c>
      <c r="CN85" s="22">
        <f t="shared" si="66"/>
        <v>11.563751391117917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2.2000000000000002</v>
      </c>
      <c r="N86" s="13">
        <f>IF('Données projet'!$A$36&gt;35,N85+M86-V85,IF(A86&lt;'Données projet'!$A$36,$K$205^A86,IF(A86='Données projet'!$A$36,'Données projet'!$B$36,N85+M86-V85)))</f>
        <v>186.59999999999997</v>
      </c>
      <c r="O86" s="13">
        <f>N86*VLOOKUP('Données projet'!$B$9,Paramètres!$A$1:$I$89,3,0)*VLOOKUP('Données projet'!$B$9,Paramètres!$A$1:$I$89,5,0)</f>
        <v>163.01375999999999</v>
      </c>
      <c r="P86" s="13">
        <f t="shared" si="87"/>
        <v>41.521537366475364</v>
      </c>
      <c r="Q86" s="20">
        <f t="shared" si="54"/>
        <v>356.23230957994457</v>
      </c>
      <c r="R86" s="59">
        <f t="shared" si="55"/>
        <v>649.56564291327788</v>
      </c>
      <c r="S86" s="59">
        <f ca="1">AVERAGE(OFFSET($R$3,0,0,'Données projet'!$E$9+1,1))-AVERAGE(OFFSET($H$3,0,0,'Données projet'!$E$9+1,1))</f>
        <v>268.31928207836495</v>
      </c>
      <c r="T86" s="59">
        <f t="shared" si="88"/>
        <v>277.61304526670204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0.72030436095039985</v>
      </c>
      <c r="AA86" s="21">
        <f>EXP(-LN(2)/25)*AA85+(1-EXP(-LN(2)/25))/(LN(2)/25)*Calculateur!V86*Calculateur!X86*VLOOKUP('Données projet'!$B$9,Paramètres!$A$1:$I$89,3,0)*0.475*44/12</f>
        <v>1.295555343043941</v>
      </c>
      <c r="AB86" s="21">
        <f>EXP(-LN(2)/2)*AB85+(1-EXP(-LN(2)/2))/(LN(2)/2)*V86*Y86*VLOOKUP('Données projet'!$B$9,Paramètres!$A$1:$I$89,3,0)*0.475*44/12</f>
        <v>8.6017569195346571E-8</v>
      </c>
      <c r="AC86" s="22">
        <f t="shared" si="57"/>
        <v>2.01585979001191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-3.4106051316484809E-13</v>
      </c>
      <c r="AJ86" s="13">
        <f>AI86*VLOOKUP('Données projet'!$B$10,Paramètres!$A$1:$I$89,3,0)*VLOOKUP('Données projet'!$B$10,Paramètres!$A$1:$I$89,5,0)</f>
        <v>-1.9065282685915009E-13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544.48194192356823</v>
      </c>
      <c r="AO86" s="59">
        <f t="shared" si="90"/>
        <v>668.20427590250733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2.5699811440015714</v>
      </c>
      <c r="AV86" s="21">
        <f>EXP(-LN(2)/25)*AV85+(1-EXP(-LN(2)/25))/(LN(2)/25)*Calculateur!AQ86*Calculateur!AS86*VLOOKUP('Données projet'!$B$10,Paramètres!$A$1:$I$89,3,0)*0.475*44/12</f>
        <v>8.2174100111107364</v>
      </c>
      <c r="AW86" s="21">
        <f>EXP(-LN(2)/2)*AW85+(1-EXP(-LN(2)/2))/(LN(2)/2)*AQ86*AT86*VLOOKUP('Données projet'!$B$10,Paramètres!$A$1:$I$89,3,0)*0.475*44/12</f>
        <v>1.6785694657213527E-7</v>
      </c>
      <c r="AX86" s="21">
        <f t="shared" si="60"/>
        <v>10.787391322969254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162.86181551380446</v>
      </c>
      <c r="BJ86" s="59">
        <f t="shared" si="92"/>
        <v>184.96823352120742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1.3867721387683447</v>
      </c>
      <c r="BQ86" s="21">
        <f>EXP(-LN(2)/25)*BQ85+(1-EXP(-LN(2)/25))/(LN(2)/25)*Calculateur!BL86*Calculateur!BN86*VLOOKUP('Données projet'!$B$11,Paramètres!$A$1:$I$89,3,0)*0.475*44/12</f>
        <v>0.71952099584634344</v>
      </c>
      <c r="BR86" s="21">
        <f>EXP(-LN(2)/2)*BR85+(1-EXP(-LN(2)/2))/(LN(2)/2)*BL86*BO86*VLOOKUP('Données projet'!$B$11,Paramètres!$A$1:$I$89,3,0)*0.475*44/12</f>
        <v>1.7590122460886829E-8</v>
      </c>
      <c r="BS86" s="22">
        <f t="shared" si="63"/>
        <v>2.1062931522048105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-5.6843418860808015E-14</v>
      </c>
      <c r="BZ86" s="13">
        <f>BY86*VLOOKUP('Données projet'!$B$12,Paramètres!$A$1:$I$89,3,0)*VLOOKUP('Données projet'!$B$12,Paramètres!$A$1:$I$89,5,0)</f>
        <v>-3.1036506698001178E-14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207.02306964567629</v>
      </c>
      <c r="CE86" s="59">
        <f t="shared" si="94"/>
        <v>342.06887933351783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2.3124396932073346</v>
      </c>
      <c r="CL86" s="21">
        <f>EXP(-LN(2)/25)*CL85+(1-EXP(-LN(2)/25))/(LN(2)/25)*Calculateur!CG86*Calculateur!CI86*VLOOKUP('Données projet'!$B$12,Paramètres!$A$1:$I$89,3,0)*0.475*44/12</f>
        <v>8.9533461625524193</v>
      </c>
      <c r="CM86" s="21">
        <f>EXP(-LN(2)/2)*CM85+(1-EXP(-LN(2)/2))/(LN(2)/2)*CG86*CJ86*VLOOKUP('Données projet'!$B$12,Paramètres!$A$1:$I$89,3,0)*0.475*44/12</f>
        <v>1.3986486888499909E-7</v>
      </c>
      <c r="CN86" s="22">
        <f t="shared" si="66"/>
        <v>11.265785995624622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2.2000000000000002</v>
      </c>
      <c r="N87" s="13">
        <f>IF('Données projet'!$A$36&gt;35,N86+M87-V86,IF(A87&lt;'Données projet'!$A$36,$K$205^A87,IF(A87='Données projet'!$A$36,'Données projet'!$B$36,N86+M87-V86)))</f>
        <v>188.79999999999995</v>
      </c>
      <c r="O87" s="13">
        <f>N87*VLOOKUP('Données projet'!$B$9,Paramètres!$A$1:$I$89,3,0)*VLOOKUP('Données projet'!$B$9,Paramètres!$A$1:$I$89,5,0)</f>
        <v>164.93567999999996</v>
      </c>
      <c r="P87" s="13">
        <f t="shared" si="87"/>
        <v>41.953795695589498</v>
      </c>
      <c r="Q87" s="20">
        <f t="shared" si="54"/>
        <v>360.3325035031516</v>
      </c>
      <c r="R87" s="59">
        <f t="shared" si="55"/>
        <v>653.66583683648491</v>
      </c>
      <c r="S87" s="59">
        <f ca="1">AVERAGE(OFFSET($R$3,0,0,'Données projet'!$E$9+1,1))-AVERAGE(OFFSET($H$3,0,0,'Données projet'!$E$9+1,1))</f>
        <v>268.31928207836495</v>
      </c>
      <c r="T87" s="59">
        <f t="shared" si="88"/>
        <v>277.61304526670204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0.70617963177444121</v>
      </c>
      <c r="AA87" s="21">
        <f>EXP(-LN(2)/25)*AA86+(1-EXP(-LN(2)/25))/(LN(2)/25)*Calculateur!V87*Calculateur!X87*VLOOKUP('Données projet'!$B$9,Paramètres!$A$1:$I$89,3,0)*0.475*44/12</f>
        <v>1.2601283140581101</v>
      </c>
      <c r="AB87" s="21">
        <f>EXP(-LN(2)/2)*AB86+(1-EXP(-LN(2)/2))/(LN(2)/2)*V87*Y87*VLOOKUP('Données projet'!$B$9,Paramètres!$A$1:$I$89,3,0)*0.475*44/12</f>
        <v>6.0823606479212638E-8</v>
      </c>
      <c r="AC87" s="22">
        <f t="shared" si="57"/>
        <v>1.9663080066561578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-3.4106051316484809E-13</v>
      </c>
      <c r="AJ87" s="13">
        <f>AI87*VLOOKUP('Données projet'!$B$10,Paramètres!$A$1:$I$89,3,0)*VLOOKUP('Données projet'!$B$10,Paramètres!$A$1:$I$89,5,0)</f>
        <v>-1.9065282685915009E-13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544.48194192356823</v>
      </c>
      <c r="AO87" s="59">
        <f t="shared" si="90"/>
        <v>668.20427590250733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2.5195853813014173</v>
      </c>
      <c r="AV87" s="21">
        <f>EXP(-LN(2)/25)*AV86+(1-EXP(-LN(2)/25))/(LN(2)/25)*Calculateur!AQ87*Calculateur!AS87*VLOOKUP('Données projet'!$B$10,Paramètres!$A$1:$I$89,3,0)*0.475*44/12</f>
        <v>7.9927045022221019</v>
      </c>
      <c r="AW87" s="21">
        <f>EXP(-LN(2)/2)*AW86+(1-EXP(-LN(2)/2))/(LN(2)/2)*AQ87*AT87*VLOOKUP('Données projet'!$B$10,Paramètres!$A$1:$I$89,3,0)*0.475*44/12</f>
        <v>1.1869278519042486E-7</v>
      </c>
      <c r="AX87" s="21">
        <f t="shared" si="60"/>
        <v>10.512290002216304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162.86181551380446</v>
      </c>
      <c r="BJ87" s="59">
        <f t="shared" si="92"/>
        <v>184.96823352120742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1.3595783829745816</v>
      </c>
      <c r="BQ87" s="21">
        <f>EXP(-LN(2)/25)*BQ86+(1-EXP(-LN(2)/25))/(LN(2)/25)*Calculateur!BL87*Calculateur!BN87*VLOOKUP('Données projet'!$B$11,Paramètres!$A$1:$I$89,3,0)*0.475*44/12</f>
        <v>0.6998456563769605</v>
      </c>
      <c r="BR87" s="21">
        <f>EXP(-LN(2)/2)*BR86+(1-EXP(-LN(2)/2))/(LN(2)/2)*BL87*BO87*VLOOKUP('Données projet'!$B$11,Paramètres!$A$1:$I$89,3,0)*0.475*44/12</f>
        <v>1.2438094873994878E-8</v>
      </c>
      <c r="BS87" s="22">
        <f t="shared" si="63"/>
        <v>2.0594240517896369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-5.6843418860808015E-14</v>
      </c>
      <c r="BZ87" s="13">
        <f>BY87*VLOOKUP('Données projet'!$B$12,Paramètres!$A$1:$I$89,3,0)*VLOOKUP('Données projet'!$B$12,Paramètres!$A$1:$I$89,5,0)</f>
        <v>-3.1036506698001178E-14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207.02306964567629</v>
      </c>
      <c r="CE87" s="59">
        <f t="shared" si="94"/>
        <v>342.06887933351783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2.2670941612724813</v>
      </c>
      <c r="CL87" s="21">
        <f>EXP(-LN(2)/25)*CL86+(1-EXP(-LN(2)/25))/(LN(2)/25)*Calculateur!CG87*Calculateur!CI87*VLOOKUP('Données projet'!$B$12,Paramètres!$A$1:$I$89,3,0)*0.475*44/12</f>
        <v>8.7085164409014126</v>
      </c>
      <c r="CM87" s="21">
        <f>EXP(-LN(2)/2)*CM86+(1-EXP(-LN(2)/2))/(LN(2)/2)*CG87*CJ87*VLOOKUP('Données projet'!$B$12,Paramètres!$A$1:$I$89,3,0)*0.475*44/12</f>
        <v>9.8899397238350216E-8</v>
      </c>
      <c r="CN87" s="22">
        <f t="shared" si="66"/>
        <v>10.975610701073292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191</v>
      </c>
      <c r="L88" s="12">
        <f>VLOOKUP(A88,'Données projet'!$A$35:$I$55,9,0)</f>
        <v>2.2000000000000002</v>
      </c>
      <c r="M88" s="12">
        <f t="array" ref="M88">INDEX(L:L,MIN(IF(ISNUMBER(L88:L284),ROW(L88:L284),"")))</f>
        <v>2.2000000000000002</v>
      </c>
      <c r="N88" s="13">
        <f>IF('Données projet'!$A$36&gt;35,N87+M88-V87,IF(A88&lt;'Données projet'!$A$36,$K$205^A88,IF(A88='Données projet'!$A$36,'Données projet'!$B$36,N87+M88-V87)))</f>
        <v>190.99999999999994</v>
      </c>
      <c r="O88" s="13">
        <f>N88*VLOOKUP('Données projet'!$B$9,Paramètres!$A$1:$I$89,3,0)*VLOOKUP('Données projet'!$B$9,Paramètres!$A$1:$I$89,5,0)</f>
        <v>166.85759999999996</v>
      </c>
      <c r="P88" s="13">
        <f t="shared" si="87"/>
        <v>42.385468111966098</v>
      </c>
      <c r="Q88" s="20">
        <f t="shared" si="54"/>
        <v>364.43167696167421</v>
      </c>
      <c r="R88" s="59">
        <f t="shared" si="55"/>
        <v>657.76501029500753</v>
      </c>
      <c r="S88" s="59">
        <f ca="1">AVERAGE(OFFSET($R$3,0,0,'Données projet'!$E$9+1,1))-AVERAGE(OFFSET($H$3,0,0,'Données projet'!$E$9+1,1))</f>
        <v>268.31928207836495</v>
      </c>
      <c r="T88" s="59">
        <f t="shared" si="88"/>
        <v>277.61304526670204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8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0.69233187992238898</v>
      </c>
      <c r="AA88" s="21">
        <f>EXP(-LN(2)/25)*AA87+(1-EXP(-LN(2)/25))/(LN(2)/25)*Calculateur!V88*Calculateur!X88*VLOOKUP('Données projet'!$B$9,Paramètres!$A$1:$I$89,3,0)*0.475*44/12</f>
        <v>1.2256700390429232</v>
      </c>
      <c r="AB88" s="21">
        <f>EXP(-LN(2)/2)*AB87+(1-EXP(-LN(2)/2))/(LN(2)/2)*V88*Y88*VLOOKUP('Données projet'!$B$9,Paramètres!$A$1:$I$89,3,0)*0.475*44/12</f>
        <v>4.3008784597673286E-8</v>
      </c>
      <c r="AC88" s="22">
        <f t="shared" si="57"/>
        <v>1.9180019619740967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-3.4106051316484809E-13</v>
      </c>
      <c r="AJ88" s="13">
        <f>AI88*VLOOKUP('Données projet'!$B$10,Paramètres!$A$1:$I$89,3,0)*VLOOKUP('Données projet'!$B$10,Paramètres!$A$1:$I$89,5,0)</f>
        <v>-1.9065282685915009E-13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544.48194192356823</v>
      </c>
      <c r="AO88" s="59">
        <f t="shared" si="90"/>
        <v>668.20427590250733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2.470177848769433</v>
      </c>
      <c r="AV88" s="21">
        <f>EXP(-LN(2)/25)*AV87+(1-EXP(-LN(2)/25))/(LN(2)/25)*Calculateur!AQ88*Calculateur!AS88*VLOOKUP('Données projet'!$B$10,Paramètres!$A$1:$I$89,3,0)*0.475*44/12</f>
        <v>7.7741435772907765</v>
      </c>
      <c r="AW88" s="21">
        <f>EXP(-LN(2)/2)*AW87+(1-EXP(-LN(2)/2))/(LN(2)/2)*AQ88*AT88*VLOOKUP('Données projet'!$B$10,Paramètres!$A$1:$I$89,3,0)*0.475*44/12</f>
        <v>8.3928473286067647E-8</v>
      </c>
      <c r="AX88" s="21">
        <f t="shared" si="60"/>
        <v>10.244321509988684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162.86181551380446</v>
      </c>
      <c r="BJ88" s="59">
        <f t="shared" si="92"/>
        <v>184.96823352120742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1.3329178801453809</v>
      </c>
      <c r="BQ88" s="21">
        <f>EXP(-LN(2)/25)*BQ87+(1-EXP(-LN(2)/25))/(LN(2)/25)*Calculateur!BL88*Calculateur!BN88*VLOOKUP('Données projet'!$B$11,Paramètres!$A$1:$I$89,3,0)*0.475*44/12</f>
        <v>0.68070834010004899</v>
      </c>
      <c r="BR88" s="21">
        <f>EXP(-LN(2)/2)*BR87+(1-EXP(-LN(2)/2))/(LN(2)/2)*BL88*BO88*VLOOKUP('Données projet'!$B$11,Paramètres!$A$1:$I$89,3,0)*0.475*44/12</f>
        <v>8.7950612304434146E-9</v>
      </c>
      <c r="BS88" s="22">
        <f t="shared" si="63"/>
        <v>2.0136262290404909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-5.6843418860808015E-14</v>
      </c>
      <c r="BZ88" s="13">
        <f>BY88*VLOOKUP('Données projet'!$B$12,Paramètres!$A$1:$I$89,3,0)*VLOOKUP('Données projet'!$B$12,Paramètres!$A$1:$I$89,5,0)</f>
        <v>-3.1036506698001178E-14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207.02306964567629</v>
      </c>
      <c r="CE88" s="59">
        <f t="shared" si="94"/>
        <v>342.06887933351783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2.2226378275608272</v>
      </c>
      <c r="CL88" s="21">
        <f>EXP(-LN(2)/25)*CL87+(1-EXP(-LN(2)/25))/(LN(2)/25)*Calculateur!CG88*Calculateur!CI88*VLOOKUP('Données projet'!$B$12,Paramètres!$A$1:$I$89,3,0)*0.475*44/12</f>
        <v>8.4703816008639876</v>
      </c>
      <c r="CM88" s="21">
        <f>EXP(-LN(2)/2)*CM87+(1-EXP(-LN(2)/2))/(LN(2)/2)*CG88*CJ88*VLOOKUP('Données projet'!$B$12,Paramètres!$A$1:$I$89,3,0)*0.475*44/12</f>
        <v>6.9932434442499547E-8</v>
      </c>
      <c r="CN88" s="22">
        <f t="shared" si="66"/>
        <v>10.69301949835725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2</v>
      </c>
      <c r="N89" s="13">
        <f>IF('Données projet'!$A$36&gt;35,N88+M89-V88,IF(A89&lt;'Données projet'!$A$36,$K$205^A89,IF(A89='Données projet'!$A$36,'Données projet'!$B$36,N88+M89-V88)))</f>
        <v>184.99999999999994</v>
      </c>
      <c r="O89" s="13">
        <f>N89*VLOOKUP('Données projet'!$B$9,Paramètres!$A$1:$I$89,3,0)*VLOOKUP('Données projet'!$B$9,Paramètres!$A$1:$I$89,5,0)</f>
        <v>161.61599999999999</v>
      </c>
      <c r="P89" s="13">
        <f t="shared" si="87"/>
        <v>41.20679526204917</v>
      </c>
      <c r="Q89" s="20">
        <f t="shared" si="54"/>
        <v>353.24970174806896</v>
      </c>
      <c r="R89" s="59">
        <f t="shared" si="55"/>
        <v>646.58303508140227</v>
      </c>
      <c r="S89" s="59">
        <f ca="1">AVERAGE(OFFSET($R$3,0,0,'Données projet'!$E$9+1,1))-AVERAGE(OFFSET($H$3,0,0,'Données projet'!$E$9+1,1))</f>
        <v>268.31928207836495</v>
      </c>
      <c r="T89" s="59">
        <f t="shared" si="88"/>
        <v>277.61304526670204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0.67875567403786097</v>
      </c>
      <c r="AA89" s="21">
        <f>EXP(-LN(2)/25)*AA88+(1-EXP(-LN(2)/25))/(LN(2)/25)*Calculateur!V89*Calculateur!X89*VLOOKUP('Données projet'!$B$9,Paramètres!$A$1:$I$89,3,0)*0.475*44/12</f>
        <v>1.1921540273701083</v>
      </c>
      <c r="AB89" s="21">
        <f>EXP(-LN(2)/2)*AB88+(1-EXP(-LN(2)/2))/(LN(2)/2)*V89*Y89*VLOOKUP('Données projet'!$B$9,Paramètres!$A$1:$I$89,3,0)*0.475*44/12</f>
        <v>3.0411803239606319E-8</v>
      </c>
      <c r="AC89" s="22">
        <f t="shared" si="57"/>
        <v>1.8709097318197725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-3.4106051316484809E-13</v>
      </c>
      <c r="AJ89" s="13">
        <f>AI89*VLOOKUP('Données projet'!$B$10,Paramètres!$A$1:$I$89,3,0)*VLOOKUP('Données projet'!$B$10,Paramètres!$A$1:$I$89,5,0)</f>
        <v>-1.9065282685915009E-13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544.48194192356823</v>
      </c>
      <c r="AO89" s="59">
        <f t="shared" si="90"/>
        <v>668.20427590250733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2.4217391678147817</v>
      </c>
      <c r="AV89" s="21">
        <f>EXP(-LN(2)/25)*AV88+(1-EXP(-LN(2)/25))/(LN(2)/25)*Calculateur!AQ89*Calculateur!AS89*VLOOKUP('Données projet'!$B$10,Paramètres!$A$1:$I$89,3,0)*0.475*44/12</f>
        <v>7.5615592123453172</v>
      </c>
      <c r="AW89" s="21">
        <f>EXP(-LN(2)/2)*AW88+(1-EXP(-LN(2)/2))/(LN(2)/2)*AQ89*AT89*VLOOKUP('Données projet'!$B$10,Paramètres!$A$1:$I$89,3,0)*0.475*44/12</f>
        <v>5.9346392595212441E-8</v>
      </c>
      <c r="AX89" s="21">
        <f t="shared" si="60"/>
        <v>9.9832984395064912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162.86181551380446</v>
      </c>
      <c r="BJ89" s="59">
        <f t="shared" si="92"/>
        <v>184.96823352120742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1.3067801735153599</v>
      </c>
      <c r="BQ89" s="21">
        <f>EXP(-LN(2)/25)*BQ88+(1-EXP(-LN(2)/25))/(LN(2)/25)*Calculateur!BL89*Calculateur!BN89*VLOOKUP('Données projet'!$B$11,Paramètres!$A$1:$I$89,3,0)*0.475*44/12</f>
        <v>0.6620943347431173</v>
      </c>
      <c r="BR89" s="21">
        <f>EXP(-LN(2)/2)*BR88+(1-EXP(-LN(2)/2))/(LN(2)/2)*BL89*BO89*VLOOKUP('Données projet'!$B$11,Paramètres!$A$1:$I$89,3,0)*0.475*44/12</f>
        <v>6.2190474369974391E-9</v>
      </c>
      <c r="BS89" s="22">
        <f t="shared" si="63"/>
        <v>1.9688745144775246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-5.6843418860808015E-14</v>
      </c>
      <c r="BZ89" s="13">
        <f>BY89*VLOOKUP('Données projet'!$B$12,Paramètres!$A$1:$I$89,3,0)*VLOOKUP('Données projet'!$B$12,Paramètres!$A$1:$I$89,5,0)</f>
        <v>-3.1036506698001178E-14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207.02306964567629</v>
      </c>
      <c r="CE89" s="59">
        <f t="shared" si="94"/>
        <v>342.06887933351783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2.1790532554375726</v>
      </c>
      <c r="CL89" s="21">
        <f>EXP(-LN(2)/25)*CL88+(1-EXP(-LN(2)/25))/(LN(2)/25)*Calculateur!CG89*Calculateur!CI89*VLOOKUP('Données projet'!$B$12,Paramètres!$A$1:$I$89,3,0)*0.475*44/12</f>
        <v>8.2387585705503525</v>
      </c>
      <c r="CM89" s="21">
        <f>EXP(-LN(2)/2)*CM88+(1-EXP(-LN(2)/2))/(LN(2)/2)*CG89*CJ89*VLOOKUP('Données projet'!$B$12,Paramètres!$A$1:$I$89,3,0)*0.475*44/12</f>
        <v>4.9449698619175108E-8</v>
      </c>
      <c r="CN89" s="22">
        <f t="shared" si="66"/>
        <v>10.417811875437625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2</v>
      </c>
      <c r="N90" s="13">
        <f>IF('Données projet'!$A$36&gt;35,N89+M90-V89,IF(A90&lt;'Données projet'!$A$36,$K$205^A90,IF(A90='Données projet'!$A$36,'Données projet'!$B$36,N89+M90-V89)))</f>
        <v>186.99999999999994</v>
      </c>
      <c r="O90" s="13">
        <f>N90*VLOOKUP('Données projet'!$B$9,Paramètres!$A$1:$I$89,3,0)*VLOOKUP('Données projet'!$B$9,Paramètres!$A$1:$I$89,5,0)</f>
        <v>163.36319999999998</v>
      </c>
      <c r="P90" s="13">
        <f t="shared" si="87"/>
        <v>41.600173715581626</v>
      </c>
      <c r="Q90" s="20">
        <f t="shared" si="54"/>
        <v>356.97787588797127</v>
      </c>
      <c r="R90" s="59">
        <f t="shared" si="55"/>
        <v>650.31120922130458</v>
      </c>
      <c r="S90" s="59">
        <f ca="1">AVERAGE(OFFSET($R$3,0,0,'Données projet'!$E$9+1,1))-AVERAGE(OFFSET($H$3,0,0,'Données projet'!$E$9+1,1))</f>
        <v>268.31928207836495</v>
      </c>
      <c r="T90" s="59">
        <f t="shared" si="88"/>
        <v>277.61304526670204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0.66544568927006054</v>
      </c>
      <c r="AA90" s="21">
        <f>EXP(-LN(2)/25)*AA89+(1-EXP(-LN(2)/25))/(LN(2)/25)*Calculateur!V90*Calculateur!X90*VLOOKUP('Données projet'!$B$9,Paramètres!$A$1:$I$89,3,0)*0.475*44/12</f>
        <v>1.1595545127990172</v>
      </c>
      <c r="AB90" s="21">
        <f>EXP(-LN(2)/2)*AB89+(1-EXP(-LN(2)/2))/(LN(2)/2)*V90*Y90*VLOOKUP('Données projet'!$B$9,Paramètres!$A$1:$I$89,3,0)*0.475*44/12</f>
        <v>2.1504392298836643E-8</v>
      </c>
      <c r="AC90" s="22">
        <f t="shared" si="57"/>
        <v>1.8250002235734699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-3.4106051316484809E-13</v>
      </c>
      <c r="AJ90" s="13">
        <f>AI90*VLOOKUP('Données projet'!$B$10,Paramètres!$A$1:$I$89,3,0)*VLOOKUP('Données projet'!$B$10,Paramètres!$A$1:$I$89,5,0)</f>
        <v>-1.9065282685915009E-13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544.48194192356823</v>
      </c>
      <c r="AO90" s="59">
        <f t="shared" si="90"/>
        <v>668.20427590250733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2.3742503398489734</v>
      </c>
      <c r="AV90" s="21">
        <f>EXP(-LN(2)/25)*AV89+(1-EXP(-LN(2)/25))/(LN(2)/25)*Calculateur!AQ90*Calculateur!AS90*VLOOKUP('Données projet'!$B$10,Paramètres!$A$1:$I$89,3,0)*0.475*44/12</f>
        <v>7.3547879780386181</v>
      </c>
      <c r="AW90" s="21">
        <f>EXP(-LN(2)/2)*AW89+(1-EXP(-LN(2)/2))/(LN(2)/2)*AQ90*AT90*VLOOKUP('Données projet'!$B$10,Paramètres!$A$1:$I$89,3,0)*0.475*44/12</f>
        <v>4.196423664303383E-8</v>
      </c>
      <c r="AX90" s="21">
        <f t="shared" si="60"/>
        <v>9.7290383598518275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162.86181551380446</v>
      </c>
      <c r="BJ90" s="59">
        <f t="shared" si="92"/>
        <v>184.96823352120742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1.2811550113699266</v>
      </c>
      <c r="BQ90" s="21">
        <f>EXP(-LN(2)/25)*BQ89+(1-EXP(-LN(2)/25))/(LN(2)/25)*Calculateur!BL90*Calculateur!BN90*VLOOKUP('Données projet'!$B$11,Paramètres!$A$1:$I$89,3,0)*0.475*44/12</f>
        <v>0.64398933034153893</v>
      </c>
      <c r="BR90" s="21">
        <f>EXP(-LN(2)/2)*BR89+(1-EXP(-LN(2)/2))/(LN(2)/2)*BL90*BO90*VLOOKUP('Données projet'!$B$11,Paramètres!$A$1:$I$89,3,0)*0.475*44/12</f>
        <v>4.3975306152217073E-9</v>
      </c>
      <c r="BS90" s="22">
        <f t="shared" si="63"/>
        <v>1.9251443461089961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-5.6843418860808015E-14</v>
      </c>
      <c r="BZ90" s="13">
        <f>BY90*VLOOKUP('Données projet'!$B$12,Paramètres!$A$1:$I$89,3,0)*VLOOKUP('Données projet'!$B$12,Paramètres!$A$1:$I$89,5,0)</f>
        <v>-3.1036506698001178E-14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207.02306964567629</v>
      </c>
      <c r="CE90" s="59">
        <f t="shared" si="94"/>
        <v>342.06887933351783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2.1363233501896906</v>
      </c>
      <c r="CL90" s="21">
        <f>EXP(-LN(2)/25)*CL89+(1-EXP(-LN(2)/25))/(LN(2)/25)*Calculateur!CG90*Calculateur!CI90*VLOOKUP('Données projet'!$B$12,Paramètres!$A$1:$I$89,3,0)*0.475*44/12</f>
        <v>8.0134692841811699</v>
      </c>
      <c r="CM90" s="21">
        <f>EXP(-LN(2)/2)*CM89+(1-EXP(-LN(2)/2))/(LN(2)/2)*CG90*CJ90*VLOOKUP('Données projet'!$B$12,Paramètres!$A$1:$I$89,3,0)*0.475*44/12</f>
        <v>3.4966217221249774E-8</v>
      </c>
      <c r="CN90" s="22">
        <f t="shared" si="66"/>
        <v>10.149792669337078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2</v>
      </c>
      <c r="N91" s="13">
        <f>IF('Données projet'!$A$36&gt;35,N90+M91-V90,IF(A91&lt;'Données projet'!$A$36,$K$205^A91,IF(A91='Données projet'!$A$36,'Données projet'!$B$36,N90+M91-V90)))</f>
        <v>188.99999999999994</v>
      </c>
      <c r="O91" s="13">
        <f>N91*VLOOKUP('Données projet'!$B$9,Paramètres!$A$1:$I$89,3,0)*VLOOKUP('Données projet'!$B$9,Paramètres!$A$1:$I$89,5,0)</f>
        <v>165.11039999999997</v>
      </c>
      <c r="P91" s="13">
        <f t="shared" si="87"/>
        <v>41.993062739333446</v>
      </c>
      <c r="Q91" s="20">
        <f t="shared" si="54"/>
        <v>360.70519760433905</v>
      </c>
      <c r="R91" s="59">
        <f t="shared" si="55"/>
        <v>654.03853093767236</v>
      </c>
      <c r="S91" s="59">
        <f ca="1">AVERAGE(OFFSET($R$3,0,0,'Données projet'!$E$9+1,1))-AVERAGE(OFFSET($H$3,0,0,'Données projet'!$E$9+1,1))</f>
        <v>268.31928207836495</v>
      </c>
      <c r="T91" s="59">
        <f t="shared" si="88"/>
        <v>277.61304526670204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0.6523967051852676</v>
      </c>
      <c r="AA91" s="21">
        <f>EXP(-LN(2)/25)*AA90+(1-EXP(-LN(2)/25))/(LN(2)/25)*Calculateur!V91*Calculateur!X91*VLOOKUP('Données projet'!$B$9,Paramètres!$A$1:$I$89,3,0)*0.475*44/12</f>
        <v>1.1278464336682064</v>
      </c>
      <c r="AB91" s="21">
        <f>EXP(-LN(2)/2)*AB90+(1-EXP(-LN(2)/2))/(LN(2)/2)*V91*Y91*VLOOKUP('Données projet'!$B$9,Paramètres!$A$1:$I$89,3,0)*0.475*44/12</f>
        <v>1.520590161980316E-8</v>
      </c>
      <c r="AC91" s="22">
        <f t="shared" si="57"/>
        <v>1.7802431540593757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-3.4106051316484809E-13</v>
      </c>
      <c r="AJ91" s="13">
        <f>AI91*VLOOKUP('Données projet'!$B$10,Paramètres!$A$1:$I$89,3,0)*VLOOKUP('Données projet'!$B$10,Paramètres!$A$1:$I$89,5,0)</f>
        <v>-1.9065282685915009E-13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544.48194192356823</v>
      </c>
      <c r="AO91" s="59">
        <f t="shared" si="90"/>
        <v>668.20427590250733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2.3276927388342492</v>
      </c>
      <c r="AV91" s="21">
        <f>EXP(-LN(2)/25)*AV90+(1-EXP(-LN(2)/25))/(LN(2)/25)*Calculateur!AQ91*Calculateur!AS91*VLOOKUP('Données projet'!$B$10,Paramètres!$A$1:$I$89,3,0)*0.475*44/12</f>
        <v>7.1536709140076615</v>
      </c>
      <c r="AW91" s="21">
        <f>EXP(-LN(2)/2)*AW90+(1-EXP(-LN(2)/2))/(LN(2)/2)*AQ91*AT91*VLOOKUP('Données projet'!$B$10,Paramètres!$A$1:$I$89,3,0)*0.475*44/12</f>
        <v>2.9673196297606224E-8</v>
      </c>
      <c r="AX91" s="21">
        <f t="shared" si="60"/>
        <v>9.4813636825151058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162.86181551380446</v>
      </c>
      <c r="BJ91" s="59">
        <f t="shared" si="92"/>
        <v>184.96823352120742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1.2560323430243596</v>
      </c>
      <c r="BQ91" s="21">
        <f>EXP(-LN(2)/25)*BQ90+(1-EXP(-LN(2)/25))/(LN(2)/25)*Calculateur!BL91*Calculateur!BN91*VLOOKUP('Données projet'!$B$11,Paramètres!$A$1:$I$89,3,0)*0.475*44/12</f>
        <v>0.62637940823742255</v>
      </c>
      <c r="BR91" s="21">
        <f>EXP(-LN(2)/2)*BR90+(1-EXP(-LN(2)/2))/(LN(2)/2)*BL91*BO91*VLOOKUP('Données projet'!$B$11,Paramètres!$A$1:$I$89,3,0)*0.475*44/12</f>
        <v>3.1095237184987196E-9</v>
      </c>
      <c r="BS91" s="22">
        <f t="shared" si="63"/>
        <v>1.8824117543713059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-5.6843418860808015E-14</v>
      </c>
      <c r="BZ91" s="13">
        <f>BY91*VLOOKUP('Données projet'!$B$12,Paramètres!$A$1:$I$89,3,0)*VLOOKUP('Données projet'!$B$12,Paramètres!$A$1:$I$89,5,0)</f>
        <v>-3.1036506698001178E-14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207.02306964567629</v>
      </c>
      <c r="CE91" s="59">
        <f t="shared" si="94"/>
        <v>342.06887933351783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2.0944313523210512</v>
      </c>
      <c r="CL91" s="21">
        <f>EXP(-LN(2)/25)*CL90+(1-EXP(-LN(2)/25))/(LN(2)/25)*Calculateur!CG91*Calculateur!CI91*VLOOKUP('Données projet'!$B$12,Paramètres!$A$1:$I$89,3,0)*0.475*44/12</f>
        <v>7.794340545195201</v>
      </c>
      <c r="CM91" s="21">
        <f>EXP(-LN(2)/2)*CM90+(1-EXP(-LN(2)/2))/(LN(2)/2)*CG91*CJ91*VLOOKUP('Données projet'!$B$12,Paramètres!$A$1:$I$89,3,0)*0.475*44/12</f>
        <v>2.4724849309587554E-8</v>
      </c>
      <c r="CN91" s="22">
        <f t="shared" si="66"/>
        <v>9.8887719222411015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2</v>
      </c>
      <c r="N92" s="13">
        <f>IF('Données projet'!$A$36&gt;35,N91+M92-V91,IF(A92&lt;'Données projet'!$A$36,$K$205^A92,IF(A92='Données projet'!$A$36,'Données projet'!$B$36,N91+M92-V91)))</f>
        <v>190.99999999999994</v>
      </c>
      <c r="O92" s="13">
        <f>N92*VLOOKUP('Données projet'!$B$9,Paramètres!$A$1:$I$89,3,0)*VLOOKUP('Données projet'!$B$9,Paramètres!$A$1:$I$89,5,0)</f>
        <v>166.85759999999996</v>
      </c>
      <c r="P92" s="13">
        <f t="shared" si="87"/>
        <v>42.385468111966098</v>
      </c>
      <c r="Q92" s="20">
        <f t="shared" si="54"/>
        <v>364.43167696167421</v>
      </c>
      <c r="R92" s="59">
        <f t="shared" si="55"/>
        <v>657.76501029500753</v>
      </c>
      <c r="S92" s="59">
        <f ca="1">AVERAGE(OFFSET($R$3,0,0,'Données projet'!$E$9+1,1))-AVERAGE(OFFSET($H$3,0,0,'Données projet'!$E$9+1,1))</f>
        <v>268.31928207836495</v>
      </c>
      <c r="T92" s="59">
        <f t="shared" si="88"/>
        <v>277.61304526670204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0.63960360371928304</v>
      </c>
      <c r="AA92" s="21">
        <f>EXP(-LN(2)/25)*AA91+(1-EXP(-LN(2)/25))/(LN(2)/25)*Calculateur!V92*Calculateur!X92*VLOOKUP('Données projet'!$B$9,Paramètres!$A$1:$I$89,3,0)*0.475*44/12</f>
        <v>1.0970054136286831</v>
      </c>
      <c r="AB92" s="21">
        <f>EXP(-LN(2)/2)*AB91+(1-EXP(-LN(2)/2))/(LN(2)/2)*V92*Y92*VLOOKUP('Données projet'!$B$9,Paramètres!$A$1:$I$89,3,0)*0.475*44/12</f>
        <v>1.0752196149418321E-8</v>
      </c>
      <c r="AC92" s="22">
        <f t="shared" si="57"/>
        <v>1.7366090281001625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-3.4106051316484809E-13</v>
      </c>
      <c r="AJ92" s="13">
        <f>AI92*VLOOKUP('Données projet'!$B$10,Paramètres!$A$1:$I$89,3,0)*VLOOKUP('Données projet'!$B$10,Paramètres!$A$1:$I$89,5,0)</f>
        <v>-1.9065282685915009E-13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544.48194192356823</v>
      </c>
      <c r="AO92" s="59">
        <f t="shared" si="90"/>
        <v>668.20427590250733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2.2820481039780915</v>
      </c>
      <c r="AV92" s="21">
        <f>EXP(-LN(2)/25)*AV91+(1-EXP(-LN(2)/25))/(LN(2)/25)*Calculateur!AQ92*Calculateur!AS92*VLOOKUP('Données projet'!$B$10,Paramètres!$A$1:$I$89,3,0)*0.475*44/12</f>
        <v>6.9580534066689186</v>
      </c>
      <c r="AW92" s="21">
        <f>EXP(-LN(2)/2)*AW91+(1-EXP(-LN(2)/2))/(LN(2)/2)*AQ92*AT92*VLOOKUP('Données projet'!$B$10,Paramètres!$A$1:$I$89,3,0)*0.475*44/12</f>
        <v>2.0982118321516918E-8</v>
      </c>
      <c r="AX92" s="21">
        <f t="shared" si="60"/>
        <v>9.2401015316291293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162.86181551380446</v>
      </c>
      <c r="BJ92" s="59">
        <f t="shared" si="92"/>
        <v>184.96823352120742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1.2314023148817346</v>
      </c>
      <c r="BQ92" s="21">
        <f>EXP(-LN(2)/25)*BQ91+(1-EXP(-LN(2)/25))/(LN(2)/25)*Calculateur!BL92*Calculateur!BN92*VLOOKUP('Données projet'!$B$11,Paramètres!$A$1:$I$89,3,0)*0.475*44/12</f>
        <v>0.60925103037930872</v>
      </c>
      <c r="BR92" s="21">
        <f>EXP(-LN(2)/2)*BR91+(1-EXP(-LN(2)/2))/(LN(2)/2)*BL92*BO92*VLOOKUP('Données projet'!$B$11,Paramètres!$A$1:$I$89,3,0)*0.475*44/12</f>
        <v>2.1987653076108537E-9</v>
      </c>
      <c r="BS92" s="22">
        <f t="shared" si="63"/>
        <v>1.8406533474598088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-5.6843418860808015E-14</v>
      </c>
      <c r="BZ92" s="13">
        <f>BY92*VLOOKUP('Données projet'!$B$12,Paramètres!$A$1:$I$89,3,0)*VLOOKUP('Données projet'!$B$12,Paramètres!$A$1:$I$89,5,0)</f>
        <v>-3.1036506698001178E-14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207.02306964567629</v>
      </c>
      <c r="CE92" s="59">
        <f t="shared" si="94"/>
        <v>342.06887933351783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2.0533608309790199</v>
      </c>
      <c r="CL92" s="21">
        <f>EXP(-LN(2)/25)*CL91+(1-EXP(-LN(2)/25))/(LN(2)/25)*Calculateur!CG92*Calculateur!CI92*VLOOKUP('Données projet'!$B$12,Paramètres!$A$1:$I$89,3,0)*0.475*44/12</f>
        <v>7.581203893100283</v>
      </c>
      <c r="CM92" s="21">
        <f>EXP(-LN(2)/2)*CM91+(1-EXP(-LN(2)/2))/(LN(2)/2)*CG92*CJ92*VLOOKUP('Données projet'!$B$12,Paramètres!$A$1:$I$89,3,0)*0.475*44/12</f>
        <v>1.7483108610624887E-8</v>
      </c>
      <c r="CN92" s="22">
        <f t="shared" si="66"/>
        <v>9.6345647415624107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193</v>
      </c>
      <c r="L93" s="12">
        <f>VLOOKUP(A93,'Données projet'!$A$35:$I$55,9,0)</f>
        <v>2</v>
      </c>
      <c r="M93" s="12">
        <f t="array" ref="M93">INDEX(L:L,MIN(IF(ISNUMBER(L93:L289),ROW(L93:L289),"")))</f>
        <v>2</v>
      </c>
      <c r="N93" s="13">
        <f>IF('Données projet'!$A$36&gt;35,N92+M93-V92,IF(A93&lt;'Données projet'!$A$36,$K$205^A93,IF(A93='Données projet'!$A$36,'Données projet'!$B$36,N92+M93-V92)))</f>
        <v>192.99999999999994</v>
      </c>
      <c r="O93" s="13">
        <f>N93*VLOOKUP('Données projet'!$B$9,Paramètres!$A$1:$I$89,3,0)*VLOOKUP('Données projet'!$B$9,Paramètres!$A$1:$I$89,5,0)</f>
        <v>168.60479999999998</v>
      </c>
      <c r="P93" s="13">
        <f t="shared" si="87"/>
        <v>42.777395484149757</v>
      </c>
      <c r="Q93" s="20">
        <f t="shared" si="54"/>
        <v>368.15732380156078</v>
      </c>
      <c r="R93" s="59">
        <f t="shared" si="55"/>
        <v>661.49065713489404</v>
      </c>
      <c r="S93" s="59">
        <f ca="1">AVERAGE(OFFSET($R$3,0,0,'Données projet'!$E$9+1,1))-AVERAGE(OFFSET($H$3,0,0,'Données projet'!$E$9+1,1))</f>
        <v>268.31928207836495</v>
      </c>
      <c r="T93" s="59">
        <f t="shared" si="88"/>
        <v>277.61304526670204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193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0.62706136717002503</v>
      </c>
      <c r="AA93" s="21">
        <f>EXP(-LN(2)/25)*AA92+(1-EXP(-LN(2)/25))/(LN(2)/25)*Calculateur!V93*Calculateur!X93*VLOOKUP('Données projet'!$B$9,Paramètres!$A$1:$I$89,3,0)*0.475*44/12</f>
        <v>1.0670077429039992</v>
      </c>
      <c r="AB93" s="21">
        <f>EXP(-LN(2)/2)*AB92+(1-EXP(-LN(2)/2))/(LN(2)/2)*V93*Y93*VLOOKUP('Données projet'!$B$9,Paramètres!$A$1:$I$89,3,0)*0.475*44/12</f>
        <v>7.6029508099015798E-9</v>
      </c>
      <c r="AC93" s="22">
        <f t="shared" si="57"/>
        <v>1.6940691176769751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-3.4106051316484809E-13</v>
      </c>
      <c r="AJ93" s="13">
        <f>AI93*VLOOKUP('Données projet'!$B$10,Paramètres!$A$1:$I$89,3,0)*VLOOKUP('Données projet'!$B$10,Paramètres!$A$1:$I$89,5,0)</f>
        <v>-1.9065282685915009E-13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544.48194192356823</v>
      </c>
      <c r="AO93" s="59">
        <f t="shared" si="90"/>
        <v>668.20427590250733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2.2372985325709847</v>
      </c>
      <c r="AV93" s="21">
        <f>EXP(-LN(2)/25)*AV92+(1-EXP(-LN(2)/25))/(LN(2)/25)*Calculateur!AQ93*Calculateur!AS93*VLOOKUP('Données projet'!$B$10,Paramètres!$A$1:$I$89,3,0)*0.475*44/12</f>
        <v>6.7677850703554308</v>
      </c>
      <c r="AW93" s="21">
        <f>EXP(-LN(2)/2)*AW92+(1-EXP(-LN(2)/2))/(LN(2)/2)*AQ93*AT93*VLOOKUP('Données projet'!$B$10,Paramètres!$A$1:$I$89,3,0)*0.475*44/12</f>
        <v>1.4836598148803115E-8</v>
      </c>
      <c r="AX93" s="21">
        <f t="shared" si="60"/>
        <v>9.0050836177630131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162.86181551380446</v>
      </c>
      <c r="BJ93" s="59">
        <f t="shared" si="92"/>
        <v>184.96823352120742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1.2072552665681526</v>
      </c>
      <c r="BQ93" s="21">
        <f>EXP(-LN(2)/25)*BQ92+(1-EXP(-LN(2)/25))/(LN(2)/25)*Calculateur!BL93*Calculateur!BN93*VLOOKUP('Données projet'!$B$11,Paramètres!$A$1:$I$89,3,0)*0.475*44/12</f>
        <v>0.59259102891446735</v>
      </c>
      <c r="BR93" s="21">
        <f>EXP(-LN(2)/2)*BR92+(1-EXP(-LN(2)/2))/(LN(2)/2)*BL93*BO93*VLOOKUP('Données projet'!$B$11,Paramètres!$A$1:$I$89,3,0)*0.475*44/12</f>
        <v>1.5547618592493598E-9</v>
      </c>
      <c r="BS93" s="22">
        <f t="shared" si="63"/>
        <v>1.7998462970373819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-5.6843418860808015E-14</v>
      </c>
      <c r="BZ93" s="13">
        <f>BY93*VLOOKUP('Données projet'!$B$12,Paramètres!$A$1:$I$89,3,0)*VLOOKUP('Données projet'!$B$12,Paramètres!$A$1:$I$89,5,0)</f>
        <v>-3.1036506698001178E-14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207.02306964567629</v>
      </c>
      <c r="CE93" s="59">
        <f t="shared" si="94"/>
        <v>342.06887933351783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2.0130956775099613</v>
      </c>
      <c r="CL93" s="21">
        <f>EXP(-LN(2)/25)*CL92+(1-EXP(-LN(2)/25))/(LN(2)/25)*Calculateur!CG93*Calculateur!CI93*VLOOKUP('Données projet'!$B$12,Paramètres!$A$1:$I$89,3,0)*0.475*44/12</f>
        <v>7.3738954739652698</v>
      </c>
      <c r="CM93" s="21">
        <f>EXP(-LN(2)/2)*CM92+(1-EXP(-LN(2)/2))/(LN(2)/2)*CG93*CJ93*VLOOKUP('Données projet'!$B$12,Paramètres!$A$1:$I$89,3,0)*0.475*44/12</f>
        <v>1.2362424654793777E-8</v>
      </c>
      <c r="CN93" s="22">
        <f t="shared" si="66"/>
        <v>9.3869911638376546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-4.9658410716801891E-14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268.31928207836495</v>
      </c>
      <c r="T94" s="59">
        <f t="shared" si="88"/>
        <v>277.61304526670204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0.61476507622948906</v>
      </c>
      <c r="AA94" s="21">
        <f>EXP(-LN(2)/25)*AA93+(1-EXP(-LN(2)/25))/(LN(2)/25)*Calculateur!V94*Calculateur!X94*VLOOKUP('Données projet'!$B$9,Paramètres!$A$1:$I$89,3,0)*0.475*44/12</f>
        <v>1.0378303600627909</v>
      </c>
      <c r="AB94" s="21">
        <f>EXP(-LN(2)/2)*AB93+(1-EXP(-LN(2)/2))/(LN(2)/2)*V94*Y94*VLOOKUP('Données projet'!$B$9,Paramètres!$A$1:$I$89,3,0)*0.475*44/12</f>
        <v>5.3760980747091607E-9</v>
      </c>
      <c r="AC94" s="22">
        <f t="shared" si="57"/>
        <v>1.6525954416683779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-3.4106051316484809E-13</v>
      </c>
      <c r="AJ94" s="13">
        <f>AI94*VLOOKUP('Données projet'!$B$10,Paramètres!$A$1:$I$89,3,0)*VLOOKUP('Données projet'!$B$10,Paramètres!$A$1:$I$89,5,0)</f>
        <v>-1.9065282685915009E-13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544.48194192356823</v>
      </c>
      <c r="AO94" s="59">
        <f t="shared" si="90"/>
        <v>668.20427590250733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2.1934264729646276</v>
      </c>
      <c r="AV94" s="21">
        <f>EXP(-LN(2)/25)*AV93+(1-EXP(-LN(2)/25))/(LN(2)/25)*Calculateur!AQ94*Calculateur!AS94*VLOOKUP('Données projet'!$B$10,Paramètres!$A$1:$I$89,3,0)*0.475*44/12</f>
        <v>6.5827196317042125</v>
      </c>
      <c r="AW94" s="21">
        <f>EXP(-LN(2)/2)*AW93+(1-EXP(-LN(2)/2))/(LN(2)/2)*AQ94*AT94*VLOOKUP('Données projet'!$B$10,Paramètres!$A$1:$I$89,3,0)*0.475*44/12</f>
        <v>1.0491059160758461E-8</v>
      </c>
      <c r="AX94" s="21">
        <f t="shared" si="60"/>
        <v>8.7761461151598983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162.86181551380446</v>
      </c>
      <c r="BJ94" s="59">
        <f t="shared" si="92"/>
        <v>184.96823352120742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1.183581727143755</v>
      </c>
      <c r="BQ94" s="21">
        <f>EXP(-LN(2)/25)*BQ93+(1-EXP(-LN(2)/25))/(LN(2)/25)*Calculateur!BL94*Calculateur!BN94*VLOOKUP('Données projet'!$B$11,Paramètres!$A$1:$I$89,3,0)*0.475*44/12</f>
        <v>0.57638659606579346</v>
      </c>
      <c r="BR94" s="21">
        <f>EXP(-LN(2)/2)*BR93+(1-EXP(-LN(2)/2))/(LN(2)/2)*BL94*BO94*VLOOKUP('Données projet'!$B$11,Paramètres!$A$1:$I$89,3,0)*0.475*44/12</f>
        <v>1.0993826538054268E-9</v>
      </c>
      <c r="BS94" s="22">
        <f t="shared" si="63"/>
        <v>1.759968324308931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-5.6843418860808015E-14</v>
      </c>
      <c r="BZ94" s="13">
        <f>BY94*VLOOKUP('Données projet'!$B$12,Paramètres!$A$1:$I$89,3,0)*VLOOKUP('Données projet'!$B$12,Paramètres!$A$1:$I$89,5,0)</f>
        <v>-3.1036506698001178E-14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207.02306964567629</v>
      </c>
      <c r="CE94" s="59">
        <f t="shared" si="94"/>
        <v>342.06887933351783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1.9736200991411124</v>
      </c>
      <c r="CL94" s="21">
        <f>EXP(-LN(2)/25)*CL93+(1-EXP(-LN(2)/25))/(LN(2)/25)*Calculateur!CG94*Calculateur!CI94*VLOOKUP('Données projet'!$B$12,Paramètres!$A$1:$I$89,3,0)*0.475*44/12</f>
        <v>7.1722559144533795</v>
      </c>
      <c r="CM94" s="21">
        <f>EXP(-LN(2)/2)*CM93+(1-EXP(-LN(2)/2))/(LN(2)/2)*CG94*CJ94*VLOOKUP('Données projet'!$B$12,Paramètres!$A$1:$I$89,3,0)*0.475*44/12</f>
        <v>8.7415543053124434E-9</v>
      </c>
      <c r="CN94" s="22">
        <f t="shared" si="66"/>
        <v>9.1458760223360471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-4.9658410716801891E-14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268.31928207836495</v>
      </c>
      <c r="T95" s="59">
        <f t="shared" si="88"/>
        <v>277.61304526670204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0.60270990805430014</v>
      </c>
      <c r="AA95" s="21">
        <f>EXP(-LN(2)/25)*AA94+(1-EXP(-LN(2)/25))/(LN(2)/25)*Calculateur!V95*Calculateur!X95*VLOOKUP('Données projet'!$B$9,Paramètres!$A$1:$I$89,3,0)*0.475*44/12</f>
        <v>1.0094508342897472</v>
      </c>
      <c r="AB95" s="21">
        <f>EXP(-LN(2)/2)*AB94+(1-EXP(-LN(2)/2))/(LN(2)/2)*V95*Y95*VLOOKUP('Données projet'!$B$9,Paramètres!$A$1:$I$89,3,0)*0.475*44/12</f>
        <v>3.8014754049507899E-9</v>
      </c>
      <c r="AC95" s="22">
        <f t="shared" si="57"/>
        <v>1.6121607461455227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-3.4106051316484809E-13</v>
      </c>
      <c r="AJ95" s="13">
        <f>AI95*VLOOKUP('Données projet'!$B$10,Paramètres!$A$1:$I$89,3,0)*VLOOKUP('Données projet'!$B$10,Paramètres!$A$1:$I$89,5,0)</f>
        <v>-1.9065282685915009E-13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544.48194192356823</v>
      </c>
      <c r="AO95" s="59">
        <f t="shared" si="90"/>
        <v>668.20427590250733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2.1504147176878372</v>
      </c>
      <c r="AV95" s="21">
        <f>EXP(-LN(2)/25)*AV94+(1-EXP(-LN(2)/25))/(LN(2)/25)*Calculateur!AQ95*Calculateur!AS95*VLOOKUP('Données projet'!$B$10,Paramètres!$A$1:$I$89,3,0)*0.475*44/12</f>
        <v>6.4027148172050801</v>
      </c>
      <c r="AW95" s="21">
        <f>EXP(-LN(2)/2)*AW94+(1-EXP(-LN(2)/2))/(LN(2)/2)*AQ95*AT95*VLOOKUP('Données projet'!$B$10,Paramètres!$A$1:$I$89,3,0)*0.475*44/12</f>
        <v>7.4182990744015584E-9</v>
      </c>
      <c r="AX95" s="21">
        <f t="shared" si="60"/>
        <v>8.5531295423112166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162.86181551380446</v>
      </c>
      <c r="BJ95" s="59">
        <f t="shared" si="92"/>
        <v>184.96823352120742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1.1603724113880365</v>
      </c>
      <c r="BQ95" s="21">
        <f>EXP(-LN(2)/25)*BQ94+(1-EXP(-LN(2)/25))/(LN(2)/25)*Calculateur!BL95*Calculateur!BN95*VLOOKUP('Données projet'!$B$11,Paramètres!$A$1:$I$89,3,0)*0.475*44/12</f>
        <v>0.56062527428552056</v>
      </c>
      <c r="BR95" s="21">
        <f>EXP(-LN(2)/2)*BR94+(1-EXP(-LN(2)/2))/(LN(2)/2)*BL95*BO95*VLOOKUP('Données projet'!$B$11,Paramètres!$A$1:$I$89,3,0)*0.475*44/12</f>
        <v>7.7738092962467989E-10</v>
      </c>
      <c r="BS95" s="22">
        <f t="shared" si="63"/>
        <v>1.720997686450938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-5.6843418860808015E-14</v>
      </c>
      <c r="BZ95" s="13">
        <f>BY95*VLOOKUP('Données projet'!$B$12,Paramètres!$A$1:$I$89,3,0)*VLOOKUP('Données projet'!$B$12,Paramètres!$A$1:$I$89,5,0)</f>
        <v>-3.1036506698001178E-14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207.02306964567629</v>
      </c>
      <c r="CE95" s="59">
        <f t="shared" si="94"/>
        <v>342.06887933351783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1.9349186127863514</v>
      </c>
      <c r="CL95" s="21">
        <f>EXP(-LN(2)/25)*CL94+(1-EXP(-LN(2)/25))/(LN(2)/25)*Calculateur!CG95*Calculateur!CI95*VLOOKUP('Données projet'!$B$12,Paramètres!$A$1:$I$89,3,0)*0.475*44/12</f>
        <v>6.9761301993001057</v>
      </c>
      <c r="CM95" s="21">
        <f>EXP(-LN(2)/2)*CM94+(1-EXP(-LN(2)/2))/(LN(2)/2)*CG95*CJ95*VLOOKUP('Données projet'!$B$12,Paramètres!$A$1:$I$89,3,0)*0.475*44/12</f>
        <v>6.1812123273968885E-9</v>
      </c>
      <c r="CN95" s="22">
        <f t="shared" si="66"/>
        <v>8.9110488182676697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-4.9658410716801891E-14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268.31928207836495</v>
      </c>
      <c r="T96" s="59">
        <f t="shared" si="88"/>
        <v>277.61304526670204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0.59089113437410012</v>
      </c>
      <c r="AA96" s="21">
        <f>EXP(-LN(2)/25)*AA95+(1-EXP(-LN(2)/25))/(LN(2)/25)*Calculateur!V96*Calculateur!X96*VLOOKUP('Données projet'!$B$9,Paramètres!$A$1:$I$89,3,0)*0.475*44/12</f>
        <v>0.98184734814138186</v>
      </c>
      <c r="AB96" s="21">
        <f>EXP(-LN(2)/2)*AB95+(1-EXP(-LN(2)/2))/(LN(2)/2)*V96*Y96*VLOOKUP('Données projet'!$B$9,Paramètres!$A$1:$I$89,3,0)*0.475*44/12</f>
        <v>2.6880490373545803E-9</v>
      </c>
      <c r="AC96" s="22">
        <f t="shared" si="57"/>
        <v>1.5727384852035311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-3.4106051316484809E-13</v>
      </c>
      <c r="AJ96" s="13">
        <f>AI96*VLOOKUP('Données projet'!$B$10,Paramètres!$A$1:$I$89,3,0)*VLOOKUP('Données projet'!$B$10,Paramètres!$A$1:$I$89,5,0)</f>
        <v>-1.9065282685915009E-13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544.48194192356823</v>
      </c>
      <c r="AO96" s="59">
        <f t="shared" si="90"/>
        <v>668.20427590250733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2.1082463966974445</v>
      </c>
      <c r="AV96" s="21">
        <f>EXP(-LN(2)/25)*AV95+(1-EXP(-LN(2)/25))/(LN(2)/25)*Calculateur!AQ96*Calculateur!AS96*VLOOKUP('Données projet'!$B$10,Paramètres!$A$1:$I$89,3,0)*0.475*44/12</f>
        <v>6.2276322438244689</v>
      </c>
      <c r="AW96" s="21">
        <f>EXP(-LN(2)/2)*AW95+(1-EXP(-LN(2)/2))/(LN(2)/2)*AQ96*AT96*VLOOKUP('Données projet'!$B$10,Paramètres!$A$1:$I$89,3,0)*0.475*44/12</f>
        <v>5.2455295803792313E-9</v>
      </c>
      <c r="AX96" s="21">
        <f t="shared" si="60"/>
        <v>8.3358786457674441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162.86181551380446</v>
      </c>
      <c r="BJ96" s="59">
        <f t="shared" si="92"/>
        <v>184.96823352120742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1.1376182161580028</v>
      </c>
      <c r="BQ96" s="21">
        <f>EXP(-LN(2)/25)*BQ95+(1-EXP(-LN(2)/25))/(LN(2)/25)*Calculateur!BL96*Calculateur!BN96*VLOOKUP('Données projet'!$B$11,Paramètres!$A$1:$I$89,3,0)*0.475*44/12</f>
        <v>0.54529494667818112</v>
      </c>
      <c r="BR96" s="21">
        <f>EXP(-LN(2)/2)*BR95+(1-EXP(-LN(2)/2))/(LN(2)/2)*BL96*BO96*VLOOKUP('Données projet'!$B$11,Paramètres!$A$1:$I$89,3,0)*0.475*44/12</f>
        <v>5.4969132690271341E-10</v>
      </c>
      <c r="BS96" s="22">
        <f t="shared" si="63"/>
        <v>1.6829131633858754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-5.6843418860808015E-14</v>
      </c>
      <c r="BZ96" s="13">
        <f>BY96*VLOOKUP('Données projet'!$B$12,Paramètres!$A$1:$I$89,3,0)*VLOOKUP('Données projet'!$B$12,Paramètres!$A$1:$I$89,5,0)</f>
        <v>-3.1036506698001178E-14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207.02306964567629</v>
      </c>
      <c r="CE96" s="59">
        <f t="shared" si="94"/>
        <v>342.06887933351783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1.8969760389734314</v>
      </c>
      <c r="CL96" s="21">
        <f>EXP(-LN(2)/25)*CL95+(1-EXP(-LN(2)/25))/(LN(2)/25)*Calculateur!CG96*Calculateur!CI96*VLOOKUP('Données projet'!$B$12,Paramètres!$A$1:$I$89,3,0)*0.475*44/12</f>
        <v>6.7853675521415013</v>
      </c>
      <c r="CM96" s="21">
        <f>EXP(-LN(2)/2)*CM95+(1-EXP(-LN(2)/2))/(LN(2)/2)*CG96*CJ96*VLOOKUP('Données projet'!$B$12,Paramètres!$A$1:$I$89,3,0)*0.475*44/12</f>
        <v>4.3707771526562217E-9</v>
      </c>
      <c r="CN96" s="22">
        <f t="shared" si="66"/>
        <v>8.68234359548571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-4.9658410716801891E-14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268.31928207836495</v>
      </c>
      <c r="T97" s="59">
        <f t="shared" si="88"/>
        <v>277.61304526670204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0.57930411963702866</v>
      </c>
      <c r="AA97" s="21">
        <f>EXP(-LN(2)/25)*AA96+(1-EXP(-LN(2)/25))/(LN(2)/25)*Calculateur!V97*Calculateur!X97*VLOOKUP('Données projet'!$B$9,Paramètres!$A$1:$I$89,3,0)*0.475*44/12</f>
        <v>0.95499868077334782</v>
      </c>
      <c r="AB97" s="21">
        <f>EXP(-LN(2)/2)*AB96+(1-EXP(-LN(2)/2))/(LN(2)/2)*V97*Y97*VLOOKUP('Données projet'!$B$9,Paramètres!$A$1:$I$89,3,0)*0.475*44/12</f>
        <v>1.9007377024753949E-9</v>
      </c>
      <c r="AC97" s="22">
        <f t="shared" si="57"/>
        <v>1.5343028023111143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-3.4106051316484809E-13</v>
      </c>
      <c r="AJ97" s="13">
        <f>AI97*VLOOKUP('Données projet'!$B$10,Paramètres!$A$1:$I$89,3,0)*VLOOKUP('Données projet'!$B$10,Paramètres!$A$1:$I$89,5,0)</f>
        <v>-1.9065282685915009E-13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544.48194192356823</v>
      </c>
      <c r="AO97" s="59">
        <f t="shared" si="90"/>
        <v>668.20427590250733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2.066904970761537</v>
      </c>
      <c r="AV97" s="21">
        <f>EXP(-LN(2)/25)*AV96+(1-EXP(-LN(2)/25))/(LN(2)/25)*Calculateur!AQ97*Calculateur!AS97*VLOOKUP('Données projet'!$B$10,Paramètres!$A$1:$I$89,3,0)*0.475*44/12</f>
        <v>6.0573373126201426</v>
      </c>
      <c r="AW97" s="21">
        <f>EXP(-LN(2)/2)*AW96+(1-EXP(-LN(2)/2))/(LN(2)/2)*AQ97*AT97*VLOOKUP('Données projet'!$B$10,Paramètres!$A$1:$I$89,3,0)*0.475*44/12</f>
        <v>3.7091495372007796E-9</v>
      </c>
      <c r="AX97" s="21">
        <f t="shared" si="60"/>
        <v>8.12424228709083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162.86181551380446</v>
      </c>
      <c r="BJ97" s="59">
        <f t="shared" si="92"/>
        <v>184.96823352120742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1.1153102168177413</v>
      </c>
      <c r="BQ97" s="21">
        <f>EXP(-LN(2)/25)*BQ96+(1-EXP(-LN(2)/25))/(LN(2)/25)*Calculateur!BL97*Calculateur!BN97*VLOOKUP('Données projet'!$B$11,Paramètres!$A$1:$I$89,3,0)*0.475*44/12</f>
        <v>0.53038382768545134</v>
      </c>
      <c r="BR97" s="21">
        <f>EXP(-LN(2)/2)*BR96+(1-EXP(-LN(2)/2))/(LN(2)/2)*BL97*BO97*VLOOKUP('Données projet'!$B$11,Paramètres!$A$1:$I$89,3,0)*0.475*44/12</f>
        <v>3.8869046481233995E-10</v>
      </c>
      <c r="BS97" s="22">
        <f t="shared" si="63"/>
        <v>1.6456940448918831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-5.6843418860808015E-14</v>
      </c>
      <c r="BZ97" s="13">
        <f>BY97*VLOOKUP('Données projet'!$B$12,Paramètres!$A$1:$I$89,3,0)*VLOOKUP('Données projet'!$B$12,Paramètres!$A$1:$I$89,5,0)</f>
        <v>-3.1036506698001178E-14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207.02306964567629</v>
      </c>
      <c r="CE97" s="59">
        <f t="shared" si="94"/>
        <v>342.06887933351783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1.8597774958902977</v>
      </c>
      <c r="CL97" s="21">
        <f>EXP(-LN(2)/25)*CL96+(1-EXP(-LN(2)/25))/(LN(2)/25)*Calculateur!CG97*Calculateur!CI97*VLOOKUP('Données projet'!$B$12,Paramètres!$A$1:$I$89,3,0)*0.475*44/12</f>
        <v>6.5998213196012205</v>
      </c>
      <c r="CM97" s="21">
        <f>EXP(-LN(2)/2)*CM96+(1-EXP(-LN(2)/2))/(LN(2)/2)*CG97*CJ97*VLOOKUP('Données projet'!$B$12,Paramètres!$A$1:$I$89,3,0)*0.475*44/12</f>
        <v>3.0906061636984443E-9</v>
      </c>
      <c r="CN97" s="22">
        <f t="shared" si="66"/>
        <v>8.4595988185821245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-4.9658410716801891E-14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268.31928207836495</v>
      </c>
      <c r="T98" s="59">
        <f t="shared" si="88"/>
        <v>277.61304526670204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0.56794431919157007</v>
      </c>
      <c r="AA98" s="21">
        <f>EXP(-LN(2)/25)*AA97+(1-EXP(-LN(2)/25))/(LN(2)/25)*Calculateur!V98*Calculateur!X98*VLOOKUP('Données projet'!$B$9,Paramètres!$A$1:$I$89,3,0)*0.475*44/12</f>
        <v>0.92888419162640268</v>
      </c>
      <c r="AB98" s="21">
        <f>EXP(-LN(2)/2)*AB97+(1-EXP(-LN(2)/2))/(LN(2)/2)*V98*Y98*VLOOKUP('Données projet'!$B$9,Paramètres!$A$1:$I$89,3,0)*0.475*44/12</f>
        <v>1.3440245186772902E-9</v>
      </c>
      <c r="AC98" s="22">
        <f t="shared" si="57"/>
        <v>1.4968285121619971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-3.4106051316484809E-13</v>
      </c>
      <c r="AJ98" s="13">
        <f>AI98*VLOOKUP('Données projet'!$B$10,Paramètres!$A$1:$I$89,3,0)*VLOOKUP('Données projet'!$B$10,Paramètres!$A$1:$I$89,5,0)</f>
        <v>-1.9065282685915009E-13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544.48194192356823</v>
      </c>
      <c r="AO98" s="59">
        <f t="shared" si="90"/>
        <v>668.20427590250733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2.0263742249724528</v>
      </c>
      <c r="AV98" s="21">
        <f>EXP(-LN(2)/25)*AV97+(1-EXP(-LN(2)/25))/(LN(2)/25)*Calculateur!AQ98*Calculateur!AS98*VLOOKUP('Données projet'!$B$10,Paramètres!$A$1:$I$89,3,0)*0.475*44/12</f>
        <v>5.8916991052650198</v>
      </c>
      <c r="AW98" s="21">
        <f>EXP(-LN(2)/2)*AW97+(1-EXP(-LN(2)/2))/(LN(2)/2)*AQ98*AT98*VLOOKUP('Données projet'!$B$10,Paramètres!$A$1:$I$89,3,0)*0.475*44/12</f>
        <v>2.622764790189616E-9</v>
      </c>
      <c r="AX98" s="21">
        <f t="shared" si="60"/>
        <v>7.9180733328602377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162.86181551380446</v>
      </c>
      <c r="BJ98" s="59">
        <f t="shared" si="92"/>
        <v>184.96823352120742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1.0934396637380064</v>
      </c>
      <c r="BQ98" s="21">
        <f>EXP(-LN(2)/25)*BQ97+(1-EXP(-LN(2)/25))/(LN(2)/25)*Calculateur!BL98*Calculateur!BN98*VLOOKUP('Données projet'!$B$11,Paramètres!$A$1:$I$89,3,0)*0.475*44/12</f>
        <v>0.51588045402571936</v>
      </c>
      <c r="BR98" s="21">
        <f>EXP(-LN(2)/2)*BR97+(1-EXP(-LN(2)/2))/(LN(2)/2)*BL98*BO98*VLOOKUP('Données projet'!$B$11,Paramètres!$A$1:$I$89,3,0)*0.475*44/12</f>
        <v>2.7484566345135671E-10</v>
      </c>
      <c r="BS98" s="22">
        <f t="shared" si="63"/>
        <v>1.6093201180385714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-5.6843418860808015E-14</v>
      </c>
      <c r="BZ98" s="13">
        <f>BY98*VLOOKUP('Données projet'!$B$12,Paramètres!$A$1:$I$89,3,0)*VLOOKUP('Données projet'!$B$12,Paramètres!$A$1:$I$89,5,0)</f>
        <v>-3.1036506698001178E-14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207.02306964567629</v>
      </c>
      <c r="CE98" s="59">
        <f t="shared" si="94"/>
        <v>342.06887933351783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1.8233083935481535</v>
      </c>
      <c r="CL98" s="21">
        <f>EXP(-LN(2)/25)*CL97+(1-EXP(-LN(2)/25))/(LN(2)/25)*Calculateur!CG98*Calculateur!CI98*VLOOKUP('Données projet'!$B$12,Paramètres!$A$1:$I$89,3,0)*0.475*44/12</f>
        <v>6.419348858547206</v>
      </c>
      <c r="CM98" s="21">
        <f>EXP(-LN(2)/2)*CM97+(1-EXP(-LN(2)/2))/(LN(2)/2)*CG98*CJ98*VLOOKUP('Données projet'!$B$12,Paramètres!$A$1:$I$89,3,0)*0.475*44/12</f>
        <v>2.1853885763281109E-9</v>
      </c>
      <c r="CN98" s="22">
        <f t="shared" si="66"/>
        <v>8.242657254280747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-4.9658410716801891E-14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268.31928207836495</v>
      </c>
      <c r="T99" s="59">
        <f t="shared" si="88"/>
        <v>277.61304526670204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0.55680727750405279</v>
      </c>
      <c r="AA99" s="21">
        <f>EXP(-LN(2)/25)*AA98+(1-EXP(-LN(2)/25))/(LN(2)/25)*Calculateur!V99*Calculateur!X99*VLOOKUP('Données projet'!$B$9,Paramètres!$A$1:$I$89,3,0)*0.475*44/12</f>
        <v>0.9034838045584821</v>
      </c>
      <c r="AB99" s="21">
        <f>EXP(-LN(2)/2)*AB98+(1-EXP(-LN(2)/2))/(LN(2)/2)*V99*Y99*VLOOKUP('Données projet'!$B$9,Paramètres!$A$1:$I$89,3,0)*0.475*44/12</f>
        <v>9.5036885123769747E-10</v>
      </c>
      <c r="AC99" s="22">
        <f t="shared" si="57"/>
        <v>1.4602910830129037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-3.4106051316484809E-13</v>
      </c>
      <c r="AJ99" s="13">
        <f>AI99*VLOOKUP('Données projet'!$B$10,Paramètres!$A$1:$I$89,3,0)*VLOOKUP('Données projet'!$B$10,Paramètres!$A$1:$I$89,5,0)</f>
        <v>-1.9065282685915009E-13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544.48194192356823</v>
      </c>
      <c r="AO99" s="59">
        <f t="shared" si="90"/>
        <v>668.20427590250733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1.9866382623869787</v>
      </c>
      <c r="AV99" s="21">
        <f>EXP(-LN(2)/25)*AV98+(1-EXP(-LN(2)/25))/(LN(2)/25)*Calculateur!AQ99*Calculateur!AS99*VLOOKUP('Données projet'!$B$10,Paramètres!$A$1:$I$89,3,0)*0.475*44/12</f>
        <v>5.7305902834005575</v>
      </c>
      <c r="AW99" s="21">
        <f>EXP(-LN(2)/2)*AW98+(1-EXP(-LN(2)/2))/(LN(2)/2)*AQ99*AT99*VLOOKUP('Données projet'!$B$10,Paramètres!$A$1:$I$89,3,0)*0.475*44/12</f>
        <v>1.8545747686003902E-9</v>
      </c>
      <c r="AX99" s="21">
        <f t="shared" si="60"/>
        <v>7.7172285476421116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162.86181551380446</v>
      </c>
      <c r="BJ99" s="59">
        <f t="shared" si="92"/>
        <v>184.96823352120742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1.0719979788644449</v>
      </c>
      <c r="BQ99" s="21">
        <f>EXP(-LN(2)/25)*BQ98+(1-EXP(-LN(2)/25))/(LN(2)/25)*Calculateur!BL99*Calculateur!BN99*VLOOKUP('Données projet'!$B$11,Paramètres!$A$1:$I$89,3,0)*0.475*44/12</f>
        <v>0.50177367588141208</v>
      </c>
      <c r="BR99" s="21">
        <f>EXP(-LN(2)/2)*BR98+(1-EXP(-LN(2)/2))/(LN(2)/2)*BL99*BO99*VLOOKUP('Données projet'!$B$11,Paramètres!$A$1:$I$89,3,0)*0.475*44/12</f>
        <v>1.9434523240616997E-10</v>
      </c>
      <c r="BS99" s="22">
        <f t="shared" si="63"/>
        <v>1.5737716549402021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-5.6843418860808015E-14</v>
      </c>
      <c r="BZ99" s="13">
        <f>BY99*VLOOKUP('Données projet'!$B$12,Paramètres!$A$1:$I$89,3,0)*VLOOKUP('Données projet'!$B$12,Paramètres!$A$1:$I$89,5,0)</f>
        <v>-3.1036506698001178E-14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207.02306964567629</v>
      </c>
      <c r="CE99" s="59">
        <f t="shared" si="94"/>
        <v>342.06887933351783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1.7875544280589828</v>
      </c>
      <c r="CL99" s="21">
        <f>EXP(-LN(2)/25)*CL98+(1-EXP(-LN(2)/25))/(LN(2)/25)*Calculateur!CG99*Calculateur!CI99*VLOOKUP('Données projet'!$B$12,Paramètres!$A$1:$I$89,3,0)*0.475*44/12</f>
        <v>6.243811426431348</v>
      </c>
      <c r="CM99" s="21">
        <f>EXP(-LN(2)/2)*CM98+(1-EXP(-LN(2)/2))/(LN(2)/2)*CG99*CJ99*VLOOKUP('Données projet'!$B$12,Paramètres!$A$1:$I$89,3,0)*0.475*44/12</f>
        <v>1.5453030818492221E-9</v>
      </c>
      <c r="CN99" s="22">
        <f t="shared" si="66"/>
        <v>8.0313658560356327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-4.9658410716801891E-14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268.31928207836495</v>
      </c>
      <c r="T100" s="59">
        <f t="shared" si="88"/>
        <v>277.61304526670204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0.54588862641110303</v>
      </c>
      <c r="AA100" s="21">
        <f>EXP(-LN(2)/25)*AA99+(1-EXP(-LN(2)/25))/(LN(2)/25)*Calculateur!V100*Calculateur!X100*VLOOKUP('Données projet'!$B$9,Paramètres!$A$1:$I$89,3,0)*0.475*44/12</f>
        <v>0.87877799241068211</v>
      </c>
      <c r="AB100" s="21">
        <f>EXP(-LN(2)/2)*AB99+(1-EXP(-LN(2)/2))/(LN(2)/2)*V100*Y100*VLOOKUP('Données projet'!$B$9,Paramètres!$A$1:$I$89,3,0)*0.475*44/12</f>
        <v>6.7201225933864509E-10</v>
      </c>
      <c r="AC100" s="22">
        <f t="shared" si="57"/>
        <v>1.4246666194937974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-3.4106051316484809E-13</v>
      </c>
      <c r="AJ100" s="13">
        <f>AI100*VLOOKUP('Données projet'!$B$10,Paramètres!$A$1:$I$89,3,0)*VLOOKUP('Données projet'!$B$10,Paramètres!$A$1:$I$89,5,0)</f>
        <v>-1.9065282685915009E-13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544.48194192356823</v>
      </c>
      <c r="AO100" s="59">
        <f t="shared" si="90"/>
        <v>668.20427590250733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1.9476814977912618</v>
      </c>
      <c r="AV100" s="21">
        <f>EXP(-LN(2)/25)*AV99+(1-EXP(-LN(2)/25))/(LN(2)/25)*Calculateur!AQ100*Calculateur!AS100*VLOOKUP('Données projet'!$B$10,Paramètres!$A$1:$I$89,3,0)*0.475*44/12</f>
        <v>5.5738869907423236</v>
      </c>
      <c r="AW100" s="21">
        <f>EXP(-LN(2)/2)*AW99+(1-EXP(-LN(2)/2))/(LN(2)/2)*AQ100*AT100*VLOOKUP('Données projet'!$B$10,Paramètres!$A$1:$I$89,3,0)*0.475*44/12</f>
        <v>1.3113823950948082E-9</v>
      </c>
      <c r="AX100" s="21">
        <f t="shared" si="60"/>
        <v>7.5215684898449675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162.86181551380446</v>
      </c>
      <c r="BJ100" s="59">
        <f t="shared" si="92"/>
        <v>184.96823352120742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1.0509767523531175</v>
      </c>
      <c r="BQ100" s="21">
        <f>EXP(-LN(2)/25)*BQ99+(1-EXP(-LN(2)/25))/(LN(2)/25)*Calculateur!BL100*Calculateur!BN100*VLOOKUP('Données projet'!$B$11,Paramètres!$A$1:$I$89,3,0)*0.475*44/12</f>
        <v>0.48805264832730405</v>
      </c>
      <c r="BR100" s="21">
        <f>EXP(-LN(2)/2)*BR99+(1-EXP(-LN(2)/2))/(LN(2)/2)*BL100*BO100*VLOOKUP('Données projet'!$B$11,Paramètres!$A$1:$I$89,3,0)*0.475*44/12</f>
        <v>1.3742283172567835E-10</v>
      </c>
      <c r="BS100" s="22">
        <f t="shared" si="63"/>
        <v>1.5390294008178442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-5.6843418860808015E-14</v>
      </c>
      <c r="BZ100" s="13">
        <f>BY100*VLOOKUP('Données projet'!$B$12,Paramètres!$A$1:$I$89,3,0)*VLOOKUP('Données projet'!$B$12,Paramètres!$A$1:$I$89,5,0)</f>
        <v>-3.1036506698001178E-14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207.02306964567629</v>
      </c>
      <c r="CE100" s="59">
        <f t="shared" si="94"/>
        <v>342.06887933351783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1.7525015760252891</v>
      </c>
      <c r="CL100" s="21">
        <f>EXP(-LN(2)/25)*CL99+(1-EXP(-LN(2)/25))/(LN(2)/25)*Calculateur!CG100*Calculateur!CI100*VLOOKUP('Données projet'!$B$12,Paramètres!$A$1:$I$89,3,0)*0.475*44/12</f>
        <v>6.0730740746278107</v>
      </c>
      <c r="CM100" s="21">
        <f>EXP(-LN(2)/2)*CM99+(1-EXP(-LN(2)/2))/(LN(2)/2)*CG100*CJ100*VLOOKUP('Données projet'!$B$12,Paramètres!$A$1:$I$89,3,0)*0.475*44/12</f>
        <v>1.0926942881640554E-9</v>
      </c>
      <c r="CN100" s="22">
        <f t="shared" si="66"/>
        <v>7.8255756517457939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-4.9658410716801891E-14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268.31928207836495</v>
      </c>
      <c r="T101" s="59">
        <f t="shared" si="88"/>
        <v>277.61304526670204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0.53518408340636647</v>
      </c>
      <c r="AA101" s="21">
        <f>EXP(-LN(2)/25)*AA100+(1-EXP(-LN(2)/25))/(LN(2)/25)*Calculateur!V101*Calculateur!X101*VLOOKUP('Données projet'!$B$9,Paramètres!$A$1:$I$89,3,0)*0.475*44/12</f>
        <v>0.8547477619952859</v>
      </c>
      <c r="AB101" s="21">
        <f>EXP(-LN(2)/2)*AB100+(1-EXP(-LN(2)/2))/(LN(2)/2)*V101*Y101*VLOOKUP('Données projet'!$B$9,Paramètres!$A$1:$I$89,3,0)*0.475*44/12</f>
        <v>4.7518442561884873E-10</v>
      </c>
      <c r="AC101" s="22">
        <f t="shared" si="57"/>
        <v>1.3899318458768368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-3.4106051316484809E-13</v>
      </c>
      <c r="AJ101" s="13">
        <f>AI101*VLOOKUP('Données projet'!$B$10,Paramètres!$A$1:$I$89,3,0)*VLOOKUP('Données projet'!$B$10,Paramètres!$A$1:$I$89,5,0)</f>
        <v>-1.9065282685915009E-13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544.48194192356823</v>
      </c>
      <c r="AO101" s="59">
        <f t="shared" si="90"/>
        <v>668.20427590250733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1.9094886515879865</v>
      </c>
      <c r="AV101" s="21">
        <f>EXP(-LN(2)/25)*AV100+(1-EXP(-LN(2)/25))/(LN(2)/25)*Calculateur!AQ101*Calculateur!AS101*VLOOKUP('Données projet'!$B$10,Paramètres!$A$1:$I$89,3,0)*0.475*44/12</f>
        <v>5.4214687578624972</v>
      </c>
      <c r="AW101" s="21">
        <f>EXP(-LN(2)/2)*AW100+(1-EXP(-LN(2)/2))/(LN(2)/2)*AQ101*AT101*VLOOKUP('Données projet'!$B$10,Paramètres!$A$1:$I$89,3,0)*0.475*44/12</f>
        <v>9.2728738430019522E-10</v>
      </c>
      <c r="AX101" s="21">
        <f t="shared" si="60"/>
        <v>7.3309574103777715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162.86181551380446</v>
      </c>
      <c r="BJ101" s="59">
        <f t="shared" si="92"/>
        <v>184.96823352120742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1.030367739271995</v>
      </c>
      <c r="BQ101" s="21">
        <f>EXP(-LN(2)/25)*BQ100+(1-EXP(-LN(2)/25))/(LN(2)/25)*Calculateur!BL101*Calculateur!BN101*VLOOKUP('Données projet'!$B$11,Paramètres!$A$1:$I$89,3,0)*0.475*44/12</f>
        <v>0.47470682299322059</v>
      </c>
      <c r="BR101" s="21">
        <f>EXP(-LN(2)/2)*BR100+(1-EXP(-LN(2)/2))/(LN(2)/2)*BL101*BO101*VLOOKUP('Données projet'!$B$11,Paramètres!$A$1:$I$89,3,0)*0.475*44/12</f>
        <v>9.7172616203084986E-11</v>
      </c>
      <c r="BS101" s="22">
        <f t="shared" si="63"/>
        <v>1.5050745623623882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-5.6843418860808015E-14</v>
      </c>
      <c r="BZ101" s="13">
        <f>BY101*VLOOKUP('Données projet'!$B$12,Paramètres!$A$1:$I$89,3,0)*VLOOKUP('Données projet'!$B$12,Paramètres!$A$1:$I$89,5,0)</f>
        <v>-3.1036506698001178E-14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207.02306964567629</v>
      </c>
      <c r="CE101" s="59">
        <f t="shared" si="94"/>
        <v>342.06887933351783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1.7181360890398474</v>
      </c>
      <c r="CL101" s="21">
        <f>EXP(-LN(2)/25)*CL100+(1-EXP(-LN(2)/25))/(LN(2)/25)*Calculateur!CG101*Calculateur!CI101*VLOOKUP('Données projet'!$B$12,Paramètres!$A$1:$I$89,3,0)*0.475*44/12</f>
        <v>5.9070055446880279</v>
      </c>
      <c r="CM101" s="21">
        <f>EXP(-LN(2)/2)*CM100+(1-EXP(-LN(2)/2))/(LN(2)/2)*CG101*CJ101*VLOOKUP('Données projet'!$B$12,Paramètres!$A$1:$I$89,3,0)*0.475*44/12</f>
        <v>7.7265154092461106E-10</v>
      </c>
      <c r="CN101" s="22">
        <f t="shared" si="66"/>
        <v>7.6251416345005261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-4.9658410716801891E-14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268.31928207836495</v>
      </c>
      <c r="T102" s="59">
        <f t="shared" si="88"/>
        <v>277.61304526670204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0.52468944996082623</v>
      </c>
      <c r="AA102" s="21">
        <f>EXP(-LN(2)/25)*AA101+(1-EXP(-LN(2)/25))/(LN(2)/25)*Calculateur!V102*Calculateur!X102*VLOOKUP('Données projet'!$B$9,Paramètres!$A$1:$I$89,3,0)*0.475*44/12</f>
        <v>0.83137463949429358</v>
      </c>
      <c r="AB102" s="21">
        <f>EXP(-LN(2)/2)*AB101+(1-EXP(-LN(2)/2))/(LN(2)/2)*V102*Y102*VLOOKUP('Données projet'!$B$9,Paramètres!$A$1:$I$89,3,0)*0.475*44/12</f>
        <v>3.3600612966932254E-10</v>
      </c>
      <c r="AC102" s="22">
        <f t="shared" si="57"/>
        <v>1.3560640897911258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-3.4106051316484809E-13</v>
      </c>
      <c r="AJ102" s="13">
        <f>AI102*VLOOKUP('Données projet'!$B$10,Paramètres!$A$1:$I$89,3,0)*VLOOKUP('Données projet'!$B$10,Paramètres!$A$1:$I$89,5,0)</f>
        <v>-1.9065282685915009E-13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544.48194192356823</v>
      </c>
      <c r="AO102" s="59">
        <f t="shared" si="90"/>
        <v>668.20427590250733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1.8720447438034216</v>
      </c>
      <c r="AV102" s="21">
        <f>EXP(-LN(2)/25)*AV101+(1-EXP(-LN(2)/25))/(LN(2)/25)*Calculateur!AQ102*Calculateur!AS102*VLOOKUP('Données projet'!$B$10,Paramètres!$A$1:$I$89,3,0)*0.475*44/12</f>
        <v>5.2732184095760966</v>
      </c>
      <c r="AW102" s="21">
        <f>EXP(-LN(2)/2)*AW101+(1-EXP(-LN(2)/2))/(LN(2)/2)*AQ102*AT102*VLOOKUP('Données projet'!$B$10,Paramètres!$A$1:$I$89,3,0)*0.475*44/12</f>
        <v>6.5569119754740422E-10</v>
      </c>
      <c r="AX102" s="21">
        <f t="shared" si="60"/>
        <v>7.1452631540352094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162.86181551380446</v>
      </c>
      <c r="BJ102" s="59">
        <f t="shared" si="92"/>
        <v>184.96823352120742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1.0101628563671365</v>
      </c>
      <c r="BQ102" s="21">
        <f>EXP(-LN(2)/25)*BQ101+(1-EXP(-LN(2)/25))/(LN(2)/25)*Calculateur!BL102*Calculateur!BN102*VLOOKUP('Données projet'!$B$11,Paramètres!$A$1:$I$89,3,0)*0.475*44/12</f>
        <v>0.46172593995472411</v>
      </c>
      <c r="BR102" s="21">
        <f>EXP(-LN(2)/2)*BR101+(1-EXP(-LN(2)/2))/(LN(2)/2)*BL102*BO102*VLOOKUP('Données projet'!$B$11,Paramètres!$A$1:$I$89,3,0)*0.475*44/12</f>
        <v>6.8711415862839177E-11</v>
      </c>
      <c r="BS102" s="22">
        <f t="shared" si="63"/>
        <v>1.4718887963905722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-5.6843418860808015E-14</v>
      </c>
      <c r="BZ102" s="13">
        <f>BY102*VLOOKUP('Données projet'!$B$12,Paramètres!$A$1:$I$89,3,0)*VLOOKUP('Données projet'!$B$12,Paramètres!$A$1:$I$89,5,0)</f>
        <v>-3.1036506698001178E-14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207.02306964567629</v>
      </c>
      <c r="CE102" s="59">
        <f t="shared" si="94"/>
        <v>342.06887933351783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1.6844444882933129</v>
      </c>
      <c r="CL102" s="21">
        <f>EXP(-LN(2)/25)*CL101+(1-EXP(-LN(2)/25))/(LN(2)/25)*Calculateur!CG102*Calculateur!CI102*VLOOKUP('Données projet'!$B$12,Paramètres!$A$1:$I$89,3,0)*0.475*44/12</f>
        <v>5.745478167432613</v>
      </c>
      <c r="CM102" s="21">
        <f>EXP(-LN(2)/2)*CM101+(1-EXP(-LN(2)/2))/(LN(2)/2)*CG102*CJ102*VLOOKUP('Données projet'!$B$12,Paramètres!$A$1:$I$89,3,0)*0.475*44/12</f>
        <v>5.4634714408202771E-10</v>
      </c>
      <c r="CN102" s="22">
        <f t="shared" si="66"/>
        <v>7.4299226562722733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-4.9658410716801891E-14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268.31928207836495</v>
      </c>
      <c r="T103" s="59">
        <f t="shared" si="88"/>
        <v>277.61304526670204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0.51440060987605862</v>
      </c>
      <c r="AA103" s="21">
        <f>EXP(-LN(2)/25)*AA102+(1-EXP(-LN(2)/25))/(LN(2)/25)*Calculateur!V103*Calculateur!X103*VLOOKUP('Données projet'!$B$9,Paramètres!$A$1:$I$89,3,0)*0.475*44/12</f>
        <v>0.80864065625722992</v>
      </c>
      <c r="AB103" s="21">
        <f>EXP(-LN(2)/2)*AB102+(1-EXP(-LN(2)/2))/(LN(2)/2)*V103*Y103*VLOOKUP('Données projet'!$B$9,Paramètres!$A$1:$I$89,3,0)*0.475*44/12</f>
        <v>2.3759221280942437E-10</v>
      </c>
      <c r="AC103" s="22">
        <f t="shared" si="57"/>
        <v>1.3230412663708808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-3.4106051316484809E-13</v>
      </c>
      <c r="AJ103" s="13">
        <f>AI103*VLOOKUP('Données projet'!$B$10,Paramètres!$A$1:$I$89,3,0)*VLOOKUP('Données projet'!$B$10,Paramètres!$A$1:$I$89,5,0)</f>
        <v>-1.9065282685915009E-13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544.48194192356823</v>
      </c>
      <c r="AO103" s="59">
        <f t="shared" si="90"/>
        <v>668.20427590250733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1.8353350882119834</v>
      </c>
      <c r="AV103" s="21">
        <f>EXP(-LN(2)/25)*AV102+(1-EXP(-LN(2)/25))/(LN(2)/25)*Calculateur!AQ103*Calculateur!AS103*VLOOKUP('Données projet'!$B$10,Paramètres!$A$1:$I$89,3,0)*0.475*44/12</f>
        <v>5.1290219748597341</v>
      </c>
      <c r="AW103" s="21">
        <f>EXP(-LN(2)/2)*AW102+(1-EXP(-LN(2)/2))/(LN(2)/2)*AQ103*AT103*VLOOKUP('Données projet'!$B$10,Paramètres!$A$1:$I$89,3,0)*0.475*44/12</f>
        <v>4.6364369215009771E-10</v>
      </c>
      <c r="AX103" s="21">
        <f t="shared" si="60"/>
        <v>6.9643570635353607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162.86181551380446</v>
      </c>
      <c r="BJ103" s="59">
        <f t="shared" si="92"/>
        <v>184.96823352120742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0.99035417889228072</v>
      </c>
      <c r="BQ103" s="21">
        <f>EXP(-LN(2)/25)*BQ102+(1-EXP(-LN(2)/25))/(LN(2)/25)*Calculateur!BL103*Calculateur!BN103*VLOOKUP('Données projet'!$B$11,Paramètres!$A$1:$I$89,3,0)*0.475*44/12</f>
        <v>0.44910001984555026</v>
      </c>
      <c r="BR103" s="21">
        <f>EXP(-LN(2)/2)*BR102+(1-EXP(-LN(2)/2))/(LN(2)/2)*BL103*BO103*VLOOKUP('Données projet'!$B$11,Paramètres!$A$1:$I$89,3,0)*0.475*44/12</f>
        <v>4.8586308101542493E-11</v>
      </c>
      <c r="BS103" s="22">
        <f t="shared" si="63"/>
        <v>1.4394541987864173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-5.6843418860808015E-14</v>
      </c>
      <c r="BZ103" s="13">
        <f>BY103*VLOOKUP('Données projet'!$B$12,Paramètres!$A$1:$I$89,3,0)*VLOOKUP('Données projet'!$B$12,Paramètres!$A$1:$I$89,5,0)</f>
        <v>-3.1036506698001178E-14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207.02306964567629</v>
      </c>
      <c r="CE103" s="59">
        <f t="shared" si="94"/>
        <v>342.06887933351783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1.6514135592875707</v>
      </c>
      <c r="CL103" s="21">
        <f>EXP(-LN(2)/25)*CL102+(1-EXP(-LN(2)/25))/(LN(2)/25)*Calculateur!CG103*Calculateur!CI103*VLOOKUP('Données projet'!$B$12,Paramètres!$A$1:$I$89,3,0)*0.475*44/12</f>
        <v>5.5883677648026024</v>
      </c>
      <c r="CM103" s="21">
        <f>EXP(-LN(2)/2)*CM102+(1-EXP(-LN(2)/2))/(LN(2)/2)*CG103*CJ103*VLOOKUP('Données projet'!$B$12,Paramètres!$A$1:$I$89,3,0)*0.475*44/12</f>
        <v>3.8632577046230553E-10</v>
      </c>
      <c r="CN103" s="22">
        <f t="shared" si="66"/>
        <v>7.2397813244764988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-4.9658410716801891E-14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268.31928207836495</v>
      </c>
      <c r="T104" s="59">
        <f t="shared" si="88"/>
        <v>277.61304526670204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0.50431352766978055</v>
      </c>
      <c r="AA104" s="21">
        <f>EXP(-LN(2)/25)*AA103+(1-EXP(-LN(2)/25))/(LN(2)/25)*Calculateur!V104*Calculateur!X104*VLOOKUP('Données projet'!$B$9,Paramètres!$A$1:$I$89,3,0)*0.475*44/12</f>
        <v>0.78652833498731201</v>
      </c>
      <c r="AB104" s="21">
        <f>EXP(-LN(2)/2)*AB103+(1-EXP(-LN(2)/2))/(LN(2)/2)*V104*Y104*VLOOKUP('Données projet'!$B$9,Paramètres!$A$1:$I$89,3,0)*0.475*44/12</f>
        <v>1.6800306483466127E-10</v>
      </c>
      <c r="AC104" s="22">
        <f t="shared" si="57"/>
        <v>1.2908418628250957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-3.4106051316484809E-13</v>
      </c>
      <c r="AJ104" s="13">
        <f>AI104*VLOOKUP('Données projet'!$B$10,Paramètres!$A$1:$I$89,3,0)*VLOOKUP('Données projet'!$B$10,Paramètres!$A$1:$I$89,5,0)</f>
        <v>-1.9065282685915009E-13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544.48194192356823</v>
      </c>
      <c r="AO104" s="59">
        <f t="shared" si="90"/>
        <v>668.20427590250733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1.7993452865760144</v>
      </c>
      <c r="AV104" s="21">
        <f>EXP(-LN(2)/25)*AV103+(1-EXP(-LN(2)/25))/(LN(2)/25)*Calculateur!AQ104*Calculateur!AS104*VLOOKUP('Données projet'!$B$10,Paramètres!$A$1:$I$89,3,0)*0.475*44/12</f>
        <v>4.9887685992336515</v>
      </c>
      <c r="AW104" s="21">
        <f>EXP(-LN(2)/2)*AW103+(1-EXP(-LN(2)/2))/(LN(2)/2)*AQ104*AT104*VLOOKUP('Données projet'!$B$10,Paramètres!$A$1:$I$89,3,0)*0.475*44/12</f>
        <v>3.2784559877370216E-10</v>
      </c>
      <c r="AX104" s="21">
        <f t="shared" si="60"/>
        <v>6.788113886137511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162.86181551380446</v>
      </c>
      <c r="BJ104" s="59">
        <f t="shared" si="92"/>
        <v>184.96823352120742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0.97093393750060664</v>
      </c>
      <c r="BQ104" s="21">
        <f>EXP(-LN(2)/25)*BQ103+(1-EXP(-LN(2)/25))/(LN(2)/25)*Calculateur!BL104*Calculateur!BN104*VLOOKUP('Données projet'!$B$11,Paramètres!$A$1:$I$89,3,0)*0.475*44/12</f>
        <v>0.43681935618573009</v>
      </c>
      <c r="BR104" s="21">
        <f>EXP(-LN(2)/2)*BR103+(1-EXP(-LN(2)/2))/(LN(2)/2)*BL104*BO104*VLOOKUP('Données projet'!$B$11,Paramètres!$A$1:$I$89,3,0)*0.475*44/12</f>
        <v>3.4355707931419588E-11</v>
      </c>
      <c r="BS104" s="22">
        <f t="shared" si="63"/>
        <v>1.4077532937206922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-3.1036506698001178E-14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207.02306964567629</v>
      </c>
      <c r="CE104" s="59">
        <f t="shared" si="94"/>
        <v>342.06887933351783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1.6190303466527536</v>
      </c>
      <c r="CL104" s="21">
        <f>EXP(-LN(2)/25)*CL103+(1-EXP(-LN(2)/25))/(LN(2)/25)*Calculateur!CG104*Calculateur!CI104*VLOOKUP('Données projet'!$B$12,Paramètres!$A$1:$I$89,3,0)*0.475*44/12</f>
        <v>5.4355535543945868</v>
      </c>
      <c r="CM104" s="21">
        <f>EXP(-LN(2)/2)*CM103+(1-EXP(-LN(2)/2))/(LN(2)/2)*CG104*CJ104*VLOOKUP('Données projet'!$B$12,Paramètres!$A$1:$I$89,3,0)*0.475*44/12</f>
        <v>2.7317357204101386E-10</v>
      </c>
      <c r="CN104" s="22">
        <f t="shared" si="66"/>
        <v>7.0545839013205143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-4.9658410716801891E-14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268.31928207836495</v>
      </c>
      <c r="T105" s="59">
        <f t="shared" si="88"/>
        <v>277.61304526670204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0.49442424699305498</v>
      </c>
      <c r="AA105" s="21">
        <f>EXP(-LN(2)/25)*AA104+(1-EXP(-LN(2)/25))/(LN(2)/25)*Calculateur!V105*Calculateur!X105*VLOOKUP('Données projet'!$B$9,Paramètres!$A$1:$I$89,3,0)*0.475*44/12</f>
        <v>0.76502067630535642</v>
      </c>
      <c r="AB105" s="21">
        <f>EXP(-LN(2)/2)*AB104+(1-EXP(-LN(2)/2))/(LN(2)/2)*V105*Y105*VLOOKUP('Données projet'!$B$9,Paramètres!$A$1:$I$89,3,0)*0.475*44/12</f>
        <v>1.1879610640471218E-10</v>
      </c>
      <c r="AC105" s="22">
        <f t="shared" si="57"/>
        <v>1.2594449234172074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-3.4106051316484809E-13</v>
      </c>
      <c r="AJ105" s="13">
        <f>AI105*VLOOKUP('Données projet'!$B$10,Paramètres!$A$1:$I$89,3,0)*VLOOKUP('Données projet'!$B$10,Paramètres!$A$1:$I$89,5,0)</f>
        <v>-1.9065282685915009E-13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544.48194192356823</v>
      </c>
      <c r="AO105" s="59">
        <f t="shared" si="90"/>
        <v>668.20427590250733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1.7640612229985153</v>
      </c>
      <c r="AV105" s="21">
        <f>EXP(-LN(2)/25)*AV104+(1-EXP(-LN(2)/25))/(LN(2)/25)*Calculateur!AQ105*Calculateur!AS105*VLOOKUP('Données projet'!$B$10,Paramètres!$A$1:$I$89,3,0)*0.475*44/12</f>
        <v>4.8523504595396689</v>
      </c>
      <c r="AW105" s="21">
        <f>EXP(-LN(2)/2)*AW104+(1-EXP(-LN(2)/2))/(LN(2)/2)*AQ105*AT105*VLOOKUP('Données projet'!$B$10,Paramètres!$A$1:$I$89,3,0)*0.475*44/12</f>
        <v>2.3182184607504888E-10</v>
      </c>
      <c r="AX105" s="21">
        <f t="shared" si="60"/>
        <v>6.6164116827700061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162.86181551380446</v>
      </c>
      <c r="BJ105" s="59">
        <f t="shared" si="92"/>
        <v>184.96823352120742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0.95189451519744561</v>
      </c>
      <c r="BQ105" s="21">
        <f>EXP(-LN(2)/25)*BQ104+(1-EXP(-LN(2)/25))/(LN(2)/25)*Calculateur!BL105*Calculateur!BN105*VLOOKUP('Données projet'!$B$11,Paramètres!$A$1:$I$89,3,0)*0.475*44/12</f>
        <v>0.42487450791949971</v>
      </c>
      <c r="BR105" s="21">
        <f>EXP(-LN(2)/2)*BR104+(1-EXP(-LN(2)/2))/(LN(2)/2)*BL105*BO105*VLOOKUP('Données projet'!$B$11,Paramètres!$A$1:$I$89,3,0)*0.475*44/12</f>
        <v>2.4293154050771247E-11</v>
      </c>
      <c r="BS105" s="22">
        <f t="shared" si="63"/>
        <v>1.3767690231412386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-3.1036506698001178E-14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207.02306964567629</v>
      </c>
      <c r="CE105" s="59">
        <f t="shared" si="94"/>
        <v>342.06887933351783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1.5872821490658959</v>
      </c>
      <c r="CL105" s="21">
        <f>EXP(-LN(2)/25)*CL104+(1-EXP(-LN(2)/25))/(LN(2)/25)*Calculateur!CG105*Calculateur!CI105*VLOOKUP('Données projet'!$B$12,Paramètres!$A$1:$I$89,3,0)*0.475*44/12</f>
        <v>5.2869180566063285</v>
      </c>
      <c r="CM105" s="21">
        <f>EXP(-LN(2)/2)*CM104+(1-EXP(-LN(2)/2))/(LN(2)/2)*CG105*CJ105*VLOOKUP('Données projet'!$B$12,Paramètres!$A$1:$I$89,3,0)*0.475*44/12</f>
        <v>1.9316288523115277E-10</v>
      </c>
      <c r="CN105" s="22">
        <f t="shared" si="66"/>
        <v>6.874200205865387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-4.9658410716801891E-14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268.31928207836495</v>
      </c>
      <c r="T106" s="59">
        <f t="shared" si="88"/>
        <v>277.61304526670204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0.4847288890785344</v>
      </c>
      <c r="AA106" s="21">
        <f>EXP(-LN(2)/25)*AA105+(1-EXP(-LN(2)/25))/(LN(2)/25)*Calculateur!V106*Calculateur!X106*VLOOKUP('Données projet'!$B$9,Paramètres!$A$1:$I$89,3,0)*0.475*44/12</f>
        <v>0.74410114568109753</v>
      </c>
      <c r="AB106" s="21">
        <f>EXP(-LN(2)/2)*AB105+(1-EXP(-LN(2)/2))/(LN(2)/2)*V106*Y106*VLOOKUP('Données projet'!$B$9,Paramètres!$A$1:$I$89,3,0)*0.475*44/12</f>
        <v>8.4001532417330636E-11</v>
      </c>
      <c r="AC106" s="22">
        <f t="shared" si="57"/>
        <v>1.2288300348436334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-3.4106051316484809E-13</v>
      </c>
      <c r="AJ106" s="13">
        <f>AI106*VLOOKUP('Données projet'!$B$10,Paramètres!$A$1:$I$89,3,0)*VLOOKUP('Données projet'!$B$10,Paramètres!$A$1:$I$89,5,0)</f>
        <v>-1.9065282685915009E-13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544.48194192356823</v>
      </c>
      <c r="AO106" s="59">
        <f t="shared" si="90"/>
        <v>668.20427590250733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1.7294690583866172</v>
      </c>
      <c r="AV106" s="21">
        <f>EXP(-LN(2)/25)*AV105+(1-EXP(-LN(2)/25))/(LN(2)/25)*Calculateur!AQ106*Calculateur!AS106*VLOOKUP('Données projet'!$B$10,Paramètres!$A$1:$I$89,3,0)*0.475*44/12</f>
        <v>4.7196626810495363</v>
      </c>
      <c r="AW106" s="21">
        <f>EXP(-LN(2)/2)*AW105+(1-EXP(-LN(2)/2))/(LN(2)/2)*AQ106*AT106*VLOOKUP('Données projet'!$B$10,Paramètres!$A$1:$I$89,3,0)*0.475*44/12</f>
        <v>1.6392279938685111E-10</v>
      </c>
      <c r="AX106" s="21">
        <f t="shared" si="60"/>
        <v>6.4491317396000767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162.86181551380446</v>
      </c>
      <c r="BJ106" s="59">
        <f t="shared" si="92"/>
        <v>184.96823352120742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0.93322844435274865</v>
      </c>
      <c r="BQ106" s="21">
        <f>EXP(-LN(2)/25)*BQ105+(1-EXP(-LN(2)/25))/(LN(2)/25)*Calculateur!BL106*Calculateur!BN106*VLOOKUP('Données projet'!$B$11,Paramètres!$A$1:$I$89,3,0)*0.475*44/12</f>
        <v>0.41325629215726167</v>
      </c>
      <c r="BR106" s="21">
        <f>EXP(-LN(2)/2)*BR105+(1-EXP(-LN(2)/2))/(LN(2)/2)*BL106*BO106*VLOOKUP('Données projet'!$B$11,Paramètres!$A$1:$I$89,3,0)*0.475*44/12</f>
        <v>1.7177853965709794E-11</v>
      </c>
      <c r="BS106" s="22">
        <f t="shared" si="63"/>
        <v>1.3464847365271881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-3.1036506698001178E-14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207.02306964567629</v>
      </c>
      <c r="CE106" s="59">
        <f t="shared" si="94"/>
        <v>342.06887933351783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1.5561565142692282</v>
      </c>
      <c r="CL106" s="21">
        <f>EXP(-LN(2)/25)*CL105+(1-EXP(-LN(2)/25))/(LN(2)/25)*Calculateur!CG106*Calculateur!CI106*VLOOKUP('Données projet'!$B$12,Paramètres!$A$1:$I$89,3,0)*0.475*44/12</f>
        <v>5.1423470043214916</v>
      </c>
      <c r="CM106" s="21">
        <f>EXP(-LN(2)/2)*CM105+(1-EXP(-LN(2)/2))/(LN(2)/2)*CG106*CJ106*VLOOKUP('Données projet'!$B$12,Paramètres!$A$1:$I$89,3,0)*0.475*44/12</f>
        <v>1.3658678602050693E-10</v>
      </c>
      <c r="CN106" s="22">
        <f t="shared" si="66"/>
        <v>6.6985035187273061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-4.9658410716801891E-14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268.31928207836495</v>
      </c>
      <c r="T107" s="59">
        <f t="shared" si="88"/>
        <v>277.61304526670204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0.47522365121913313</v>
      </c>
      <c r="AA107" s="21">
        <f>EXP(-LN(2)/25)*AA106+(1-EXP(-LN(2)/25))/(LN(2)/25)*Calculateur!V107*Calculateur!X107*VLOOKUP('Données projet'!$B$9,Paramètres!$A$1:$I$89,3,0)*0.475*44/12</f>
        <v>0.72375366072186931</v>
      </c>
      <c r="AB107" s="21">
        <f>EXP(-LN(2)/2)*AB106+(1-EXP(-LN(2)/2))/(LN(2)/2)*V107*Y107*VLOOKUP('Données projet'!$B$9,Paramètres!$A$1:$I$89,3,0)*0.475*44/12</f>
        <v>5.9398053202356092E-11</v>
      </c>
      <c r="AC107" s="22">
        <f t="shared" si="57"/>
        <v>1.1989773120004006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-3.4106051316484809E-13</v>
      </c>
      <c r="AJ107" s="13">
        <f>AI107*VLOOKUP('Données projet'!$B$10,Paramètres!$A$1:$I$89,3,0)*VLOOKUP('Données projet'!$B$10,Paramètres!$A$1:$I$89,5,0)</f>
        <v>-1.9065282685915009E-13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544.48194192356823</v>
      </c>
      <c r="AO107" s="59">
        <f t="shared" si="90"/>
        <v>668.20427590250733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1.6955552250236214</v>
      </c>
      <c r="AV107" s="21">
        <f>EXP(-LN(2)/25)*AV106+(1-EXP(-LN(2)/25))/(LN(2)/25)*Calculateur!AQ107*Calculateur!AS107*VLOOKUP('Données projet'!$B$10,Paramètres!$A$1:$I$89,3,0)*0.475*44/12</f>
        <v>4.5906032568399633</v>
      </c>
      <c r="AW107" s="21">
        <f>EXP(-LN(2)/2)*AW106+(1-EXP(-LN(2)/2))/(LN(2)/2)*AQ107*AT107*VLOOKUP('Données projet'!$B$10,Paramètres!$A$1:$I$89,3,0)*0.475*44/12</f>
        <v>1.1591092303752445E-10</v>
      </c>
      <c r="AX107" s="21">
        <f t="shared" si="60"/>
        <v>6.2861584819794958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162.86181551380446</v>
      </c>
      <c r="BJ107" s="59">
        <f t="shared" si="92"/>
        <v>184.96823352120742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0.91492840377213713</v>
      </c>
      <c r="BQ107" s="21">
        <f>EXP(-LN(2)/25)*BQ106+(1-EXP(-LN(2)/25))/(LN(2)/25)*Calculateur!BL107*Calculateur!BN107*VLOOKUP('Données projet'!$B$11,Paramètres!$A$1:$I$89,3,0)*0.475*44/12</f>
        <v>0.40195577711601743</v>
      </c>
      <c r="BR107" s="21">
        <f>EXP(-LN(2)/2)*BR106+(1-EXP(-LN(2)/2))/(LN(2)/2)*BL107*BO107*VLOOKUP('Données projet'!$B$11,Paramètres!$A$1:$I$89,3,0)*0.475*44/12</f>
        <v>1.2146577025385623E-11</v>
      </c>
      <c r="BS107" s="22">
        <f t="shared" si="63"/>
        <v>1.3168841809003011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-3.1036506698001178E-14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207.02306964567629</v>
      </c>
      <c r="CE107" s="59">
        <f t="shared" si="94"/>
        <v>342.06887933351783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1.5256412341861605</v>
      </c>
      <c r="CL107" s="21">
        <f>EXP(-LN(2)/25)*CL106+(1-EXP(-LN(2)/25))/(LN(2)/25)*Calculateur!CG107*Calculateur!CI107*VLOOKUP('Données projet'!$B$12,Paramètres!$A$1:$I$89,3,0)*0.475*44/12</f>
        <v>5.0017292550640446</v>
      </c>
      <c r="CM107" s="21">
        <f>EXP(-LN(2)/2)*CM106+(1-EXP(-LN(2)/2))/(LN(2)/2)*CG107*CJ107*VLOOKUP('Données projet'!$B$12,Paramètres!$A$1:$I$89,3,0)*0.475*44/12</f>
        <v>9.6581442615576383E-11</v>
      </c>
      <c r="CN107" s="22">
        <f t="shared" si="66"/>
        <v>6.5273704893467865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-4.9658410716801891E-14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268.31928207836495</v>
      </c>
      <c r="T108" s="59">
        <f t="shared" si="88"/>
        <v>277.61304526670204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0.46590480527653211</v>
      </c>
      <c r="AA108" s="21">
        <f>EXP(-LN(2)/25)*AA107+(1-EXP(-LN(2)/25))/(LN(2)/25)*Calculateur!V108*Calculateur!X108*VLOOKUP('Données projet'!$B$9,Paramètres!$A$1:$I$89,3,0)*0.475*44/12</f>
        <v>0.70396257880887891</v>
      </c>
      <c r="AB108" s="21">
        <f>EXP(-LN(2)/2)*AB107+(1-EXP(-LN(2)/2))/(LN(2)/2)*V108*Y108*VLOOKUP('Données projet'!$B$9,Paramètres!$A$1:$I$89,3,0)*0.475*44/12</f>
        <v>4.2000766208665318E-11</v>
      </c>
      <c r="AC108" s="22">
        <f t="shared" si="57"/>
        <v>1.1698673841274119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-3.4106051316484809E-13</v>
      </c>
      <c r="AJ108" s="13">
        <f>AI108*VLOOKUP('Données projet'!$B$10,Paramètres!$A$1:$I$89,3,0)*VLOOKUP('Données projet'!$B$10,Paramètres!$A$1:$I$89,5,0)</f>
        <v>-1.9065282685915009E-13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544.48194192356823</v>
      </c>
      <c r="AO108" s="59">
        <f t="shared" si="90"/>
        <v>668.20427590250733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1.6623064212474781</v>
      </c>
      <c r="AV108" s="21">
        <f>EXP(-LN(2)/25)*AV107+(1-EXP(-LN(2)/25))/(LN(2)/25)*Calculateur!AQ108*Calculateur!AS108*VLOOKUP('Données projet'!$B$10,Paramètres!$A$1:$I$89,3,0)*0.475*44/12</f>
        <v>4.4650729693723408</v>
      </c>
      <c r="AW108" s="21">
        <f>EXP(-LN(2)/2)*AW107+(1-EXP(-LN(2)/2))/(LN(2)/2)*AQ108*AT108*VLOOKUP('Données projet'!$B$10,Paramètres!$A$1:$I$89,3,0)*0.475*44/12</f>
        <v>8.1961399693425566E-11</v>
      </c>
      <c r="AX108" s="21">
        <f t="shared" si="60"/>
        <v>6.1273793907017797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162.86181551380446</v>
      </c>
      <c r="BJ108" s="59">
        <f t="shared" si="92"/>
        <v>184.96823352120742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0.89698721582538887</v>
      </c>
      <c r="BQ108" s="21">
        <f>EXP(-LN(2)/25)*BQ107+(1-EXP(-LN(2)/25))/(LN(2)/25)*Calculateur!BL108*Calculateur!BN108*VLOOKUP('Données projet'!$B$11,Paramètres!$A$1:$I$89,3,0)*0.475*44/12</f>
        <v>0.39096427525284427</v>
      </c>
      <c r="BR108" s="21">
        <f>EXP(-LN(2)/2)*BR107+(1-EXP(-LN(2)/2))/(LN(2)/2)*BL108*BO108*VLOOKUP('Données projet'!$B$11,Paramètres!$A$1:$I$89,3,0)*0.475*44/12</f>
        <v>8.5889269828548971E-12</v>
      </c>
      <c r="BS108" s="22">
        <f t="shared" si="63"/>
        <v>1.2879514910868222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-3.1036506698001178E-14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207.02306964567629</v>
      </c>
      <c r="CE108" s="59">
        <f t="shared" si="94"/>
        <v>342.06887933351783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1.4957243401330387</v>
      </c>
      <c r="CL108" s="21">
        <f>EXP(-LN(2)/25)*CL107+(1-EXP(-LN(2)/25))/(LN(2)/25)*Calculateur!CG108*Calculateur!CI108*VLOOKUP('Données projet'!$B$12,Paramètres!$A$1:$I$89,3,0)*0.475*44/12</f>
        <v>4.8649567055548086</v>
      </c>
      <c r="CM108" s="21">
        <f>EXP(-LN(2)/2)*CM107+(1-EXP(-LN(2)/2))/(LN(2)/2)*CG108*CJ108*VLOOKUP('Données projet'!$B$12,Paramètres!$A$1:$I$89,3,0)*0.475*44/12</f>
        <v>6.8293393010253464E-11</v>
      </c>
      <c r="CN108" s="22">
        <f t="shared" si="66"/>
        <v>6.3606810457561416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-4.9658410716801891E-14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268.31928207836495</v>
      </c>
      <c r="T109" s="59">
        <f t="shared" si="88"/>
        <v>277.61304526670204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0.45676869621893068</v>
      </c>
      <c r="AA109" s="21">
        <f>EXP(-LN(2)/25)*AA108+(1-EXP(-LN(2)/25))/(LN(2)/25)*Calculateur!V109*Calculateur!X109*VLOOKUP('Données projet'!$B$9,Paramètres!$A$1:$I$89,3,0)*0.475*44/12</f>
        <v>0.68471268507156702</v>
      </c>
      <c r="AB109" s="21">
        <f>EXP(-LN(2)/2)*AB108+(1-EXP(-LN(2)/2))/(LN(2)/2)*V109*Y109*VLOOKUP('Données projet'!$B$9,Paramètres!$A$1:$I$89,3,0)*0.475*44/12</f>
        <v>2.9699026601178046E-11</v>
      </c>
      <c r="AC109" s="22">
        <f t="shared" si="57"/>
        <v>1.1414813813201967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-3.4106051316484809E-13</v>
      </c>
      <c r="AJ109" s="13">
        <f>AI109*VLOOKUP('Données projet'!$B$10,Paramètres!$A$1:$I$89,3,0)*VLOOKUP('Données projet'!$B$10,Paramètres!$A$1:$I$89,5,0)</f>
        <v>-1.9065282685915009E-13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544.48194192356823</v>
      </c>
      <c r="AO109" s="59">
        <f t="shared" si="90"/>
        <v>668.20427590250733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1.6297096062336169</v>
      </c>
      <c r="AV109" s="21">
        <f>EXP(-LN(2)/25)*AV108+(1-EXP(-LN(2)/25))/(LN(2)/25)*Calculateur!AQ109*Calculateur!AS109*VLOOKUP('Données projet'!$B$10,Paramètres!$A$1:$I$89,3,0)*0.475*44/12</f>
        <v>4.3429753142168721</v>
      </c>
      <c r="AW109" s="21">
        <f>EXP(-LN(2)/2)*AW108+(1-EXP(-LN(2)/2))/(LN(2)/2)*AQ109*AT109*VLOOKUP('Données projet'!$B$10,Paramètres!$A$1:$I$89,3,0)*0.475*44/12</f>
        <v>5.795546151876224E-11</v>
      </c>
      <c r="AX109" s="21">
        <f t="shared" si="60"/>
        <v>5.9726849205084447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162.86181551380446</v>
      </c>
      <c r="BJ109" s="59">
        <f t="shared" si="92"/>
        <v>184.96823352120742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0.87939784363123219</v>
      </c>
      <c r="BQ109" s="21">
        <f>EXP(-LN(2)/25)*BQ108+(1-EXP(-LN(2)/25))/(LN(2)/25)*Calculateur!BL109*Calculateur!BN109*VLOOKUP('Données projet'!$B$11,Paramètres!$A$1:$I$89,3,0)*0.475*44/12</f>
        <v>0.38027333658613754</v>
      </c>
      <c r="BR109" s="21">
        <f>EXP(-LN(2)/2)*BR108+(1-EXP(-LN(2)/2))/(LN(2)/2)*BL109*BO109*VLOOKUP('Données projet'!$B$11,Paramètres!$A$1:$I$89,3,0)*0.475*44/12</f>
        <v>6.0732885126928117E-12</v>
      </c>
      <c r="BS109" s="22">
        <f t="shared" si="63"/>
        <v>1.259671180223443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-3.1036506698001178E-14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207.02306964567629</v>
      </c>
      <c r="CE109" s="59">
        <f t="shared" si="94"/>
        <v>342.06887933351783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1.4663940981247949</v>
      </c>
      <c r="CL109" s="21">
        <f>EXP(-LN(2)/25)*CL108+(1-EXP(-LN(2)/25))/(LN(2)/25)*Calculateur!CG109*Calculateur!CI109*VLOOKUP('Données projet'!$B$12,Paramètres!$A$1:$I$89,3,0)*0.475*44/12</f>
        <v>4.7319242086044584</v>
      </c>
      <c r="CM109" s="21">
        <f>EXP(-LN(2)/2)*CM108+(1-EXP(-LN(2)/2))/(LN(2)/2)*CG109*CJ109*VLOOKUP('Données projet'!$B$12,Paramètres!$A$1:$I$89,3,0)*0.475*44/12</f>
        <v>4.8290721307788191E-11</v>
      </c>
      <c r="CN109" s="22">
        <f t="shared" si="66"/>
        <v>6.1983183067775443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-4.9658410716801891E-14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268.31928207836495</v>
      </c>
      <c r="T110" s="59">
        <f t="shared" si="88"/>
        <v>277.61304526670204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0.44781174068747254</v>
      </c>
      <c r="AA110" s="21">
        <f>EXP(-LN(2)/25)*AA109+(1-EXP(-LN(2)/25))/(LN(2)/25)*Calculateur!V110*Calculateur!X110*VLOOKUP('Données projet'!$B$9,Paramètres!$A$1:$I$89,3,0)*0.475*44/12</f>
        <v>0.66598918069080981</v>
      </c>
      <c r="AB110" s="21">
        <f>EXP(-LN(2)/2)*AB109+(1-EXP(-LN(2)/2))/(LN(2)/2)*V110*Y110*VLOOKUP('Données projet'!$B$9,Paramètres!$A$1:$I$89,3,0)*0.475*44/12</f>
        <v>2.1000383104332659E-11</v>
      </c>
      <c r="AC110" s="22">
        <f t="shared" si="57"/>
        <v>1.1138009213992828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-3.4106051316484809E-13</v>
      </c>
      <c r="AJ110" s="13">
        <f>AI110*VLOOKUP('Données projet'!$B$10,Paramètres!$A$1:$I$89,3,0)*VLOOKUP('Données projet'!$B$10,Paramètres!$A$1:$I$89,5,0)</f>
        <v>-1.9065282685915009E-13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544.48194192356823</v>
      </c>
      <c r="AO110" s="59">
        <f t="shared" si="90"/>
        <v>668.20427590250733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1.5977519948800838</v>
      </c>
      <c r="AV110" s="21">
        <f>EXP(-LN(2)/25)*AV109+(1-EXP(-LN(2)/25))/(LN(2)/25)*Calculateur!AQ110*Calculateur!AS110*VLOOKUP('Données projet'!$B$10,Paramètres!$A$1:$I$89,3,0)*0.475*44/12</f>
        <v>4.2242164258624664</v>
      </c>
      <c r="AW110" s="21">
        <f>EXP(-LN(2)/2)*AW109+(1-EXP(-LN(2)/2))/(LN(2)/2)*AQ110*AT110*VLOOKUP('Données projet'!$B$10,Paramètres!$A$1:$I$89,3,0)*0.475*44/12</f>
        <v>4.0980699846712789E-11</v>
      </c>
      <c r="AX110" s="21">
        <f t="shared" si="60"/>
        <v>5.8219684207835307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162.86181551380446</v>
      </c>
      <c r="BJ110" s="59">
        <f t="shared" si="92"/>
        <v>184.96823352120742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0.86215338829734522</v>
      </c>
      <c r="BQ110" s="21">
        <f>EXP(-LN(2)/25)*BQ109+(1-EXP(-LN(2)/25))/(LN(2)/25)*Calculateur!BL110*Calculateur!BN110*VLOOKUP('Données projet'!$B$11,Paramètres!$A$1:$I$89,3,0)*0.475*44/12</f>
        <v>0.36987474219948396</v>
      </c>
      <c r="BR110" s="21">
        <f>EXP(-LN(2)/2)*BR109+(1-EXP(-LN(2)/2))/(LN(2)/2)*BL110*BO110*VLOOKUP('Données projet'!$B$11,Paramètres!$A$1:$I$89,3,0)*0.475*44/12</f>
        <v>4.2944634914274486E-12</v>
      </c>
      <c r="BS110" s="22">
        <f t="shared" si="63"/>
        <v>1.2320281305011238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-3.1036506698001178E-14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207.02306964567629</v>
      </c>
      <c r="CE110" s="59">
        <f t="shared" si="94"/>
        <v>342.06887933351783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1.4376390042726517</v>
      </c>
      <c r="CL110" s="21">
        <f>EXP(-LN(2)/25)*CL109+(1-EXP(-LN(2)/25))/(LN(2)/25)*Calculateur!CG110*Calculateur!CI110*VLOOKUP('Données projet'!$B$12,Paramètres!$A$1:$I$89,3,0)*0.475*44/12</f>
        <v>4.60252949227909</v>
      </c>
      <c r="CM110" s="21">
        <f>EXP(-LN(2)/2)*CM109+(1-EXP(-LN(2)/2))/(LN(2)/2)*CG110*CJ110*VLOOKUP('Données projet'!$B$12,Paramètres!$A$1:$I$89,3,0)*0.475*44/12</f>
        <v>3.4146696505126732E-11</v>
      </c>
      <c r="CN110" s="22">
        <f t="shared" si="66"/>
        <v>6.0401684965858884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-4.9658410716801891E-14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268.31928207836495</v>
      </c>
      <c r="T111" s="59">
        <f t="shared" si="88"/>
        <v>277.61304526670204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0.43903042559078287</v>
      </c>
      <c r="AA111" s="21">
        <f>EXP(-LN(2)/25)*AA110+(1-EXP(-LN(2)/25))/(LN(2)/25)*Calculateur!V111*Calculateur!X111*VLOOKUP('Données projet'!$B$9,Paramètres!$A$1:$I$89,3,0)*0.475*44/12</f>
        <v>0.64777767152197074</v>
      </c>
      <c r="AB111" s="21">
        <f>EXP(-LN(2)/2)*AB110+(1-EXP(-LN(2)/2))/(LN(2)/2)*V111*Y111*VLOOKUP('Données projet'!$B$9,Paramètres!$A$1:$I$89,3,0)*0.475*44/12</f>
        <v>1.4849513300589023E-11</v>
      </c>
      <c r="AC111" s="22">
        <f t="shared" si="57"/>
        <v>1.0868080971276031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-3.4106051316484809E-13</v>
      </c>
      <c r="AJ111" s="13">
        <f>AI111*VLOOKUP('Données projet'!$B$10,Paramètres!$A$1:$I$89,3,0)*VLOOKUP('Données projet'!$B$10,Paramètres!$A$1:$I$89,5,0)</f>
        <v>-1.9065282685915009E-13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544.48194192356823</v>
      </c>
      <c r="AO111" s="59">
        <f t="shared" si="90"/>
        <v>668.20427590250733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1.5664210527929752</v>
      </c>
      <c r="AV111" s="21">
        <f>EXP(-LN(2)/25)*AV110+(1-EXP(-LN(2)/25))/(LN(2)/25)*Calculateur!AQ111*Calculateur!AS111*VLOOKUP('Données projet'!$B$10,Paramètres!$A$1:$I$89,3,0)*0.475*44/12</f>
        <v>4.10870500555537</v>
      </c>
      <c r="AW111" s="21">
        <f>EXP(-LN(2)/2)*AW110+(1-EXP(-LN(2)/2))/(LN(2)/2)*AQ111*AT111*VLOOKUP('Données projet'!$B$10,Paramètres!$A$1:$I$89,3,0)*0.475*44/12</f>
        <v>2.8977730759381123E-11</v>
      </c>
      <c r="AX111" s="21">
        <f t="shared" si="60"/>
        <v>5.6751260583773231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162.86181551380446</v>
      </c>
      <c r="BJ111" s="59">
        <f t="shared" si="92"/>
        <v>184.96823352120742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0.84524708621447664</v>
      </c>
      <c r="BQ111" s="21">
        <f>EXP(-LN(2)/25)*BQ110+(1-EXP(-LN(2)/25))/(LN(2)/25)*Calculateur!BL111*Calculateur!BN111*VLOOKUP('Données projet'!$B$11,Paramètres!$A$1:$I$89,3,0)*0.475*44/12</f>
        <v>0.35976049792317172</v>
      </c>
      <c r="BR111" s="21">
        <f>EXP(-LN(2)/2)*BR110+(1-EXP(-LN(2)/2))/(LN(2)/2)*BL111*BO111*VLOOKUP('Données projet'!$B$11,Paramètres!$A$1:$I$89,3,0)*0.475*44/12</f>
        <v>3.0366442563464058E-12</v>
      </c>
      <c r="BS111" s="22">
        <f t="shared" si="63"/>
        <v>1.2050075841406851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-3.1036506698001178E-14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207.02306964567629</v>
      </c>
      <c r="CE111" s="59">
        <f t="shared" si="94"/>
        <v>342.06887933351783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1.4094477802720735</v>
      </c>
      <c r="CL111" s="21">
        <f>EXP(-LN(2)/25)*CL110+(1-EXP(-LN(2)/25))/(LN(2)/25)*Calculateur!CG111*Calculateur!CI111*VLOOKUP('Données projet'!$B$12,Paramètres!$A$1:$I$89,3,0)*0.475*44/12</f>
        <v>4.4766730812762114</v>
      </c>
      <c r="CM111" s="21">
        <f>EXP(-LN(2)/2)*CM110+(1-EXP(-LN(2)/2))/(LN(2)/2)*CG111*CJ111*VLOOKUP('Données projet'!$B$12,Paramètres!$A$1:$I$89,3,0)*0.475*44/12</f>
        <v>2.4145360653894096E-11</v>
      </c>
      <c r="CN111" s="22">
        <f t="shared" si="66"/>
        <v>5.8861208615724303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-4.9658410716801891E-14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268.31928207836495</v>
      </c>
      <c r="T112" s="59">
        <f t="shared" si="88"/>
        <v>277.61304526670204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0.43042130672706597</v>
      </c>
      <c r="AA112" s="21">
        <f>EXP(-LN(2)/25)*AA111+(1-EXP(-LN(2)/25))/(LN(2)/25)*Calculateur!V112*Calculateur!X112*VLOOKUP('Données projet'!$B$9,Paramètres!$A$1:$I$89,3,0)*0.475*44/12</f>
        <v>0.63006415702905527</v>
      </c>
      <c r="AB112" s="21">
        <f>EXP(-LN(2)/2)*AB111+(1-EXP(-LN(2)/2))/(LN(2)/2)*V112*Y112*VLOOKUP('Données projet'!$B$9,Paramètres!$A$1:$I$89,3,0)*0.475*44/12</f>
        <v>1.0500191552166329E-11</v>
      </c>
      <c r="AC112" s="22">
        <f t="shared" si="57"/>
        <v>1.0604854637666215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-3.4106051316484809E-13</v>
      </c>
      <c r="AJ112" s="13">
        <f>AI112*VLOOKUP('Données projet'!$B$10,Paramètres!$A$1:$I$89,3,0)*VLOOKUP('Données projet'!$B$10,Paramètres!$A$1:$I$89,5,0)</f>
        <v>-1.9065282685915009E-13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544.48194192356823</v>
      </c>
      <c r="AO112" s="59">
        <f t="shared" si="90"/>
        <v>668.20427590250733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1.5357044913702069</v>
      </c>
      <c r="AV112" s="21">
        <f>EXP(-LN(2)/25)*AV111+(1-EXP(-LN(2)/25))/(LN(2)/25)*Calculateur!AQ112*Calculateur!AS112*VLOOKUP('Données projet'!$B$10,Paramètres!$A$1:$I$89,3,0)*0.475*44/12</f>
        <v>3.9963522511110527</v>
      </c>
      <c r="AW112" s="21">
        <f>EXP(-LN(2)/2)*AW111+(1-EXP(-LN(2)/2))/(LN(2)/2)*AQ112*AT112*VLOOKUP('Données projet'!$B$10,Paramètres!$A$1:$I$89,3,0)*0.475*44/12</f>
        <v>2.0490349923356398E-11</v>
      </c>
      <c r="AX112" s="21">
        <f t="shared" si="60"/>
        <v>5.5320567425017497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162.86181551380446</v>
      </c>
      <c r="BJ112" s="59">
        <f t="shared" si="92"/>
        <v>184.96823352120742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0.82867230640362699</v>
      </c>
      <c r="BQ112" s="21">
        <f>EXP(-LN(2)/25)*BQ111+(1-EXP(-LN(2)/25))/(LN(2)/25)*Calculateur!BL112*Calculateur!BN112*VLOOKUP('Données projet'!$B$11,Paramètres!$A$1:$I$89,3,0)*0.475*44/12</f>
        <v>0.34992282818848025</v>
      </c>
      <c r="BR112" s="21">
        <f>EXP(-LN(2)/2)*BR111+(1-EXP(-LN(2)/2))/(LN(2)/2)*BL112*BO112*VLOOKUP('Données projet'!$B$11,Paramètres!$A$1:$I$89,3,0)*0.475*44/12</f>
        <v>2.1472317457137243E-12</v>
      </c>
      <c r="BS112" s="22">
        <f t="shared" si="63"/>
        <v>1.1785951345942545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-3.1036506698001178E-14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207.02306964567629</v>
      </c>
      <c r="CE112" s="59">
        <f t="shared" si="94"/>
        <v>342.06887933351783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1.3818093689791979</v>
      </c>
      <c r="CL112" s="21">
        <f>EXP(-LN(2)/25)*CL111+(1-EXP(-LN(2)/25))/(LN(2)/25)*Calculateur!CG112*Calculateur!CI112*VLOOKUP('Données projet'!$B$12,Paramètres!$A$1:$I$89,3,0)*0.475*44/12</f>
        <v>4.3542582204507081</v>
      </c>
      <c r="CM112" s="21">
        <f>EXP(-LN(2)/2)*CM111+(1-EXP(-LN(2)/2))/(LN(2)/2)*CG112*CJ112*VLOOKUP('Données projet'!$B$12,Paramètres!$A$1:$I$89,3,0)*0.475*44/12</f>
        <v>1.7073348252563366E-11</v>
      </c>
      <c r="CN112" s="22">
        <f t="shared" si="66"/>
        <v>5.7360675894469795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-4.9658410716801891E-14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268.31928207836495</v>
      </c>
      <c r="T113" s="59">
        <f t="shared" si="88"/>
        <v>277.61304526670204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0.42198100743322253</v>
      </c>
      <c r="AA113" s="21">
        <f>EXP(-LN(2)/25)*AA112+(1-EXP(-LN(2)/25))/(LN(2)/25)*Calculateur!V113*Calculateur!X113*VLOOKUP('Données projet'!$B$9,Paramètres!$A$1:$I$89,3,0)*0.475*44/12</f>
        <v>0.6128350195214618</v>
      </c>
      <c r="AB113" s="21">
        <f>EXP(-LN(2)/2)*AB112+(1-EXP(-LN(2)/2))/(LN(2)/2)*V113*Y113*VLOOKUP('Données projet'!$B$9,Paramètres!$A$1:$I$89,3,0)*0.475*44/12</f>
        <v>7.4247566502945115E-12</v>
      </c>
      <c r="AC113" s="22">
        <f t="shared" si="57"/>
        <v>1.0348160269621092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-3.4106051316484809E-13</v>
      </c>
      <c r="AJ113" s="13">
        <f>AI113*VLOOKUP('Données projet'!$B$10,Paramètres!$A$1:$I$89,3,0)*VLOOKUP('Données projet'!$B$10,Paramètres!$A$1:$I$89,5,0)</f>
        <v>-1.9065282685915009E-13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544.48194192356823</v>
      </c>
      <c r="AO113" s="59">
        <f t="shared" si="90"/>
        <v>668.20427590250733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1.5055902629816866</v>
      </c>
      <c r="AV113" s="21">
        <f>EXP(-LN(2)/25)*AV112+(1-EXP(-LN(2)/25))/(LN(2)/25)*Calculateur!AQ113*Calculateur!AS113*VLOOKUP('Données projet'!$B$10,Paramètres!$A$1:$I$89,3,0)*0.475*44/12</f>
        <v>3.88707178864539</v>
      </c>
      <c r="AW113" s="21">
        <f>EXP(-LN(2)/2)*AW112+(1-EXP(-LN(2)/2))/(LN(2)/2)*AQ113*AT113*VLOOKUP('Données projet'!$B$10,Paramètres!$A$1:$I$89,3,0)*0.475*44/12</f>
        <v>1.4488865379690565E-11</v>
      </c>
      <c r="AX113" s="21">
        <f t="shared" si="60"/>
        <v>5.3926620516415653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162.86181551380446</v>
      </c>
      <c r="BJ113" s="59">
        <f t="shared" si="92"/>
        <v>184.96823352120742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0.8124225479152507</v>
      </c>
      <c r="BQ113" s="21">
        <f>EXP(-LN(2)/25)*BQ112+(1-EXP(-LN(2)/25))/(LN(2)/25)*Calculateur!BL113*Calculateur!BN113*VLOOKUP('Données projet'!$B$11,Paramètres!$A$1:$I$89,3,0)*0.475*44/12</f>
        <v>0.3403541700500245</v>
      </c>
      <c r="BR113" s="21">
        <f>EXP(-LN(2)/2)*BR112+(1-EXP(-LN(2)/2))/(LN(2)/2)*BL113*BO113*VLOOKUP('Données projet'!$B$11,Paramètres!$A$1:$I$89,3,0)*0.475*44/12</f>
        <v>1.5183221281732029E-12</v>
      </c>
      <c r="BS113" s="22">
        <f t="shared" si="63"/>
        <v>1.1527767179667936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-3.1036506698001178E-14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207.02306964567629</v>
      </c>
      <c r="CE113" s="59">
        <f t="shared" si="94"/>
        <v>342.06887933351783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1.3547129300740093</v>
      </c>
      <c r="CL113" s="21">
        <f>EXP(-LN(2)/25)*CL112+(1-EXP(-LN(2)/25))/(LN(2)/25)*Calculateur!CG113*Calculateur!CI113*VLOOKUP('Données projet'!$B$12,Paramètres!$A$1:$I$89,3,0)*0.475*44/12</f>
        <v>4.2351908004319956</v>
      </c>
      <c r="CM113" s="21">
        <f>EXP(-LN(2)/2)*CM112+(1-EXP(-LN(2)/2))/(LN(2)/2)*CG113*CJ113*VLOOKUP('Données projet'!$B$12,Paramètres!$A$1:$I$89,3,0)*0.475*44/12</f>
        <v>1.2072680326947048E-11</v>
      </c>
      <c r="CN113" s="22">
        <f t="shared" si="66"/>
        <v>5.5899037305180777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-4.9658410716801891E-14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268.31928207836495</v>
      </c>
      <c r="T114" s="59">
        <f t="shared" si="88"/>
        <v>277.61304526670204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0.41370621726045709</v>
      </c>
      <c r="AA114" s="21">
        <f>EXP(-LN(2)/25)*AA113+(1-EXP(-LN(2)/25))/(LN(2)/25)*Calculateur!V114*Calculateur!X114*VLOOKUP('Données projet'!$B$9,Paramètres!$A$1:$I$89,3,0)*0.475*44/12</f>
        <v>0.59607701368505439</v>
      </c>
      <c r="AB114" s="21">
        <f>EXP(-LN(2)/2)*AB113+(1-EXP(-LN(2)/2))/(LN(2)/2)*V114*Y114*VLOOKUP('Données projet'!$B$9,Paramètres!$A$1:$I$89,3,0)*0.475*44/12</f>
        <v>5.2500957760831647E-12</v>
      </c>
      <c r="AC114" s="22">
        <f t="shared" si="57"/>
        <v>1.0097832309507615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-3.4106051316484809E-13</v>
      </c>
      <c r="AJ114" s="13">
        <f>AI114*VLOOKUP('Données projet'!$B$10,Paramètres!$A$1:$I$89,3,0)*VLOOKUP('Données projet'!$B$10,Paramètres!$A$1:$I$89,5,0)</f>
        <v>-1.9065282685915009E-13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544.48194192356823</v>
      </c>
      <c r="AO114" s="59">
        <f t="shared" si="90"/>
        <v>668.20427590250733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1.4760665562439996</v>
      </c>
      <c r="AV114" s="21">
        <f>EXP(-LN(2)/25)*AV113+(1-EXP(-LN(2)/25))/(LN(2)/25)*Calculateur!AQ114*Calculateur!AS114*VLOOKUP('Données projet'!$B$10,Paramètres!$A$1:$I$89,3,0)*0.475*44/12</f>
        <v>3.7807796061726604</v>
      </c>
      <c r="AW114" s="21">
        <f>EXP(-LN(2)/2)*AW113+(1-EXP(-LN(2)/2))/(LN(2)/2)*AQ114*AT114*VLOOKUP('Données projet'!$B$10,Paramètres!$A$1:$I$89,3,0)*0.475*44/12</f>
        <v>1.0245174961678201E-11</v>
      </c>
      <c r="AX114" s="21">
        <f t="shared" si="60"/>
        <v>5.2568461624269052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162.86181551380446</v>
      </c>
      <c r="BJ114" s="59">
        <f t="shared" si="92"/>
        <v>184.96823352120742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0.79649143727945748</v>
      </c>
      <c r="BQ114" s="21">
        <f>EXP(-LN(2)/25)*BQ113+(1-EXP(-LN(2)/25))/(LN(2)/25)*Calculateur!BL114*Calculateur!BN114*VLOOKUP('Données projet'!$B$11,Paramètres!$A$1:$I$89,3,0)*0.475*44/12</f>
        <v>0.33104716737155865</v>
      </c>
      <c r="BR114" s="21">
        <f>EXP(-LN(2)/2)*BR113+(1-EXP(-LN(2)/2))/(LN(2)/2)*BL114*BO114*VLOOKUP('Données projet'!$B$11,Paramètres!$A$1:$I$89,3,0)*0.475*44/12</f>
        <v>1.0736158728568621E-12</v>
      </c>
      <c r="BS114" s="22">
        <f t="shared" si="63"/>
        <v>1.1275386046520897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-3.1036506698001178E-14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207.02306964567629</v>
      </c>
      <c r="CE114" s="59">
        <f t="shared" si="94"/>
        <v>342.06887933351783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1.3281478358085557</v>
      </c>
      <c r="CL114" s="21">
        <f>EXP(-LN(2)/25)*CL113+(1-EXP(-LN(2)/25))/(LN(2)/25)*Calculateur!CG114*Calculateur!CI114*VLOOKUP('Données projet'!$B$12,Paramètres!$A$1:$I$89,3,0)*0.475*44/12</f>
        <v>4.119379285275178</v>
      </c>
      <c r="CM114" s="21">
        <f>EXP(-LN(2)/2)*CM113+(1-EXP(-LN(2)/2))/(LN(2)/2)*CG114*CJ114*VLOOKUP('Données projet'!$B$12,Paramètres!$A$1:$I$89,3,0)*0.475*44/12</f>
        <v>8.536674126281683E-12</v>
      </c>
      <c r="CN114" s="22">
        <f t="shared" si="66"/>
        <v>5.4475271210922704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-4.9658410716801891E-14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268.31928207836495</v>
      </c>
      <c r="T115" s="59">
        <f t="shared" si="88"/>
        <v>277.61304526670204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0.40559369067585593</v>
      </c>
      <c r="AA115" s="21">
        <f>EXP(-LN(2)/25)*AA114+(1-EXP(-LN(2)/25))/(LN(2)/25)*Calculateur!V115*Calculateur!X115*VLOOKUP('Données projet'!$B$9,Paramètres!$A$1:$I$89,3,0)*0.475*44/12</f>
        <v>0.57977725639950883</v>
      </c>
      <c r="AB115" s="21">
        <f>EXP(-LN(2)/2)*AB114+(1-EXP(-LN(2)/2))/(LN(2)/2)*V115*Y115*VLOOKUP('Données projet'!$B$9,Paramètres!$A$1:$I$89,3,0)*0.475*44/12</f>
        <v>3.7123783251472557E-12</v>
      </c>
      <c r="AC115" s="22">
        <f t="shared" si="57"/>
        <v>0.98537094707907713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-3.4106051316484809E-13</v>
      </c>
      <c r="AJ115" s="13">
        <f>AI115*VLOOKUP('Données projet'!$B$10,Paramètres!$A$1:$I$89,3,0)*VLOOKUP('Données projet'!$B$10,Paramètres!$A$1:$I$89,5,0)</f>
        <v>-1.9065282685915009E-13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544.48194192356823</v>
      </c>
      <c r="AO115" s="59">
        <f t="shared" si="90"/>
        <v>668.20427590250733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1.4471217913877557</v>
      </c>
      <c r="AV115" s="21">
        <f>EXP(-LN(2)/25)*AV114+(1-EXP(-LN(2)/25))/(LN(2)/25)*Calculateur!AQ115*Calculateur!AS115*VLOOKUP('Données projet'!$B$10,Paramètres!$A$1:$I$89,3,0)*0.475*44/12</f>
        <v>3.6773939890193108</v>
      </c>
      <c r="AW115" s="21">
        <f>EXP(-LN(2)/2)*AW114+(1-EXP(-LN(2)/2))/(LN(2)/2)*AQ115*AT115*VLOOKUP('Données projet'!$B$10,Paramètres!$A$1:$I$89,3,0)*0.475*44/12</f>
        <v>7.2444326898452832E-12</v>
      </c>
      <c r="AX115" s="21">
        <f t="shared" si="60"/>
        <v>5.1245157804143115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162.86181551380446</v>
      </c>
      <c r="BJ115" s="59">
        <f t="shared" si="92"/>
        <v>184.96823352120742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0.78087272600621416</v>
      </c>
      <c r="BQ115" s="21">
        <f>EXP(-LN(2)/25)*BQ114+(1-EXP(-LN(2)/25))/(LN(2)/25)*Calculateur!BL115*Calculateur!BN115*VLOOKUP('Données projet'!$B$11,Paramètres!$A$1:$I$89,3,0)*0.475*44/12</f>
        <v>0.32199466517076947</v>
      </c>
      <c r="BR115" s="21">
        <f>EXP(-LN(2)/2)*BR114+(1-EXP(-LN(2)/2))/(LN(2)/2)*BL115*BO115*VLOOKUP('Données projet'!$B$11,Paramètres!$A$1:$I$89,3,0)*0.475*44/12</f>
        <v>7.5916106408660146E-13</v>
      </c>
      <c r="BS115" s="22">
        <f t="shared" si="63"/>
        <v>1.1028673911777427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-3.1036506698001178E-14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207.02306964567629</v>
      </c>
      <c r="CE115" s="59">
        <f t="shared" si="94"/>
        <v>342.06887933351783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1.30210366683854</v>
      </c>
      <c r="CL115" s="21">
        <f>EXP(-LN(2)/25)*CL114+(1-EXP(-LN(2)/25))/(LN(2)/25)*Calculateur!CG115*Calculateur!CI115*VLOOKUP('Données projet'!$B$12,Paramètres!$A$1:$I$89,3,0)*0.475*44/12</f>
        <v>4.0067346420905867</v>
      </c>
      <c r="CM115" s="21">
        <f>EXP(-LN(2)/2)*CM114+(1-EXP(-LN(2)/2))/(LN(2)/2)*CG115*CJ115*VLOOKUP('Données projet'!$B$12,Paramètres!$A$1:$I$89,3,0)*0.475*44/12</f>
        <v>6.0363401634735239E-12</v>
      </c>
      <c r="CN115" s="22">
        <f t="shared" si="66"/>
        <v>5.3088383089351625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-4.9658410716801891E-14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268.31928207836495</v>
      </c>
      <c r="T116" s="59">
        <f t="shared" si="88"/>
        <v>277.61304526670204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0.39764024578942619</v>
      </c>
      <c r="AA116" s="21">
        <f>EXP(-LN(2)/25)*AA115+(1-EXP(-LN(2)/25))/(LN(2)/25)*Calculateur!V116*Calculateur!X116*VLOOKUP('Données projet'!$B$9,Paramètres!$A$1:$I$89,3,0)*0.475*44/12</f>
        <v>0.5639232168341034</v>
      </c>
      <c r="AB116" s="21">
        <f>EXP(-LN(2)/2)*AB115+(1-EXP(-LN(2)/2))/(LN(2)/2)*V116*Y116*VLOOKUP('Données projet'!$B$9,Paramètres!$A$1:$I$89,3,0)*0.475*44/12</f>
        <v>2.6250478880415824E-12</v>
      </c>
      <c r="AC116" s="22">
        <f t="shared" si="57"/>
        <v>0.96156346262615466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-3.4106051316484809E-13</v>
      </c>
      <c r="AJ116" s="13">
        <f>AI116*VLOOKUP('Données projet'!$B$10,Paramètres!$A$1:$I$89,3,0)*VLOOKUP('Données projet'!$B$10,Paramètres!$A$1:$I$89,5,0)</f>
        <v>-1.9065282685915009E-13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544.48194192356823</v>
      </c>
      <c r="AO116" s="59">
        <f t="shared" si="90"/>
        <v>668.20427590250733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1.4187446157157793</v>
      </c>
      <c r="AV116" s="21">
        <f>EXP(-LN(2)/25)*AV115+(1-EXP(-LN(2)/25))/(LN(2)/25)*Calculateur!AQ116*Calculateur!AS116*VLOOKUP('Données projet'!$B$10,Paramètres!$A$1:$I$89,3,0)*0.475*44/12</f>
        <v>3.5768354570038325</v>
      </c>
      <c r="AW116" s="21">
        <f>EXP(-LN(2)/2)*AW115+(1-EXP(-LN(2)/2))/(LN(2)/2)*AQ116*AT116*VLOOKUP('Données projet'!$B$10,Paramètres!$A$1:$I$89,3,0)*0.475*44/12</f>
        <v>5.1225874808391011E-12</v>
      </c>
      <c r="AX116" s="21">
        <f t="shared" si="60"/>
        <v>4.995580072724735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162.86181551380446</v>
      </c>
      <c r="BJ116" s="59">
        <f t="shared" si="92"/>
        <v>184.96823352120742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0.76556028813456589</v>
      </c>
      <c r="BQ116" s="21">
        <f>EXP(-LN(2)/25)*BQ115+(1-EXP(-LN(2)/25))/(LN(2)/25)*Calculateur!BL116*Calculateur!BN116*VLOOKUP('Données projet'!$B$11,Paramètres!$A$1:$I$89,3,0)*0.475*44/12</f>
        <v>0.31318970411871128</v>
      </c>
      <c r="BR116" s="21">
        <f>EXP(-LN(2)/2)*BR115+(1-EXP(-LN(2)/2))/(LN(2)/2)*BL116*BO116*VLOOKUP('Données projet'!$B$11,Paramètres!$A$1:$I$89,3,0)*0.475*44/12</f>
        <v>5.3680793642843107E-13</v>
      </c>
      <c r="BS116" s="22">
        <f t="shared" si="63"/>
        <v>1.078749992253814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-3.1036506698001178E-14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207.02306964567629</v>
      </c>
      <c r="CE116" s="59">
        <f t="shared" si="94"/>
        <v>342.06887933351783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1.2765702081366517</v>
      </c>
      <c r="CL116" s="21">
        <f>EXP(-LN(2)/25)*CL115+(1-EXP(-LN(2)/25))/(LN(2)/25)*Calculateur!CG116*Calculateur!CI116*VLOOKUP('Données projet'!$B$12,Paramètres!$A$1:$I$89,3,0)*0.475*44/12</f>
        <v>3.8971702725976023</v>
      </c>
      <c r="CM116" s="21">
        <f>EXP(-LN(2)/2)*CM115+(1-EXP(-LN(2)/2))/(LN(2)/2)*CG116*CJ116*VLOOKUP('Données projet'!$B$12,Paramètres!$A$1:$I$89,3,0)*0.475*44/12</f>
        <v>4.2683370631408415E-12</v>
      </c>
      <c r="CN116" s="22">
        <f t="shared" si="66"/>
        <v>5.1737404807385223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-4.9658410716801891E-14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268.31928207836495</v>
      </c>
      <c r="T117" s="59">
        <f t="shared" si="88"/>
        <v>277.61304526670204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0.389842763106097</v>
      </c>
      <c r="AA117" s="21">
        <f>EXP(-LN(2)/25)*AA116+(1-EXP(-LN(2)/25))/(LN(2)/25)*Calculateur!V117*Calculateur!X117*VLOOKUP('Données projet'!$B$9,Paramètres!$A$1:$I$89,3,0)*0.475*44/12</f>
        <v>0.54850270681434177</v>
      </c>
      <c r="AB117" s="21">
        <f>EXP(-LN(2)/2)*AB116+(1-EXP(-LN(2)/2))/(LN(2)/2)*V117*Y117*VLOOKUP('Données projet'!$B$9,Paramètres!$A$1:$I$89,3,0)*0.475*44/12</f>
        <v>1.8561891625736279E-12</v>
      </c>
      <c r="AC117" s="22">
        <f t="shared" si="57"/>
        <v>0.93834546992229495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-3.4106051316484809E-13</v>
      </c>
      <c r="AJ117" s="13">
        <f>AI117*VLOOKUP('Données projet'!$B$10,Paramètres!$A$1:$I$89,3,0)*VLOOKUP('Données projet'!$B$10,Paramètres!$A$1:$I$89,5,0)</f>
        <v>-1.9065282685915009E-13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544.48194192356823</v>
      </c>
      <c r="AO117" s="59">
        <f t="shared" si="90"/>
        <v>668.20427590250733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1.3909238991503623</v>
      </c>
      <c r="AV117" s="21">
        <f>EXP(-LN(2)/25)*AV116+(1-EXP(-LN(2)/25))/(LN(2)/25)*Calculateur!AQ117*Calculateur!AS117*VLOOKUP('Données projet'!$B$10,Paramètres!$A$1:$I$89,3,0)*0.475*44/12</f>
        <v>3.4790267033344611</v>
      </c>
      <c r="AW117" s="21">
        <f>EXP(-LN(2)/2)*AW116+(1-EXP(-LN(2)/2))/(LN(2)/2)*AQ117*AT117*VLOOKUP('Données projet'!$B$10,Paramètres!$A$1:$I$89,3,0)*0.475*44/12</f>
        <v>3.6222163449226424E-12</v>
      </c>
      <c r="AX117" s="21">
        <f t="shared" si="60"/>
        <v>4.8699506024884451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162.86181551380446</v>
      </c>
      <c r="BJ117" s="59">
        <f t="shared" si="92"/>
        <v>184.96823352120742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0.75054811782991571</v>
      </c>
      <c r="BQ117" s="21">
        <f>EXP(-LN(2)/25)*BQ116+(1-EXP(-LN(2)/25))/(LN(2)/25)*Calculateur!BL117*Calculateur!BN117*VLOOKUP('Données projet'!$B$11,Paramètres!$A$1:$I$89,3,0)*0.475*44/12</f>
        <v>0.30462551518965436</v>
      </c>
      <c r="BR117" s="21">
        <f>EXP(-LN(2)/2)*BR116+(1-EXP(-LN(2)/2))/(LN(2)/2)*BL117*BO117*VLOOKUP('Données projet'!$B$11,Paramètres!$A$1:$I$89,3,0)*0.475*44/12</f>
        <v>3.7958053204330073E-13</v>
      </c>
      <c r="BS117" s="22">
        <f t="shared" si="63"/>
        <v>1.0551736330199495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-3.1036506698001178E-14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207.02306964567629</v>
      </c>
      <c r="CE117" s="59">
        <f t="shared" si="94"/>
        <v>342.06887933351783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1.2515374449860355</v>
      </c>
      <c r="CL117" s="21">
        <f>EXP(-LN(2)/25)*CL116+(1-EXP(-LN(2)/25))/(LN(2)/25)*Calculateur!CG117*Calculateur!CI117*VLOOKUP('Données projet'!$B$12,Paramètres!$A$1:$I$89,3,0)*0.475*44/12</f>
        <v>3.7906019465501433</v>
      </c>
      <c r="CM117" s="21">
        <f>EXP(-LN(2)/2)*CM116+(1-EXP(-LN(2)/2))/(LN(2)/2)*CG117*CJ117*VLOOKUP('Données projet'!$B$12,Paramètres!$A$1:$I$89,3,0)*0.475*44/12</f>
        <v>3.018170081736762E-12</v>
      </c>
      <c r="CN117" s="22">
        <f t="shared" si="66"/>
        <v>5.0421393915391963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-4.9658410716801891E-14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268.31928207836495</v>
      </c>
      <c r="T118" s="59">
        <f t="shared" si="88"/>
        <v>277.61304526670204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0.38219818430219304</v>
      </c>
      <c r="AA118" s="21">
        <f>EXP(-LN(2)/25)*AA117+(1-EXP(-LN(2)/25))/(LN(2)/25)*Calculateur!V118*Calculateur!X118*VLOOKUP('Données projet'!$B$9,Paramètres!$A$1:$I$89,3,0)*0.475*44/12</f>
        <v>0.53350387145199984</v>
      </c>
      <c r="AB118" s="21">
        <f>EXP(-LN(2)/2)*AB117+(1-EXP(-LN(2)/2))/(LN(2)/2)*V118*Y118*VLOOKUP('Données projet'!$B$9,Paramètres!$A$1:$I$89,3,0)*0.475*44/12</f>
        <v>1.3125239440207912E-12</v>
      </c>
      <c r="AC118" s="22">
        <f t="shared" si="57"/>
        <v>0.91570205575550534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-3.4106051316484809E-13</v>
      </c>
      <c r="AJ118" s="13">
        <f>AI118*VLOOKUP('Données projet'!$B$10,Paramètres!$A$1:$I$89,3,0)*VLOOKUP('Données projet'!$B$10,Paramètres!$A$1:$I$89,5,0)</f>
        <v>-1.9065282685915009E-13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544.48194192356823</v>
      </c>
      <c r="AO118" s="59">
        <f t="shared" si="90"/>
        <v>668.20427590250733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1.3636487298678317</v>
      </c>
      <c r="AV118" s="21">
        <f>EXP(-LN(2)/25)*AV117+(1-EXP(-LN(2)/25))/(LN(2)/25)*Calculateur!AQ118*Calculateur!AS118*VLOOKUP('Données projet'!$B$10,Paramètres!$A$1:$I$89,3,0)*0.475*44/12</f>
        <v>3.3838925351777172</v>
      </c>
      <c r="AW118" s="21">
        <f>EXP(-LN(2)/2)*AW117+(1-EXP(-LN(2)/2))/(LN(2)/2)*AQ118*AT118*VLOOKUP('Données projet'!$B$10,Paramètres!$A$1:$I$89,3,0)*0.475*44/12</f>
        <v>2.561293740419551E-12</v>
      </c>
      <c r="AX118" s="21">
        <f t="shared" si="60"/>
        <v>4.7475412650481106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162.86181551380446</v>
      </c>
      <c r="BJ118" s="59">
        <f t="shared" si="92"/>
        <v>184.96823352120742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0.73583032702841999</v>
      </c>
      <c r="BQ118" s="21">
        <f>EXP(-LN(2)/25)*BQ117+(1-EXP(-LN(2)/25))/(LN(2)/25)*Calculateur!BL118*Calculateur!BN118*VLOOKUP('Données projet'!$B$11,Paramètres!$A$1:$I$89,3,0)*0.475*44/12</f>
        <v>0.29629551445723368</v>
      </c>
      <c r="BR118" s="21">
        <f>EXP(-LN(2)/2)*BR117+(1-EXP(-LN(2)/2))/(LN(2)/2)*BL118*BO118*VLOOKUP('Données projet'!$B$11,Paramètres!$A$1:$I$89,3,0)*0.475*44/12</f>
        <v>2.6840396821421553E-13</v>
      </c>
      <c r="BS118" s="22">
        <f t="shared" si="63"/>
        <v>1.0321258414859222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-3.1036506698001178E-14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207.02306964567629</v>
      </c>
      <c r="CE118" s="59">
        <f t="shared" si="94"/>
        <v>342.06887933351783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1.2269955590523249</v>
      </c>
      <c r="CL118" s="21">
        <f>EXP(-LN(2)/25)*CL117+(1-EXP(-LN(2)/25))/(LN(2)/25)*Calculateur!CG118*Calculateur!CI118*VLOOKUP('Données projet'!$B$12,Paramètres!$A$1:$I$89,3,0)*0.475*44/12</f>
        <v>3.6869477369826367</v>
      </c>
      <c r="CM118" s="21">
        <f>EXP(-LN(2)/2)*CM117+(1-EXP(-LN(2)/2))/(LN(2)/2)*CG118*CJ118*VLOOKUP('Données projet'!$B$12,Paramètres!$A$1:$I$89,3,0)*0.475*44/12</f>
        <v>2.1341685315704208E-12</v>
      </c>
      <c r="CN118" s="22">
        <f t="shared" si="66"/>
        <v>4.9139432960370959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-4.9658410716801891E-14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268.31928207836495</v>
      </c>
      <c r="T119" s="59">
        <f t="shared" si="88"/>
        <v>277.61304526670204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0.37470351102590099</v>
      </c>
      <c r="AA119" s="21">
        <f>EXP(-LN(2)/25)*AA118+(1-EXP(-LN(2)/25))/(LN(2)/25)*Calculateur!V119*Calculateur!X119*VLOOKUP('Données projet'!$B$9,Paramètres!$A$1:$I$89,3,0)*0.475*44/12</f>
        <v>0.5189151800313957</v>
      </c>
      <c r="AB119" s="21">
        <f>EXP(-LN(2)/2)*AB118+(1-EXP(-LN(2)/2))/(LN(2)/2)*V119*Y119*VLOOKUP('Données projet'!$B$9,Paramètres!$A$1:$I$89,3,0)*0.475*44/12</f>
        <v>9.2809458128681394E-13</v>
      </c>
      <c r="AC119" s="22">
        <f t="shared" si="57"/>
        <v>0.89361869105822489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-3.4106051316484809E-13</v>
      </c>
      <c r="AJ119" s="13">
        <f>AI119*VLOOKUP('Données projet'!$B$10,Paramètres!$A$1:$I$89,3,0)*VLOOKUP('Données projet'!$B$10,Paramètres!$A$1:$I$89,5,0)</f>
        <v>-1.9065282685915009E-13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544.48194192356823</v>
      </c>
      <c r="AO119" s="59">
        <f t="shared" si="90"/>
        <v>668.20427590250733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1.336908410018721</v>
      </c>
      <c r="AV119" s="21">
        <f>EXP(-LN(2)/25)*AV118+(1-EXP(-LN(2)/25))/(LN(2)/25)*Calculateur!AQ119*Calculateur!AS119*VLOOKUP('Données projet'!$B$10,Paramètres!$A$1:$I$89,3,0)*0.475*44/12</f>
        <v>3.291359815852108</v>
      </c>
      <c r="AW119" s="21">
        <f>EXP(-LN(2)/2)*AW118+(1-EXP(-LN(2)/2))/(LN(2)/2)*AQ119*AT119*VLOOKUP('Données projet'!$B$10,Paramètres!$A$1:$I$89,3,0)*0.475*44/12</f>
        <v>1.8111081724613214E-12</v>
      </c>
      <c r="AX119" s="21">
        <f t="shared" si="60"/>
        <v>4.62826822587264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162.86181551380446</v>
      </c>
      <c r="BJ119" s="59">
        <f t="shared" si="92"/>
        <v>184.96823352120742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0.72140114312757564</v>
      </c>
      <c r="BQ119" s="21">
        <f>EXP(-LN(2)/25)*BQ118+(1-EXP(-LN(2)/25))/(LN(2)/25)*Calculateur!BL119*Calculateur!BN119*VLOOKUP('Données projet'!$B$11,Paramètres!$A$1:$I$89,3,0)*0.475*44/12</f>
        <v>0.28819329803289673</v>
      </c>
      <c r="BR119" s="21">
        <f>EXP(-LN(2)/2)*BR118+(1-EXP(-LN(2)/2))/(LN(2)/2)*BL119*BO119*VLOOKUP('Données projet'!$B$11,Paramètres!$A$1:$I$89,3,0)*0.475*44/12</f>
        <v>1.8979026602165036E-13</v>
      </c>
      <c r="BS119" s="22">
        <f t="shared" si="63"/>
        <v>1.0095944411606623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-3.1036506698001178E-14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207.02306964567629</v>
      </c>
      <c r="CE119" s="59">
        <f t="shared" si="94"/>
        <v>342.06887933351783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1.2029349245327021</v>
      </c>
      <c r="CL119" s="21">
        <f>EXP(-LN(2)/25)*CL118+(1-EXP(-LN(2)/25))/(LN(2)/25)*Calculateur!CG119*Calculateur!CI119*VLOOKUP('Données projet'!$B$12,Paramètres!$A$1:$I$89,3,0)*0.475*44/12</f>
        <v>3.5861279572266915</v>
      </c>
      <c r="CM119" s="21">
        <f>EXP(-LN(2)/2)*CM118+(1-EXP(-LN(2)/2))/(LN(2)/2)*CG119*CJ119*VLOOKUP('Données projet'!$B$12,Paramètres!$A$1:$I$89,3,0)*0.475*44/12</f>
        <v>1.509085040868381E-12</v>
      </c>
      <c r="CN119" s="22">
        <f t="shared" si="66"/>
        <v>4.7890628817609029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-4.9658410716801891E-14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268.31928207836495</v>
      </c>
      <c r="T120" s="59">
        <f t="shared" si="88"/>
        <v>277.61304526670204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0.3673558037212577</v>
      </c>
      <c r="AA120" s="21">
        <f>EXP(-LN(2)/25)*AA119+(1-EXP(-LN(2)/25))/(LN(2)/25)*Calculateur!V120*Calculateur!X120*VLOOKUP('Données projet'!$B$9,Paramètres!$A$1:$I$89,3,0)*0.475*44/12</f>
        <v>0.50472541714487384</v>
      </c>
      <c r="AB120" s="21">
        <f>EXP(-LN(2)/2)*AB119+(1-EXP(-LN(2)/2))/(LN(2)/2)*V120*Y120*VLOOKUP('Données projet'!$B$9,Paramètres!$A$1:$I$89,3,0)*0.475*44/12</f>
        <v>6.5626197201039559E-13</v>
      </c>
      <c r="AC120" s="22">
        <f t="shared" si="57"/>
        <v>0.87208122086678774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-3.4106051316484809E-13</v>
      </c>
      <c r="AJ120" s="13">
        <f>AI120*VLOOKUP('Données projet'!$B$10,Paramètres!$A$1:$I$89,3,0)*VLOOKUP('Données projet'!$B$10,Paramètres!$A$1:$I$89,5,0)</f>
        <v>-1.9065282685915009E-13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544.48194192356823</v>
      </c>
      <c r="AO120" s="59">
        <f t="shared" si="90"/>
        <v>668.20427590250733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1.3106924515318665</v>
      </c>
      <c r="AV120" s="21">
        <f>EXP(-LN(2)/25)*AV119+(1-EXP(-LN(2)/25))/(LN(2)/25)*Calculateur!AQ120*Calculateur!AS120*VLOOKUP('Données projet'!$B$10,Paramètres!$A$1:$I$89,3,0)*0.475*44/12</f>
        <v>3.2013574086025418</v>
      </c>
      <c r="AW120" s="21">
        <f>EXP(-LN(2)/2)*AW119+(1-EXP(-LN(2)/2))/(LN(2)/2)*AQ120*AT120*VLOOKUP('Données projet'!$B$10,Paramètres!$A$1:$I$89,3,0)*0.475*44/12</f>
        <v>1.2806468702097757E-12</v>
      </c>
      <c r="AX120" s="21">
        <f t="shared" si="60"/>
        <v>4.5120498601356891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162.86181551380446</v>
      </c>
      <c r="BJ120" s="59">
        <f t="shared" si="92"/>
        <v>184.96823352120742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0.70725490672209368</v>
      </c>
      <c r="BQ120" s="21">
        <f>EXP(-LN(2)/25)*BQ119+(1-EXP(-LN(2)/25))/(LN(2)/25)*Calculateur!BL120*Calculateur!BN120*VLOOKUP('Données projet'!$B$11,Paramètres!$A$1:$I$89,3,0)*0.475*44/12</f>
        <v>0.28031263714276028</v>
      </c>
      <c r="BR120" s="21">
        <f>EXP(-LN(2)/2)*BR119+(1-EXP(-LN(2)/2))/(LN(2)/2)*BL120*BO120*VLOOKUP('Données projet'!$B$11,Paramètres!$A$1:$I$89,3,0)*0.475*44/12</f>
        <v>1.3420198410710777E-13</v>
      </c>
      <c r="BS120" s="22">
        <f t="shared" si="63"/>
        <v>0.98756754386498813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-3.1036506698001178E-14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207.02306964567629</v>
      </c>
      <c r="CE120" s="59">
        <f t="shared" si="94"/>
        <v>342.06887933351783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1.1793461043804712</v>
      </c>
      <c r="CL120" s="21">
        <f>EXP(-LN(2)/25)*CL119+(1-EXP(-LN(2)/25))/(LN(2)/25)*Calculateur!CG120*Calculateur!CI120*VLOOKUP('Données projet'!$B$12,Paramètres!$A$1:$I$89,3,0)*0.475*44/12</f>
        <v>3.4880650996500546</v>
      </c>
      <c r="CM120" s="21">
        <f>EXP(-LN(2)/2)*CM119+(1-EXP(-LN(2)/2))/(LN(2)/2)*CG120*CJ120*VLOOKUP('Données projet'!$B$12,Paramètres!$A$1:$I$89,3,0)*0.475*44/12</f>
        <v>1.0670842657852104E-12</v>
      </c>
      <c r="CN120" s="22">
        <f t="shared" si="66"/>
        <v>4.667411204031592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-4.9658410716801891E-14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268.31928207836495</v>
      </c>
      <c r="T121" s="59">
        <f t="shared" si="88"/>
        <v>277.61304526670204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0.36015218047519953</v>
      </c>
      <c r="AA121" s="21">
        <f>EXP(-LN(2)/25)*AA120+(1-EXP(-LN(2)/25))/(LN(2)/25)*Calculateur!V121*Calculateur!X121*VLOOKUP('Données projet'!$B$9,Paramètres!$A$1:$I$89,3,0)*0.475*44/12</f>
        <v>0.49092367407069115</v>
      </c>
      <c r="AB121" s="21">
        <f>EXP(-LN(2)/2)*AB120+(1-EXP(-LN(2)/2))/(LN(2)/2)*V121*Y121*VLOOKUP('Données projet'!$B$9,Paramètres!$A$1:$I$89,3,0)*0.475*44/12</f>
        <v>4.6404729064340697E-13</v>
      </c>
      <c r="AC121" s="22">
        <f t="shared" si="57"/>
        <v>0.85107585454635482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-3.4106051316484809E-13</v>
      </c>
      <c r="AJ121" s="13">
        <f>AI121*VLOOKUP('Données projet'!$B$10,Paramètres!$A$1:$I$89,3,0)*VLOOKUP('Données projet'!$B$10,Paramètres!$A$1:$I$89,5,0)</f>
        <v>-1.9065282685915009E-13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544.48194192356823</v>
      </c>
      <c r="AO121" s="59">
        <f t="shared" si="90"/>
        <v>668.20427590250733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1.2849905720007835</v>
      </c>
      <c r="AV121" s="21">
        <f>EXP(-LN(2)/25)*AV120+(1-EXP(-LN(2)/25))/(LN(2)/25)*Calculateur!AQ121*Calculateur!AS121*VLOOKUP('Données projet'!$B$10,Paramètres!$A$1:$I$89,3,0)*0.475*44/12</f>
        <v>3.1138161219122358</v>
      </c>
      <c r="AW121" s="21">
        <f>EXP(-LN(2)/2)*AW120+(1-EXP(-LN(2)/2))/(LN(2)/2)*AQ121*AT121*VLOOKUP('Données projet'!$B$10,Paramètres!$A$1:$I$89,3,0)*0.475*44/12</f>
        <v>9.0555408623066081E-13</v>
      </c>
      <c r="AX121" s="21">
        <f t="shared" si="60"/>
        <v>4.398806693913925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162.86181551380446</v>
      </c>
      <c r="BJ121" s="59">
        <f t="shared" si="92"/>
        <v>184.96823352120742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0.69338606938417102</v>
      </c>
      <c r="BQ121" s="21">
        <f>EXP(-LN(2)/25)*BQ120+(1-EXP(-LN(2)/25))/(LN(2)/25)*Calculateur!BL121*Calculateur!BN121*VLOOKUP('Données projet'!$B$11,Paramètres!$A$1:$I$89,3,0)*0.475*44/12</f>
        <v>0.27264747333909056</v>
      </c>
      <c r="BR121" s="21">
        <f>EXP(-LN(2)/2)*BR120+(1-EXP(-LN(2)/2))/(LN(2)/2)*BL121*BO121*VLOOKUP('Données projet'!$B$11,Paramètres!$A$1:$I$89,3,0)*0.475*44/12</f>
        <v>9.4895133010825182E-14</v>
      </c>
      <c r="BS121" s="22">
        <f t="shared" si="63"/>
        <v>0.96603354272335651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-3.1036506698001178E-14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207.02306964567629</v>
      </c>
      <c r="CE121" s="59">
        <f t="shared" si="94"/>
        <v>342.06887933351783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1.1562198466036659</v>
      </c>
      <c r="CL121" s="21">
        <f>EXP(-LN(2)/25)*CL120+(1-EXP(-LN(2)/25))/(LN(2)/25)*Calculateur!CG121*Calculateur!CI121*VLOOKUP('Données projet'!$B$12,Paramètres!$A$1:$I$89,3,0)*0.475*44/12</f>
        <v>3.3926837760707524</v>
      </c>
      <c r="CM121" s="21">
        <f>EXP(-LN(2)/2)*CM120+(1-EXP(-LN(2)/2))/(LN(2)/2)*CG121*CJ121*VLOOKUP('Données projet'!$B$12,Paramètres!$A$1:$I$89,3,0)*0.475*44/12</f>
        <v>7.5454252043419049E-13</v>
      </c>
      <c r="CN121" s="22">
        <f t="shared" si="66"/>
        <v>4.5489036226751729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-4.9658410716801891E-14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268.31928207836495</v>
      </c>
      <c r="T122" s="59">
        <f t="shared" si="88"/>
        <v>277.61304526670204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0.35308981588722022</v>
      </c>
      <c r="AA122" s="21">
        <f>EXP(-LN(2)/25)*AA121+(1-EXP(-LN(2)/25))/(LN(2)/25)*Calculateur!V122*Calculateur!X122*VLOOKUP('Données projet'!$B$9,Paramètres!$A$1:$I$89,3,0)*0.475*44/12</f>
        <v>0.47749934038667413</v>
      </c>
      <c r="AB122" s="21">
        <f>EXP(-LN(2)/2)*AB121+(1-EXP(-LN(2)/2))/(LN(2)/2)*V122*Y122*VLOOKUP('Données projet'!$B$9,Paramètres!$A$1:$I$89,3,0)*0.475*44/12</f>
        <v>3.281309860051978E-13</v>
      </c>
      <c r="AC122" s="22">
        <f t="shared" si="57"/>
        <v>0.83058915627422247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-3.4106051316484809E-13</v>
      </c>
      <c r="AJ122" s="13">
        <f>AI122*VLOOKUP('Données projet'!$B$10,Paramètres!$A$1:$I$89,3,0)*VLOOKUP('Données projet'!$B$10,Paramètres!$A$1:$I$89,5,0)</f>
        <v>-1.9065282685915009E-13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544.48194192356823</v>
      </c>
      <c r="AO122" s="59">
        <f t="shared" si="90"/>
        <v>668.20427590250733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1.2597926906507064</v>
      </c>
      <c r="AV122" s="21">
        <f>EXP(-LN(2)/25)*AV121+(1-EXP(-LN(2)/25))/(LN(2)/25)*Calculateur!AQ122*Calculateur!AS122*VLOOKUP('Données projet'!$B$10,Paramètres!$A$1:$I$89,3,0)*0.475*44/12</f>
        <v>3.0286686563100726</v>
      </c>
      <c r="AW122" s="21">
        <f>EXP(-LN(2)/2)*AW121+(1-EXP(-LN(2)/2))/(LN(2)/2)*AQ122*AT122*VLOOKUP('Données projet'!$B$10,Paramètres!$A$1:$I$89,3,0)*0.475*44/12</f>
        <v>6.4032343510488794E-13</v>
      </c>
      <c r="AX122" s="21">
        <f t="shared" si="60"/>
        <v>4.2884613469614195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162.86181551380446</v>
      </c>
      <c r="BJ122" s="59">
        <f t="shared" si="92"/>
        <v>184.96823352120742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0.67978919148728956</v>
      </c>
      <c r="BQ122" s="21">
        <f>EXP(-LN(2)/25)*BQ121+(1-EXP(-LN(2)/25))/(LN(2)/25)*Calculateur!BL122*Calculateur!BN122*VLOOKUP('Données projet'!$B$11,Paramètres!$A$1:$I$89,3,0)*0.475*44/12</f>
        <v>0.26519191384272567</v>
      </c>
      <c r="BR122" s="21">
        <f>EXP(-LN(2)/2)*BR121+(1-EXP(-LN(2)/2))/(LN(2)/2)*BL122*BO122*VLOOKUP('Données projet'!$B$11,Paramètres!$A$1:$I$89,3,0)*0.475*44/12</f>
        <v>6.7100992053553884E-14</v>
      </c>
      <c r="BS122" s="22">
        <f t="shared" si="63"/>
        <v>0.94498110533008228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-3.1036506698001178E-14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207.02306964567629</v>
      </c>
      <c r="CE122" s="59">
        <f t="shared" si="94"/>
        <v>342.06887933351783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1.1335470806362393</v>
      </c>
      <c r="CL122" s="21">
        <f>EXP(-LN(2)/25)*CL121+(1-EXP(-LN(2)/25))/(LN(2)/25)*Calculateur!CG122*Calculateur!CI122*VLOOKUP('Données projet'!$B$12,Paramètres!$A$1:$I$89,3,0)*0.475*44/12</f>
        <v>3.299910659800612</v>
      </c>
      <c r="CM122" s="21">
        <f>EXP(-LN(2)/2)*CM121+(1-EXP(-LN(2)/2))/(LN(2)/2)*CG122*CJ122*VLOOKUP('Données projet'!$B$12,Paramètres!$A$1:$I$89,3,0)*0.475*44/12</f>
        <v>5.3354213289260519E-13</v>
      </c>
      <c r="CN122" s="22">
        <f t="shared" si="66"/>
        <v>4.4334577404373849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-4.9658410716801891E-14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268.31928207836495</v>
      </c>
      <c r="T123" s="59">
        <f t="shared" si="88"/>
        <v>277.61304526670204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0.34616593996119416</v>
      </c>
      <c r="AA123" s="21">
        <f>EXP(-LN(2)/25)*AA122+(1-EXP(-LN(2)/25))/(LN(2)/25)*Calculateur!V123*Calculateur!X123*VLOOKUP('Données projet'!$B$9,Paramètres!$A$1:$I$89,3,0)*0.475*44/12</f>
        <v>0.46444209581320156</v>
      </c>
      <c r="AB123" s="21">
        <f>EXP(-LN(2)/2)*AB122+(1-EXP(-LN(2)/2))/(LN(2)/2)*V123*Y123*VLOOKUP('Données projet'!$B$9,Paramètres!$A$1:$I$89,3,0)*0.475*44/12</f>
        <v>2.3202364532170348E-13</v>
      </c>
      <c r="AC123" s="22">
        <f t="shared" si="57"/>
        <v>0.8106080357746277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-3.4106051316484809E-13</v>
      </c>
      <c r="AJ123" s="13">
        <f>AI123*VLOOKUP('Données projet'!$B$10,Paramètres!$A$1:$I$89,3,0)*VLOOKUP('Données projet'!$B$10,Paramètres!$A$1:$I$89,5,0)</f>
        <v>-1.9065282685915009E-13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544.48194192356823</v>
      </c>
      <c r="AO123" s="59">
        <f t="shared" si="90"/>
        <v>668.20427590250733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1.2350889243847143</v>
      </c>
      <c r="AV123" s="21">
        <f>EXP(-LN(2)/25)*AV122+(1-EXP(-LN(2)/25))/(LN(2)/25)*Calculateur!AQ123*Calculateur!AS123*VLOOKUP('Données projet'!$B$10,Paramètres!$A$1:$I$89,3,0)*0.475*44/12</f>
        <v>2.9458495526325112</v>
      </c>
      <c r="AW123" s="21">
        <f>EXP(-LN(2)/2)*AW122+(1-EXP(-LN(2)/2))/(LN(2)/2)*AQ123*AT123*VLOOKUP('Données projet'!$B$10,Paramètres!$A$1:$I$89,3,0)*0.475*44/12</f>
        <v>4.527770431153305E-13</v>
      </c>
      <c r="AX123" s="21">
        <f t="shared" si="60"/>
        <v>4.1809384770176781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162.86181551380446</v>
      </c>
      <c r="BJ123" s="59">
        <f t="shared" si="92"/>
        <v>184.96823352120742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0.66645894007268924</v>
      </c>
      <c r="BQ123" s="21">
        <f>EXP(-LN(2)/25)*BQ122+(1-EXP(-LN(2)/25))/(LN(2)/25)*Calculateur!BL123*Calculateur!BN123*VLOOKUP('Données projet'!$B$11,Paramètres!$A$1:$I$89,3,0)*0.475*44/12</f>
        <v>0.25794022701285968</v>
      </c>
      <c r="BR123" s="21">
        <f>EXP(-LN(2)/2)*BR122+(1-EXP(-LN(2)/2))/(LN(2)/2)*BL123*BO123*VLOOKUP('Données projet'!$B$11,Paramètres!$A$1:$I$89,3,0)*0.475*44/12</f>
        <v>4.7447566505412591E-14</v>
      </c>
      <c r="BS123" s="22">
        <f t="shared" si="63"/>
        <v>0.92439916708559633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-3.1036506698001178E-14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207.02306964567629</v>
      </c>
      <c r="CE123" s="59">
        <f t="shared" si="94"/>
        <v>342.06887933351783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1.1113189137804123</v>
      </c>
      <c r="CL123" s="21">
        <f>EXP(-LN(2)/25)*CL122+(1-EXP(-LN(2)/25))/(LN(2)/25)*Calculateur!CG123*Calculateur!CI123*VLOOKUP('Données projet'!$B$12,Paramètres!$A$1:$I$89,3,0)*0.475*44/12</f>
        <v>3.2096744292736048</v>
      </c>
      <c r="CM123" s="21">
        <f>EXP(-LN(2)/2)*CM122+(1-EXP(-LN(2)/2))/(LN(2)/2)*CG123*CJ123*VLOOKUP('Données projet'!$B$12,Paramètres!$A$1:$I$89,3,0)*0.475*44/12</f>
        <v>3.7727126021709525E-13</v>
      </c>
      <c r="CN123" s="22">
        <f t="shared" si="66"/>
        <v>4.3209933430543943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-4.9658410716801891E-14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268.31928207836495</v>
      </c>
      <c r="T124" s="59">
        <f t="shared" si="88"/>
        <v>277.61304526670204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0.33937783701893015</v>
      </c>
      <c r="AA124" s="21">
        <f>EXP(-LN(2)/25)*AA123+(1-EXP(-LN(2)/25))/(LN(2)/25)*Calculateur!V124*Calculateur!X124*VLOOKUP('Données projet'!$B$9,Paramètres!$A$1:$I$89,3,0)*0.475*44/12</f>
        <v>0.45174190227924127</v>
      </c>
      <c r="AB124" s="21">
        <f>EXP(-LN(2)/2)*AB123+(1-EXP(-LN(2)/2))/(LN(2)/2)*V124*Y124*VLOOKUP('Données projet'!$B$9,Paramètres!$A$1:$I$89,3,0)*0.475*44/12</f>
        <v>1.640654930025989E-13</v>
      </c>
      <c r="AC124" s="22">
        <f t="shared" si="57"/>
        <v>0.79111973929833557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-1.9065282685915009E-13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544.48194192356823</v>
      </c>
      <c r="AO124" s="59">
        <f t="shared" si="90"/>
        <v>668.20427590250733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1.2108695839073889</v>
      </c>
      <c r="AV124" s="21">
        <f>EXP(-LN(2)/25)*AV123+(1-EXP(-LN(2)/25))/(LN(2)/25)*Calculateur!AQ124*Calculateur!AS124*VLOOKUP('Données projet'!$B$10,Paramètres!$A$1:$I$89,3,0)*0.475*44/12</f>
        <v>2.8652951417002801</v>
      </c>
      <c r="AW124" s="21">
        <f>EXP(-LN(2)/2)*AW123+(1-EXP(-LN(2)/2))/(LN(2)/2)*AQ124*AT124*VLOOKUP('Données projet'!$B$10,Paramètres!$A$1:$I$89,3,0)*0.475*44/12</f>
        <v>3.2016171755244402E-13</v>
      </c>
      <c r="AX124" s="21">
        <f t="shared" si="60"/>
        <v>4.0761647256079883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162.86181551380446</v>
      </c>
      <c r="BJ124" s="59">
        <f t="shared" si="92"/>
        <v>184.96823352120742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0.65339008675767873</v>
      </c>
      <c r="BQ124" s="21">
        <f>EXP(-LN(2)/25)*BQ123+(1-EXP(-LN(2)/25))/(LN(2)/25)*Calculateur!BL124*Calculateur!BN124*VLOOKUP('Données projet'!$B$11,Paramètres!$A$1:$I$89,3,0)*0.475*44/12</f>
        <v>0.25088683794070604</v>
      </c>
      <c r="BR124" s="21">
        <f>EXP(-LN(2)/2)*BR123+(1-EXP(-LN(2)/2))/(LN(2)/2)*BL124*BO124*VLOOKUP('Données projet'!$B$11,Paramètres!$A$1:$I$89,3,0)*0.475*44/12</f>
        <v>3.3550496026776942E-14</v>
      </c>
      <c r="BS124" s="22">
        <f t="shared" si="63"/>
        <v>0.90427692469841836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-3.1036506698001178E-14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207.02306964567629</v>
      </c>
      <c r="CE124" s="59">
        <f t="shared" si="94"/>
        <v>342.06887933351783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1.0895266277187849</v>
      </c>
      <c r="CL124" s="21">
        <f>EXP(-LN(2)/25)*CL123+(1-EXP(-LN(2)/25))/(LN(2)/25)*Calculateur!CG124*Calculateur!CI124*VLOOKUP('Données projet'!$B$12,Paramètres!$A$1:$I$89,3,0)*0.475*44/12</f>
        <v>3.1219057132156758</v>
      </c>
      <c r="CM124" s="21">
        <f>EXP(-LN(2)/2)*CM123+(1-EXP(-LN(2)/2))/(LN(2)/2)*CG124*CJ124*VLOOKUP('Données projet'!$B$12,Paramètres!$A$1:$I$89,3,0)*0.475*44/12</f>
        <v>2.6677106644630259E-13</v>
      </c>
      <c r="CN124" s="22">
        <f t="shared" si="66"/>
        <v>4.211432340934727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-4.9658410716801891E-14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268.31928207836495</v>
      </c>
      <c r="T125" s="59">
        <f t="shared" si="88"/>
        <v>277.61304526670204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0.33272284463502994</v>
      </c>
      <c r="AA125" s="21">
        <f>EXP(-LN(2)/25)*AA124+(1-EXP(-LN(2)/25))/(LN(2)/25)*Calculateur!V125*Calculateur!X125*VLOOKUP('Données projet'!$B$9,Paramètres!$A$1:$I$89,3,0)*0.475*44/12</f>
        <v>0.43938899620534122</v>
      </c>
      <c r="AB125" s="21">
        <f>EXP(-LN(2)/2)*AB124+(1-EXP(-LN(2)/2))/(LN(2)/2)*V125*Y125*VLOOKUP('Données projet'!$B$9,Paramètres!$A$1:$I$89,3,0)*0.475*44/12</f>
        <v>1.1601182266085174E-13</v>
      </c>
      <c r="AC125" s="22">
        <f t="shared" si="57"/>
        <v>0.77211184084048712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-1.9065282685915009E-13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544.48194192356823</v>
      </c>
      <c r="AO125" s="59">
        <f t="shared" si="90"/>
        <v>668.20427590250733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1.1871251699244847</v>
      </c>
      <c r="AV125" s="21">
        <f>EXP(-LN(2)/25)*AV124+(1-EXP(-LN(2)/25))/(LN(2)/25)*Calculateur!AQ125*Calculateur!AS125*VLOOKUP('Données projet'!$B$10,Paramètres!$A$1:$I$89,3,0)*0.475*44/12</f>
        <v>2.7869434953711631</v>
      </c>
      <c r="AW125" s="21">
        <f>EXP(-LN(2)/2)*AW124+(1-EXP(-LN(2)/2))/(LN(2)/2)*AQ125*AT125*VLOOKUP('Données projet'!$B$10,Paramètres!$A$1:$I$89,3,0)*0.475*44/12</f>
        <v>2.2638852155766528E-13</v>
      </c>
      <c r="AX125" s="21">
        <f t="shared" si="60"/>
        <v>3.9740686652958743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162.86181551380446</v>
      </c>
      <c r="BJ125" s="59">
        <f t="shared" si="92"/>
        <v>184.96823352120742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0.64057750568496219</v>
      </c>
      <c r="BQ125" s="21">
        <f>EXP(-LN(2)/25)*BQ124+(1-EXP(-LN(2)/25))/(LN(2)/25)*Calculateur!BL125*Calculateur!BN125*VLOOKUP('Données projet'!$B$11,Paramètres!$A$1:$I$89,3,0)*0.475*44/12</f>
        <v>0.24402632416365203</v>
      </c>
      <c r="BR125" s="21">
        <f>EXP(-LN(2)/2)*BR124+(1-EXP(-LN(2)/2))/(LN(2)/2)*BL125*BO125*VLOOKUP('Données projet'!$B$11,Paramètres!$A$1:$I$89,3,0)*0.475*44/12</f>
        <v>2.3723783252706296E-14</v>
      </c>
      <c r="BS125" s="22">
        <f t="shared" si="63"/>
        <v>0.88460382984863795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-3.1036506698001178E-14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207.02306964567629</v>
      </c>
      <c r="CE125" s="59">
        <f t="shared" si="94"/>
        <v>342.06887933351783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1.0681616750948439</v>
      </c>
      <c r="CL125" s="21">
        <f>EXP(-LN(2)/25)*CL124+(1-EXP(-LN(2)/25))/(LN(2)/25)*Calculateur!CG125*Calculateur!CI125*VLOOKUP('Données projet'!$B$12,Paramètres!$A$1:$I$89,3,0)*0.475*44/12</f>
        <v>3.0365370373139067</v>
      </c>
      <c r="CM125" s="21">
        <f>EXP(-LN(2)/2)*CM124+(1-EXP(-LN(2)/2))/(LN(2)/2)*CG125*CJ125*VLOOKUP('Données projet'!$B$12,Paramètres!$A$1:$I$89,3,0)*0.475*44/12</f>
        <v>1.8863563010854762E-13</v>
      </c>
      <c r="CN125" s="22">
        <f t="shared" si="66"/>
        <v>4.1046987124089389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-4.9658410716801891E-14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268.31928207836495</v>
      </c>
      <c r="T126" s="59">
        <f t="shared" si="88"/>
        <v>277.61304526670204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0.32619835259263347</v>
      </c>
      <c r="AA126" s="21">
        <f>EXP(-LN(2)/25)*AA125+(1-EXP(-LN(2)/25))/(LN(2)/25)*Calculateur!V126*Calculateur!X126*VLOOKUP('Données projet'!$B$9,Paramètres!$A$1:$I$89,3,0)*0.475*44/12</f>
        <v>0.42737388099764312</v>
      </c>
      <c r="AB126" s="21">
        <f>EXP(-LN(2)/2)*AB125+(1-EXP(-LN(2)/2))/(LN(2)/2)*V126*Y126*VLOOKUP('Données projet'!$B$9,Paramètres!$A$1:$I$89,3,0)*0.475*44/12</f>
        <v>8.2032746501299449E-14</v>
      </c>
      <c r="AC126" s="22">
        <f t="shared" si="57"/>
        <v>0.75357223359035863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-1.9065282685915009E-13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544.48194192356823</v>
      </c>
      <c r="AO126" s="59">
        <f t="shared" si="90"/>
        <v>668.20427590250733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1.1638463694171228</v>
      </c>
      <c r="AV126" s="21">
        <f>EXP(-LN(2)/25)*AV125+(1-EXP(-LN(2)/25))/(LN(2)/25)*Calculateur!AQ126*Calculateur!AS126*VLOOKUP('Données projet'!$B$10,Paramètres!$A$1:$I$89,3,0)*0.475*44/12</f>
        <v>2.7107343789312499</v>
      </c>
      <c r="AW126" s="21">
        <f>EXP(-LN(2)/2)*AW125+(1-EXP(-LN(2)/2))/(LN(2)/2)*AQ126*AT126*VLOOKUP('Données projet'!$B$10,Paramètres!$A$1:$I$89,3,0)*0.475*44/12</f>
        <v>1.6008085877622204E-13</v>
      </c>
      <c r="AX126" s="21">
        <f t="shared" si="60"/>
        <v>3.8745807483485324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162.86181551380446</v>
      </c>
      <c r="BJ126" s="59">
        <f t="shared" si="92"/>
        <v>184.96823352120742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0.62801617151217881</v>
      </c>
      <c r="BQ126" s="21">
        <f>EXP(-LN(2)/25)*BQ125+(1-EXP(-LN(2)/25))/(LN(2)/25)*Calculateur!BL126*Calculateur!BN126*VLOOKUP('Données projet'!$B$11,Paramètres!$A$1:$I$89,3,0)*0.475*44/12</f>
        <v>0.23735341149661029</v>
      </c>
      <c r="BR126" s="21">
        <f>EXP(-LN(2)/2)*BR125+(1-EXP(-LN(2)/2))/(LN(2)/2)*BL126*BO126*VLOOKUP('Données projet'!$B$11,Paramètres!$A$1:$I$89,3,0)*0.475*44/12</f>
        <v>1.6775248013388471E-14</v>
      </c>
      <c r="BS126" s="22">
        <f t="shared" si="63"/>
        <v>0.86536958300880584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-3.1036506698001178E-14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207.02306964567629</v>
      </c>
      <c r="CE126" s="59">
        <f t="shared" si="94"/>
        <v>342.06887933351783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1.0472156761605242</v>
      </c>
      <c r="CL126" s="21">
        <f>EXP(-LN(2)/25)*CL125+(1-EXP(-LN(2)/25))/(LN(2)/25)*Calculateur!CG126*Calculateur!CI126*VLOOKUP('Données projet'!$B$12,Paramètres!$A$1:$I$89,3,0)*0.475*44/12</f>
        <v>2.9535027723440153</v>
      </c>
      <c r="CM126" s="21">
        <f>EXP(-LN(2)/2)*CM125+(1-EXP(-LN(2)/2))/(LN(2)/2)*CG126*CJ126*VLOOKUP('Données projet'!$B$12,Paramètres!$A$1:$I$89,3,0)*0.475*44/12</f>
        <v>1.333855332231513E-13</v>
      </c>
      <c r="CN126" s="22">
        <f t="shared" si="66"/>
        <v>4.0007184485046725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-4.9658410716801891E-14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268.31928207836495</v>
      </c>
      <c r="T127" s="59">
        <f t="shared" si="88"/>
        <v>277.61304526670204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0.31980180185964119</v>
      </c>
      <c r="AA127" s="21">
        <f>EXP(-LN(2)/25)*AA126+(1-EXP(-LN(2)/25))/(LN(2)/25)*Calculateur!V127*Calculateur!X127*VLOOKUP('Données projet'!$B$9,Paramètres!$A$1:$I$89,3,0)*0.475*44/12</f>
        <v>0.41568731974714695</v>
      </c>
      <c r="AB127" s="21">
        <f>EXP(-LN(2)/2)*AB126+(1-EXP(-LN(2)/2))/(LN(2)/2)*V127*Y127*VLOOKUP('Données projet'!$B$9,Paramètres!$A$1:$I$89,3,0)*0.475*44/12</f>
        <v>5.8005911330425871E-14</v>
      </c>
      <c r="AC127" s="22">
        <f t="shared" si="57"/>
        <v>0.7354891216068461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-1.9065282685915009E-13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544.48194192356823</v>
      </c>
      <c r="AO127" s="59">
        <f t="shared" si="90"/>
        <v>668.20427590250733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1.141024051989044</v>
      </c>
      <c r="AV127" s="21">
        <f>EXP(-LN(2)/25)*AV126+(1-EXP(-LN(2)/25))/(LN(2)/25)*Calculateur!AQ127*Calculateur!AS127*VLOOKUP('Données projet'!$B$10,Paramètres!$A$1:$I$89,3,0)*0.475*44/12</f>
        <v>2.6366092047880492</v>
      </c>
      <c r="AW127" s="21">
        <f>EXP(-LN(2)/2)*AW126+(1-EXP(-LN(2)/2))/(LN(2)/2)*AQ127*AT127*VLOOKUP('Données projet'!$B$10,Paramètres!$A$1:$I$89,3,0)*0.475*44/12</f>
        <v>1.1319426077883266E-13</v>
      </c>
      <c r="AX127" s="21">
        <f t="shared" si="60"/>
        <v>3.7776332567772064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162.86181551380446</v>
      </c>
      <c r="BJ127" s="59">
        <f t="shared" si="92"/>
        <v>184.96823352120742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0.6157011574408664</v>
      </c>
      <c r="BQ127" s="21">
        <f>EXP(-LN(2)/25)*BQ126+(1-EXP(-LN(2)/25))/(LN(2)/25)*Calculateur!BL127*Calculateur!BN127*VLOOKUP('Données projet'!$B$11,Paramètres!$A$1:$I$89,3,0)*0.475*44/12</f>
        <v>0.23086296997736205</v>
      </c>
      <c r="BR127" s="21">
        <f>EXP(-LN(2)/2)*BR126+(1-EXP(-LN(2)/2))/(LN(2)/2)*BL127*BO127*VLOOKUP('Données projet'!$B$11,Paramètres!$A$1:$I$89,3,0)*0.475*44/12</f>
        <v>1.1861891626353148E-14</v>
      </c>
      <c r="BS127" s="22">
        <f t="shared" si="63"/>
        <v>0.84656412741824039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-3.1036506698001178E-14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207.02306964567629</v>
      </c>
      <c r="CE127" s="59">
        <f t="shared" si="94"/>
        <v>342.06887933351783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1.0266804154895086</v>
      </c>
      <c r="CL127" s="21">
        <f>EXP(-LN(2)/25)*CL126+(1-EXP(-LN(2)/25))/(LN(2)/25)*Calculateur!CG127*Calculateur!CI127*VLOOKUP('Données projet'!$B$12,Paramètres!$A$1:$I$89,3,0)*0.475*44/12</f>
        <v>2.8727390837163078</v>
      </c>
      <c r="CM127" s="21">
        <f>EXP(-LN(2)/2)*CM126+(1-EXP(-LN(2)/2))/(LN(2)/2)*CG127*CJ127*VLOOKUP('Données projet'!$B$12,Paramètres!$A$1:$I$89,3,0)*0.475*44/12</f>
        <v>9.4317815054273811E-14</v>
      </c>
      <c r="CN127" s="22">
        <f t="shared" si="66"/>
        <v>3.8994194992059104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-4.9658410716801891E-14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268.31928207836495</v>
      </c>
      <c r="T128" s="59">
        <f t="shared" si="88"/>
        <v>277.61304526670204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0.31353068358501218</v>
      </c>
      <c r="AA128" s="21">
        <f>EXP(-LN(2)/25)*AA127+(1-EXP(-LN(2)/25))/(LN(2)/25)*Calculateur!V128*Calculateur!X128*VLOOKUP('Données projet'!$B$9,Paramètres!$A$1:$I$89,3,0)*0.475*44/12</f>
        <v>0.40432032812861513</v>
      </c>
      <c r="AB128" s="21">
        <f>EXP(-LN(2)/2)*AB127+(1-EXP(-LN(2)/2))/(LN(2)/2)*V128*Y128*VLOOKUP('Données projet'!$B$9,Paramètres!$A$1:$I$89,3,0)*0.475*44/12</f>
        <v>4.1016373250649725E-14</v>
      </c>
      <c r="AC128" s="22">
        <f t="shared" si="57"/>
        <v>0.71785101171366827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-1.9065282685915009E-13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544.48194192356823</v>
      </c>
      <c r="AO128" s="59">
        <f t="shared" si="90"/>
        <v>668.20427590250733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1.1186492662854906</v>
      </c>
      <c r="AV128" s="21">
        <f>EXP(-LN(2)/25)*AV127+(1-EXP(-LN(2)/25))/(LN(2)/25)*Calculateur!AQ128*Calculateur!AS128*VLOOKUP('Données projet'!$B$10,Paramètres!$A$1:$I$89,3,0)*0.475*44/12</f>
        <v>2.5645109874298679</v>
      </c>
      <c r="AW128" s="21">
        <f>EXP(-LN(2)/2)*AW127+(1-EXP(-LN(2)/2))/(LN(2)/2)*AQ128*AT128*VLOOKUP('Données projet'!$B$10,Paramètres!$A$1:$I$89,3,0)*0.475*44/12</f>
        <v>8.0040429388111031E-14</v>
      </c>
      <c r="AX128" s="21">
        <f t="shared" si="60"/>
        <v>3.6831602537154384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162.86181551380446</v>
      </c>
      <c r="BJ128" s="59">
        <f t="shared" si="92"/>
        <v>184.96823352120742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0.60362763328407554</v>
      </c>
      <c r="BQ128" s="21">
        <f>EXP(-LN(2)/25)*BQ127+(1-EXP(-LN(2)/25))/(LN(2)/25)*Calculateur!BL128*Calculateur!BN128*VLOOKUP('Données projet'!$B$11,Paramètres!$A$1:$I$89,3,0)*0.475*44/12</f>
        <v>0.22455000992277513</v>
      </c>
      <c r="BR128" s="21">
        <f>EXP(-LN(2)/2)*BR127+(1-EXP(-LN(2)/2))/(LN(2)/2)*BL128*BO128*VLOOKUP('Données projet'!$B$11,Paramètres!$A$1:$I$89,3,0)*0.475*44/12</f>
        <v>8.3876240066942355E-15</v>
      </c>
      <c r="BS128" s="22">
        <f t="shared" si="63"/>
        <v>0.82817764320685905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-3.1036506698001178E-14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207.02306964567629</v>
      </c>
      <c r="CE128" s="59">
        <f t="shared" si="94"/>
        <v>342.06887933351783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1.0065478387549793</v>
      </c>
      <c r="CL128" s="21">
        <f>EXP(-LN(2)/25)*CL127+(1-EXP(-LN(2)/25))/(LN(2)/25)*Calculateur!CG128*Calculateur!CI128*VLOOKUP('Données projet'!$B$12,Paramètres!$A$1:$I$89,3,0)*0.475*44/12</f>
        <v>2.7941838824013026</v>
      </c>
      <c r="CM128" s="21">
        <f>EXP(-LN(2)/2)*CM127+(1-EXP(-LN(2)/2))/(LN(2)/2)*CG128*CJ128*VLOOKUP('Données projet'!$B$12,Paramètres!$A$1:$I$89,3,0)*0.475*44/12</f>
        <v>6.6692766611575649E-14</v>
      </c>
      <c r="CN128" s="22">
        <f t="shared" si="66"/>
        <v>3.8007317211563487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-4.9658410716801891E-14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268.31928207836495</v>
      </c>
      <c r="T129" s="59">
        <f t="shared" si="88"/>
        <v>277.61304526670204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0.3073825381147442</v>
      </c>
      <c r="AA129" s="21">
        <f>EXP(-LN(2)/25)*AA128+(1-EXP(-LN(2)/25))/(LN(2)/25)*Calculateur!V129*Calculateur!X129*VLOOKUP('Données projet'!$B$9,Paramètres!$A$1:$I$89,3,0)*0.475*44/12</f>
        <v>0.39326416749365617</v>
      </c>
      <c r="AB129" s="21">
        <f>EXP(-LN(2)/2)*AB128+(1-EXP(-LN(2)/2))/(LN(2)/2)*V129*Y129*VLOOKUP('Données projet'!$B$9,Paramètres!$A$1:$I$89,3,0)*0.475*44/12</f>
        <v>2.9002955665212935E-14</v>
      </c>
      <c r="AC129" s="22">
        <f t="shared" si="57"/>
        <v>0.70064670560842934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-1.9065282685915009E-13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544.48194192356823</v>
      </c>
      <c r="AO129" s="59">
        <f t="shared" si="90"/>
        <v>668.20427590250733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1.0967132364823122</v>
      </c>
      <c r="AV129" s="21">
        <f>EXP(-LN(2)/25)*AV128+(1-EXP(-LN(2)/25))/(LN(2)/25)*Calculateur!AQ129*Calculateur!AS129*VLOOKUP('Données projet'!$B$10,Paramètres!$A$1:$I$89,3,0)*0.475*44/12</f>
        <v>2.4943842996168266</v>
      </c>
      <c r="AW129" s="21">
        <f>EXP(-LN(2)/2)*AW128+(1-EXP(-LN(2)/2))/(LN(2)/2)*AQ129*AT129*VLOOKUP('Données projet'!$B$10,Paramètres!$A$1:$I$89,3,0)*0.475*44/12</f>
        <v>5.6597130389416338E-14</v>
      </c>
      <c r="AX129" s="21">
        <f t="shared" si="60"/>
        <v>3.5910975360991952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162.86181551380446</v>
      </c>
      <c r="BJ129" s="59">
        <f t="shared" si="92"/>
        <v>184.96823352120742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0.59179086357187671</v>
      </c>
      <c r="BQ129" s="21">
        <f>EXP(-LN(2)/25)*BQ128+(1-EXP(-LN(2)/25))/(LN(2)/25)*Calculateur!BL129*Calculateur!BN129*VLOOKUP('Données projet'!$B$11,Paramètres!$A$1:$I$89,3,0)*0.475*44/12</f>
        <v>0.21840967809286504</v>
      </c>
      <c r="BR129" s="21">
        <f>EXP(-LN(2)/2)*BR128+(1-EXP(-LN(2)/2))/(LN(2)/2)*BL129*BO129*VLOOKUP('Données projet'!$B$11,Paramètres!$A$1:$I$89,3,0)*0.475*44/12</f>
        <v>5.9309458131765739E-15</v>
      </c>
      <c r="BS129" s="22">
        <f t="shared" si="63"/>
        <v>0.81020054166474764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-3.1036506698001178E-14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207.02306964567629</v>
      </c>
      <c r="CE129" s="59">
        <f t="shared" si="94"/>
        <v>342.06887933351783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0.98681004957055496</v>
      </c>
      <c r="CL129" s="21">
        <f>EXP(-LN(2)/25)*CL128+(1-EXP(-LN(2)/25))/(LN(2)/25)*Calculateur!CG129*Calculateur!CI129*VLOOKUP('Données projet'!$B$12,Paramètres!$A$1:$I$89,3,0)*0.475*44/12</f>
        <v>2.7177767771972947</v>
      </c>
      <c r="CM129" s="21">
        <f>EXP(-LN(2)/2)*CM128+(1-EXP(-LN(2)/2))/(LN(2)/2)*CG129*CJ129*VLOOKUP('Données projet'!$B$12,Paramètres!$A$1:$I$89,3,0)*0.475*44/12</f>
        <v>4.7158907527136906E-14</v>
      </c>
      <c r="CN129" s="22">
        <f t="shared" si="66"/>
        <v>3.7045868267678967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-4.9658410716801891E-14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268.31928207836495</v>
      </c>
      <c r="T130" s="59">
        <f t="shared" si="88"/>
        <v>277.61304526670204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0.30135495402714974</v>
      </c>
      <c r="AA130" s="21">
        <f>EXP(-LN(2)/25)*AA129+(1-EXP(-LN(2)/25))/(LN(2)/25)*Calculateur!V130*Calculateur!X130*VLOOKUP('Données projet'!$B$9,Paramètres!$A$1:$I$89,3,0)*0.475*44/12</f>
        <v>0.38251033815267838</v>
      </c>
      <c r="AB130" s="21">
        <f>EXP(-LN(2)/2)*AB129+(1-EXP(-LN(2)/2))/(LN(2)/2)*V130*Y130*VLOOKUP('Données projet'!$B$9,Paramètres!$A$1:$I$89,3,0)*0.475*44/12</f>
        <v>2.0508186625324862E-14</v>
      </c>
      <c r="AC130" s="22">
        <f t="shared" si="57"/>
        <v>0.68386529217984859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-1.9065282685915009E-13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544.48194192356823</v>
      </c>
      <c r="AO130" s="59">
        <f t="shared" si="90"/>
        <v>668.20427590250733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1.075207358843917</v>
      </c>
      <c r="AV130" s="21">
        <f>EXP(-LN(2)/25)*AV129+(1-EXP(-LN(2)/25))/(LN(2)/25)*Calculateur!AQ130*Calculateur!AS130*VLOOKUP('Données projet'!$B$10,Paramètres!$A$1:$I$89,3,0)*0.475*44/12</f>
        <v>2.4261752297698354</v>
      </c>
      <c r="AW130" s="21">
        <f>EXP(-LN(2)/2)*AW129+(1-EXP(-LN(2)/2))/(LN(2)/2)*AQ130*AT130*VLOOKUP('Données projet'!$B$10,Paramètres!$A$1:$I$89,3,0)*0.475*44/12</f>
        <v>4.0020214694055522E-14</v>
      </c>
      <c r="AX130" s="21">
        <f t="shared" si="60"/>
        <v>3.5013825886137924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162.86181551380446</v>
      </c>
      <c r="BJ130" s="59">
        <f t="shared" si="92"/>
        <v>184.96823352120742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0.58018620569401747</v>
      </c>
      <c r="BQ130" s="21">
        <f>EXP(-LN(2)/25)*BQ129+(1-EXP(-LN(2)/25))/(LN(2)/25)*Calculateur!BL130*Calculateur!BN130*VLOOKUP('Données projet'!$B$11,Paramètres!$A$1:$I$89,3,0)*0.475*44/12</f>
        <v>0.21243725395974986</v>
      </c>
      <c r="BR130" s="21">
        <f>EXP(-LN(2)/2)*BR129+(1-EXP(-LN(2)/2))/(LN(2)/2)*BL130*BO130*VLOOKUP('Données projet'!$B$11,Paramètres!$A$1:$I$89,3,0)*0.475*44/12</f>
        <v>4.1938120033471177E-15</v>
      </c>
      <c r="BS130" s="22">
        <f t="shared" si="63"/>
        <v>0.79262345965377157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-3.1036506698001178E-14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207.02306964567629</v>
      </c>
      <c r="CE130" s="59">
        <f t="shared" si="94"/>
        <v>342.06887933351783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0.96745930639317446</v>
      </c>
      <c r="CL130" s="21">
        <f>EXP(-LN(2)/25)*CL129+(1-EXP(-LN(2)/25))/(LN(2)/25)*Calculateur!CG130*Calculateur!CI130*VLOOKUP('Données projet'!$B$12,Paramètres!$A$1:$I$89,3,0)*0.475*44/12</f>
        <v>2.6434590283031656</v>
      </c>
      <c r="CM130" s="21">
        <f>EXP(-LN(2)/2)*CM129+(1-EXP(-LN(2)/2))/(LN(2)/2)*CG130*CJ130*VLOOKUP('Données projet'!$B$12,Paramètres!$A$1:$I$89,3,0)*0.475*44/12</f>
        <v>3.3346383305787824E-14</v>
      </c>
      <c r="CN130" s="22">
        <f t="shared" si="66"/>
        <v>3.6109183346963731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-4.9658410716801891E-14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268.31928207836495</v>
      </c>
      <c r="T131" s="59">
        <f t="shared" si="88"/>
        <v>277.61304526670204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0.29544556718704973</v>
      </c>
      <c r="AA131" s="21">
        <f>EXP(-LN(2)/25)*AA130+(1-EXP(-LN(2)/25))/(LN(2)/25)*Calculateur!V131*Calculateur!X131*VLOOKUP('Données projet'!$B$9,Paramètres!$A$1:$I$89,3,0)*0.475*44/12</f>
        <v>0.37205057284054893</v>
      </c>
      <c r="AB131" s="21">
        <f>EXP(-LN(2)/2)*AB130+(1-EXP(-LN(2)/2))/(LN(2)/2)*V131*Y131*VLOOKUP('Données projet'!$B$9,Paramètres!$A$1:$I$89,3,0)*0.475*44/12</f>
        <v>1.4501477832606468E-14</v>
      </c>
      <c r="AC131" s="22">
        <f t="shared" si="57"/>
        <v>0.66749614002761326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-1.9065282685915009E-13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544.48194192356823</v>
      </c>
      <c r="AO131" s="59">
        <f t="shared" si="90"/>
        <v>668.20427590250733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1.0541231983487207</v>
      </c>
      <c r="AV131" s="21">
        <f>EXP(-LN(2)/25)*AV130+(1-EXP(-LN(2)/25))/(LN(2)/25)*Calculateur!AQ131*Calculateur!AS131*VLOOKUP('Données projet'!$B$10,Paramètres!$A$1:$I$89,3,0)*0.475*44/12</f>
        <v>2.3598313405247691</v>
      </c>
      <c r="AW131" s="21">
        <f>EXP(-LN(2)/2)*AW130+(1-EXP(-LN(2)/2))/(LN(2)/2)*AQ131*AT131*VLOOKUP('Données projet'!$B$10,Paramètres!$A$1:$I$89,3,0)*0.475*44/12</f>
        <v>2.8298565194708172E-14</v>
      </c>
      <c r="AX131" s="21">
        <f t="shared" si="60"/>
        <v>3.4139545388735182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162.86181551380446</v>
      </c>
      <c r="BJ131" s="59">
        <f t="shared" si="92"/>
        <v>184.96823352120742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0.56880910807900065</v>
      </c>
      <c r="BQ131" s="21">
        <f>EXP(-LN(2)/25)*BQ130+(1-EXP(-LN(2)/25))/(LN(2)/25)*Calculateur!BL131*Calculateur!BN131*VLOOKUP('Données projet'!$B$11,Paramètres!$A$1:$I$89,3,0)*0.475*44/12</f>
        <v>0.20662814607863084</v>
      </c>
      <c r="BR131" s="21">
        <f>EXP(-LN(2)/2)*BR130+(1-EXP(-LN(2)/2))/(LN(2)/2)*BL131*BO131*VLOOKUP('Données projet'!$B$11,Paramètres!$A$1:$I$89,3,0)*0.475*44/12</f>
        <v>2.9654729065882869E-15</v>
      </c>
      <c r="BS131" s="22">
        <f t="shared" si="63"/>
        <v>0.77543725415763454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-3.1036506698001178E-14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207.02306964567629</v>
      </c>
      <c r="CE131" s="59">
        <f t="shared" si="94"/>
        <v>342.06887933351783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0.94848801948671446</v>
      </c>
      <c r="CL131" s="21">
        <f>EXP(-LN(2)/25)*CL130+(1-EXP(-LN(2)/25))/(LN(2)/25)*Calculateur!CG131*Calculateur!CI131*VLOOKUP('Données projet'!$B$12,Paramètres!$A$1:$I$89,3,0)*0.475*44/12</f>
        <v>2.5711735021607471</v>
      </c>
      <c r="CM131" s="21">
        <f>EXP(-LN(2)/2)*CM130+(1-EXP(-LN(2)/2))/(LN(2)/2)*CG131*CJ131*VLOOKUP('Données projet'!$B$12,Paramètres!$A$1:$I$89,3,0)*0.475*44/12</f>
        <v>2.3579453763568453E-14</v>
      </c>
      <c r="CN131" s="22">
        <f t="shared" si="66"/>
        <v>3.5196615216474849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-4.9658410716801891E-14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268.31928207836495</v>
      </c>
      <c r="T132" s="59">
        <f t="shared" si="88"/>
        <v>277.61304526670204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0.289652059818514</v>
      </c>
      <c r="AA132" s="21">
        <f>EXP(-LN(2)/25)*AA131+(1-EXP(-LN(2)/25))/(LN(2)/25)*Calculateur!V132*Calculateur!X132*VLOOKUP('Données projet'!$B$9,Paramètres!$A$1:$I$89,3,0)*0.475*44/12</f>
        <v>0.36187683036093482</v>
      </c>
      <c r="AB132" s="21">
        <f>EXP(-LN(2)/2)*AB131+(1-EXP(-LN(2)/2))/(LN(2)/2)*V132*Y132*VLOOKUP('Données projet'!$B$9,Paramètres!$A$1:$I$89,3,0)*0.475*44/12</f>
        <v>1.0254093312662431E-14</v>
      </c>
      <c r="AC132" s="22">
        <f t="shared" ref="AC132:AC153" si="111">SUM(Z132:AB132)</f>
        <v>0.65152889017945903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-1.9065282685915009E-13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544.48194192356823</v>
      </c>
      <c r="AO132" s="59">
        <f t="shared" si="90"/>
        <v>668.20427590250733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1.0334524853807672</v>
      </c>
      <c r="AV132" s="21">
        <f>EXP(-LN(2)/25)*AV131+(1-EXP(-LN(2)/25))/(LN(2)/25)*Calculateur!AQ132*Calculateur!AS132*VLOOKUP('Données projet'!$B$10,Paramètres!$A$1:$I$89,3,0)*0.475*44/12</f>
        <v>2.2953016284199825</v>
      </c>
      <c r="AW132" s="21">
        <f>EXP(-LN(2)/2)*AW131+(1-EXP(-LN(2)/2))/(LN(2)/2)*AQ132*AT132*VLOOKUP('Données projet'!$B$10,Paramètres!$A$1:$I$89,3,0)*0.475*44/12</f>
        <v>2.0010107347027764E-14</v>
      </c>
      <c r="AX132" s="21">
        <f t="shared" ref="AX132:AX153" si="114">SUM(AU132:AW132)</f>
        <v>3.3287541138007697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162.86181551380446</v>
      </c>
      <c r="BJ132" s="59">
        <f t="shared" si="92"/>
        <v>184.96823352120742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0.55765510840887</v>
      </c>
      <c r="BQ132" s="21">
        <f>EXP(-LN(2)/25)*BQ131+(1-EXP(-LN(2)/25))/(LN(2)/25)*Calculateur!BL132*Calculateur!BN132*VLOOKUP('Données projet'!$B$11,Paramètres!$A$1:$I$89,3,0)*0.475*44/12</f>
        <v>0.20097788855800872</v>
      </c>
      <c r="BR132" s="21">
        <f>EXP(-LN(2)/2)*BR131+(1-EXP(-LN(2)/2))/(LN(2)/2)*BL132*BO132*VLOOKUP('Données projet'!$B$11,Paramètres!$A$1:$I$89,3,0)*0.475*44/12</f>
        <v>2.0969060016735589E-15</v>
      </c>
      <c r="BS132" s="22">
        <f t="shared" ref="BS132:BS153" si="117">SUM(BP132:BR132)</f>
        <v>0.7586329969668808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-3.1036506698001178E-14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207.02306964567629</v>
      </c>
      <c r="CE132" s="59">
        <f t="shared" si="94"/>
        <v>342.06887933351783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0.92988874794514775</v>
      </c>
      <c r="CL132" s="21">
        <f>EXP(-LN(2)/25)*CL131+(1-EXP(-LN(2)/25))/(LN(2)/25)*Calculateur!CG132*Calculateur!CI132*VLOOKUP('Données projet'!$B$12,Paramètres!$A$1:$I$89,3,0)*0.475*44/12</f>
        <v>2.5008646275320237</v>
      </c>
      <c r="CM132" s="21">
        <f>EXP(-LN(2)/2)*CM131+(1-EXP(-LN(2)/2))/(LN(2)/2)*CG132*CJ132*VLOOKUP('Données projet'!$B$12,Paramètres!$A$1:$I$89,3,0)*0.475*44/12</f>
        <v>1.6673191652893912E-14</v>
      </c>
      <c r="CN132" s="22">
        <f t="shared" ref="CN132:CN153" si="120">SUM(CK132:CM132)</f>
        <v>3.4307533754771882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-4.9658410716801891E-14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268.31928207836495</v>
      </c>
      <c r="T133" s="59">
        <f t="shared" ref="T133:T196" si="142">$T$3</f>
        <v>277.61304526670204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0.2839721595957847</v>
      </c>
      <c r="AA133" s="21">
        <f>EXP(-LN(2)/25)*AA132+(1-EXP(-LN(2)/25))/(LN(2)/25)*Calculateur!V133*Calculateur!X133*VLOOKUP('Données projet'!$B$9,Paramètres!$A$1:$I$89,3,0)*0.475*44/12</f>
        <v>0.35198128940443962</v>
      </c>
      <c r="AB133" s="21">
        <f>EXP(-LN(2)/2)*AB132+(1-EXP(-LN(2)/2))/(LN(2)/2)*V133*Y133*VLOOKUP('Données projet'!$B$9,Paramètres!$A$1:$I$89,3,0)*0.475*44/12</f>
        <v>7.2507389163032339E-15</v>
      </c>
      <c r="AC133" s="22">
        <f t="shared" si="111"/>
        <v>0.63595344900023154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-1.9065282685915009E-13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544.48194192356823</v>
      </c>
      <c r="AO133" s="59">
        <f t="shared" ref="AO133:AO196" si="144">$AO$3</f>
        <v>668.20427590250733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1.0131871124862251</v>
      </c>
      <c r="AV133" s="21">
        <f>EXP(-LN(2)/25)*AV132+(1-EXP(-LN(2)/25))/(LN(2)/25)*Calculateur!AQ133*Calculateur!AS133*VLOOKUP('Données projet'!$B$10,Paramètres!$A$1:$I$89,3,0)*0.475*44/12</f>
        <v>2.2325364846861713</v>
      </c>
      <c r="AW133" s="21">
        <f>EXP(-LN(2)/2)*AW132+(1-EXP(-LN(2)/2))/(LN(2)/2)*AQ133*AT133*VLOOKUP('Données projet'!$B$10,Paramètres!$A$1:$I$89,3,0)*0.475*44/12</f>
        <v>1.4149282597354089E-14</v>
      </c>
      <c r="AX133" s="21">
        <f t="shared" si="114"/>
        <v>3.2457235971724105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162.86181551380446</v>
      </c>
      <c r="BJ133" s="59">
        <f t="shared" ref="BJ133:BJ196" si="146">$BJ$3</f>
        <v>184.96823352120742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0.54671983186900253</v>
      </c>
      <c r="BQ133" s="21">
        <f>EXP(-LN(2)/25)*BQ132+(1-EXP(-LN(2)/25))/(LN(2)/25)*Calculateur!BL133*Calculateur!BN133*VLOOKUP('Données projet'!$B$11,Paramètres!$A$1:$I$89,3,0)*0.475*44/12</f>
        <v>0.19548213762642214</v>
      </c>
      <c r="BR133" s="21">
        <f>EXP(-LN(2)/2)*BR132+(1-EXP(-LN(2)/2))/(LN(2)/2)*BL133*BO133*VLOOKUP('Données projet'!$B$11,Paramètres!$A$1:$I$89,3,0)*0.475*44/12</f>
        <v>1.4827364532941435E-15</v>
      </c>
      <c r="BS133" s="22">
        <f t="shared" si="117"/>
        <v>0.74220196949542616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-3.1036506698001178E-14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207.02306964567629</v>
      </c>
      <c r="CE133" s="59">
        <f t="shared" ref="CE133:CE196" si="148">$CE$3</f>
        <v>342.06887933351783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0.91165419677407566</v>
      </c>
      <c r="CL133" s="21">
        <f>EXP(-LN(2)/25)*CL132+(1-EXP(-LN(2)/25))/(LN(2)/25)*Calculateur!CG133*Calculateur!CI133*VLOOKUP('Données projet'!$B$12,Paramètres!$A$1:$I$89,3,0)*0.475*44/12</f>
        <v>2.4324783527774057</v>
      </c>
      <c r="CM133" s="21">
        <f>EXP(-LN(2)/2)*CM132+(1-EXP(-LN(2)/2))/(LN(2)/2)*CG133*CJ133*VLOOKUP('Données projet'!$B$12,Paramètres!$A$1:$I$89,3,0)*0.475*44/12</f>
        <v>1.1789726881784226E-14</v>
      </c>
      <c r="CN133" s="22">
        <f t="shared" si="120"/>
        <v>3.3441325495514933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-4.9658410716801891E-14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268.31928207836495</v>
      </c>
      <c r="T134" s="59">
        <f t="shared" si="142"/>
        <v>277.61304526670204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0.27840363875202606</v>
      </c>
      <c r="AA134" s="21">
        <f>EXP(-LN(2)/25)*AA133+(1-EXP(-LN(2)/25))/(LN(2)/25)*Calculateur!V134*Calculateur!X134*VLOOKUP('Données projet'!$B$9,Paramètres!$A$1:$I$89,3,0)*0.475*44/12</f>
        <v>0.34235634253578368</v>
      </c>
      <c r="AB134" s="21">
        <f>EXP(-LN(2)/2)*AB133+(1-EXP(-LN(2)/2))/(LN(2)/2)*V134*Y134*VLOOKUP('Données projet'!$B$9,Paramètres!$A$1:$I$89,3,0)*0.475*44/12</f>
        <v>5.1270466563312156E-15</v>
      </c>
      <c r="AC134" s="22">
        <f t="shared" si="111"/>
        <v>0.62075998128781484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-1.9065282685915009E-13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544.48194192356823</v>
      </c>
      <c r="AO134" s="59">
        <f t="shared" si="144"/>
        <v>668.20427590250733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0.99331913119348803</v>
      </c>
      <c r="AV134" s="21">
        <f>EXP(-LN(2)/25)*AV133+(1-EXP(-LN(2)/25))/(LN(2)/25)*Calculateur!AQ134*Calculateur!AS134*VLOOKUP('Données projet'!$B$10,Paramètres!$A$1:$I$89,3,0)*0.475*44/12</f>
        <v>2.1714876571084369</v>
      </c>
      <c r="AW134" s="21">
        <f>EXP(-LN(2)/2)*AW133+(1-EXP(-LN(2)/2))/(LN(2)/2)*AQ134*AT134*VLOOKUP('Données projet'!$B$10,Paramètres!$A$1:$I$89,3,0)*0.475*44/12</f>
        <v>1.0005053673513884E-14</v>
      </c>
      <c r="AX134" s="21">
        <f t="shared" si="114"/>
        <v>3.1648067883019353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162.86181551380446</v>
      </c>
      <c r="BJ134" s="59">
        <f t="shared" si="146"/>
        <v>184.96823352120742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0.5359989894322218</v>
      </c>
      <c r="BQ134" s="21">
        <f>EXP(-LN(2)/25)*BQ133+(1-EXP(-LN(2)/25))/(LN(2)/25)*Calculateur!BL134*Calculateur!BN134*VLOOKUP('Données projet'!$B$11,Paramètres!$A$1:$I$89,3,0)*0.475*44/12</f>
        <v>0.19013666829306877</v>
      </c>
      <c r="BR134" s="21">
        <f>EXP(-LN(2)/2)*BR133+(1-EXP(-LN(2)/2))/(LN(2)/2)*BL134*BO134*VLOOKUP('Données projet'!$B$11,Paramètres!$A$1:$I$89,3,0)*0.475*44/12</f>
        <v>1.0484530008367794E-15</v>
      </c>
      <c r="BS134" s="22">
        <f t="shared" si="117"/>
        <v>0.72613565772529154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-3.1036506698001178E-14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207.02306964567629</v>
      </c>
      <c r="CE134" s="59">
        <f t="shared" si="148"/>
        <v>342.06887933351783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0.89377721402949029</v>
      </c>
      <c r="CL134" s="21">
        <f>EXP(-LN(2)/25)*CL133+(1-EXP(-LN(2)/25))/(LN(2)/25)*Calculateur!CG134*Calculateur!CI134*VLOOKUP('Données projet'!$B$12,Paramètres!$A$1:$I$89,3,0)*0.475*44/12</f>
        <v>2.3659621043022305</v>
      </c>
      <c r="CM134" s="21">
        <f>EXP(-LN(2)/2)*CM133+(1-EXP(-LN(2)/2))/(LN(2)/2)*CG134*CJ134*VLOOKUP('Données projet'!$B$12,Paramètres!$A$1:$I$89,3,0)*0.475*44/12</f>
        <v>8.3365958264469561E-15</v>
      </c>
      <c r="CN134" s="22">
        <f t="shared" si="120"/>
        <v>3.2597393183317291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-4.9658410716801891E-14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268.31928207836495</v>
      </c>
      <c r="T135" s="59">
        <f t="shared" si="142"/>
        <v>277.61304526670204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0.27294431320555118</v>
      </c>
      <c r="AA135" s="21">
        <f>EXP(-LN(2)/25)*AA134+(1-EXP(-LN(2)/25))/(LN(2)/25)*Calculateur!V135*Calculateur!X135*VLOOKUP('Données projet'!$B$9,Paramètres!$A$1:$I$89,3,0)*0.475*44/12</f>
        <v>0.33299459034540507</v>
      </c>
      <c r="AB135" s="21">
        <f>EXP(-LN(2)/2)*AB134+(1-EXP(-LN(2)/2))/(LN(2)/2)*V135*Y135*VLOOKUP('Données projet'!$B$9,Paramètres!$A$1:$I$89,3,0)*0.475*44/12</f>
        <v>3.6253694581516169E-15</v>
      </c>
      <c r="AC135" s="22">
        <f t="shared" si="111"/>
        <v>0.60593890355095992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-1.9065282685915009E-13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544.48194192356823</v>
      </c>
      <c r="AO135" s="59">
        <f t="shared" si="144"/>
        <v>668.20427590250733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0.97384074889562955</v>
      </c>
      <c r="AV135" s="21">
        <f>EXP(-LN(2)/25)*AV134+(1-EXP(-LN(2)/25))/(LN(2)/25)*Calculateur!AQ135*Calculateur!AS135*VLOOKUP('Données projet'!$B$10,Paramètres!$A$1:$I$89,3,0)*0.475*44/12</f>
        <v>2.1121082129312336</v>
      </c>
      <c r="AW135" s="21">
        <f>EXP(-LN(2)/2)*AW134+(1-EXP(-LN(2)/2))/(LN(2)/2)*AQ135*AT135*VLOOKUP('Données projet'!$B$10,Paramètres!$A$1:$I$89,3,0)*0.475*44/12</f>
        <v>7.0746412986770454E-15</v>
      </c>
      <c r="AX135" s="21">
        <f t="shared" si="114"/>
        <v>3.0859489618268703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162.86181551380446</v>
      </c>
      <c r="BJ135" s="59">
        <f t="shared" si="146"/>
        <v>184.96823352120742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0.52548837617655808</v>
      </c>
      <c r="BQ135" s="21">
        <f>EXP(-LN(2)/25)*BQ134+(1-EXP(-LN(2)/25))/(LN(2)/25)*Calculateur!BL135*Calculateur!BN135*VLOOKUP('Données projet'!$B$11,Paramètres!$A$1:$I$89,3,0)*0.475*44/12</f>
        <v>0.18493737109974198</v>
      </c>
      <c r="BR135" s="21">
        <f>EXP(-LN(2)/2)*BR134+(1-EXP(-LN(2)/2))/(LN(2)/2)*BL135*BO135*VLOOKUP('Données projet'!$B$11,Paramètres!$A$1:$I$89,3,0)*0.475*44/12</f>
        <v>7.4136822664707174E-16</v>
      </c>
      <c r="BS135" s="22">
        <f t="shared" si="117"/>
        <v>0.71042574727630081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-3.1036506698001178E-14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207.02306964567629</v>
      </c>
      <c r="CE135" s="59">
        <f t="shared" si="148"/>
        <v>342.06887933351783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0.87625078801264344</v>
      </c>
      <c r="CL135" s="21">
        <f>EXP(-LN(2)/25)*CL134+(1-EXP(-LN(2)/25))/(LN(2)/25)*Calculateur!CG135*Calculateur!CI135*VLOOKUP('Données projet'!$B$12,Paramètres!$A$1:$I$89,3,0)*0.475*44/12</f>
        <v>2.3012647461395463</v>
      </c>
      <c r="CM135" s="21">
        <f>EXP(-LN(2)/2)*CM134+(1-EXP(-LN(2)/2))/(LN(2)/2)*CG135*CJ135*VLOOKUP('Données projet'!$B$12,Paramètres!$A$1:$I$89,3,0)*0.475*44/12</f>
        <v>5.8948634408921132E-15</v>
      </c>
      <c r="CN135" s="22">
        <f t="shared" si="120"/>
        <v>3.1775155341521955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-4.9658410716801891E-14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268.31928207836495</v>
      </c>
      <c r="T136" s="59">
        <f t="shared" si="142"/>
        <v>277.61304526670204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0.2675920417031829</v>
      </c>
      <c r="AA136" s="21">
        <f>EXP(-LN(2)/25)*AA135+(1-EXP(-LN(2)/25))/(LN(2)/25)*Calculateur!V136*Calculateur!X136*VLOOKUP('Données projet'!$B$9,Paramètres!$A$1:$I$89,3,0)*0.475*44/12</f>
        <v>0.32388883576098554</v>
      </c>
      <c r="AB136" s="21">
        <f>EXP(-LN(2)/2)*AB135+(1-EXP(-LN(2)/2))/(LN(2)/2)*V136*Y136*VLOOKUP('Données projet'!$B$9,Paramètres!$A$1:$I$89,3,0)*0.475*44/12</f>
        <v>2.5635233281656078E-15</v>
      </c>
      <c r="AC136" s="22">
        <f t="shared" si="111"/>
        <v>0.591480877464171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-1.9065282685915009E-13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544.48194192356823</v>
      </c>
      <c r="AO136" s="59">
        <f t="shared" si="144"/>
        <v>668.20427590250733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0.95474432579399204</v>
      </c>
      <c r="AV136" s="21">
        <f>EXP(-LN(2)/25)*AV135+(1-EXP(-LN(2)/25))/(LN(2)/25)*Calculateur!AQ136*Calculateur!AS136*VLOOKUP('Données projet'!$B$10,Paramètres!$A$1:$I$89,3,0)*0.475*44/12</f>
        <v>2.0543525027776854</v>
      </c>
      <c r="AW136" s="21">
        <f>EXP(-LN(2)/2)*AW135+(1-EXP(-LN(2)/2))/(LN(2)/2)*AQ136*AT136*VLOOKUP('Données projet'!$B$10,Paramètres!$A$1:$I$89,3,0)*0.475*44/12</f>
        <v>5.0025268367569426E-15</v>
      </c>
      <c r="AX136" s="21">
        <f t="shared" si="114"/>
        <v>3.0090968285716824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162.86181551380446</v>
      </c>
      <c r="BJ136" s="59">
        <f t="shared" si="146"/>
        <v>184.96823352120742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0.51518386963599694</v>
      </c>
      <c r="BQ136" s="21">
        <f>EXP(-LN(2)/25)*BQ135+(1-EXP(-LN(2)/25))/(LN(2)/25)*Calculateur!BL136*Calculateur!BN136*VLOOKUP('Données projet'!$B$11,Paramètres!$A$1:$I$89,3,0)*0.475*44/12</f>
        <v>0.17988024896158586</v>
      </c>
      <c r="BR136" s="21">
        <f>EXP(-LN(2)/2)*BR135+(1-EXP(-LN(2)/2))/(LN(2)/2)*BL136*BO136*VLOOKUP('Données projet'!$B$11,Paramètres!$A$1:$I$89,3,0)*0.475*44/12</f>
        <v>5.2422650041838972E-16</v>
      </c>
      <c r="BS136" s="22">
        <f t="shared" si="117"/>
        <v>0.69506411859758332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-3.1036506698001178E-14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207.02306964567629</v>
      </c>
      <c r="CE136" s="59">
        <f t="shared" si="148"/>
        <v>342.06887933351783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0.85906804451992258</v>
      </c>
      <c r="CL136" s="21">
        <f>EXP(-LN(2)/25)*CL135+(1-EXP(-LN(2)/25))/(LN(2)/25)*Calculateur!CG136*Calculateur!CI136*VLOOKUP('Données projet'!$B$12,Paramètres!$A$1:$I$89,3,0)*0.475*44/12</f>
        <v>2.2383365406381071</v>
      </c>
      <c r="CM136" s="21">
        <f>EXP(-LN(2)/2)*CM135+(1-EXP(-LN(2)/2))/(LN(2)/2)*CG136*CJ136*VLOOKUP('Données projet'!$B$12,Paramètres!$A$1:$I$89,3,0)*0.475*44/12</f>
        <v>4.168297913223478E-15</v>
      </c>
      <c r="CN136" s="22">
        <f t="shared" si="120"/>
        <v>3.0974045851580336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-4.9658410716801891E-14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268.31928207836495</v>
      </c>
      <c r="T137" s="59">
        <f t="shared" si="142"/>
        <v>277.61304526670204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0.26234472498041278</v>
      </c>
      <c r="AA137" s="21">
        <f>EXP(-LN(2)/25)*AA136+(1-EXP(-LN(2)/25))/(LN(2)/25)*Calculateur!V137*Calculateur!X137*VLOOKUP('Données projet'!$B$9,Paramètres!$A$1:$I$89,3,0)*0.475*44/12</f>
        <v>0.31503207851452775</v>
      </c>
      <c r="AB137" s="21">
        <f>EXP(-LN(2)/2)*AB136+(1-EXP(-LN(2)/2))/(LN(2)/2)*V137*Y137*VLOOKUP('Données projet'!$B$9,Paramètres!$A$1:$I$89,3,0)*0.475*44/12</f>
        <v>1.8126847290758085E-15</v>
      </c>
      <c r="AC137" s="22">
        <f t="shared" si="111"/>
        <v>0.57737680349494225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-1.9065282685915009E-13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544.48194192356823</v>
      </c>
      <c r="AO137" s="59">
        <f t="shared" si="144"/>
        <v>668.20427590250733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0.93602237190170967</v>
      </c>
      <c r="AV137" s="21">
        <f>EXP(-LN(2)/25)*AV136+(1-EXP(-LN(2)/25))/(LN(2)/25)*Calculateur!AQ137*Calculateur!AS137*VLOOKUP('Données projet'!$B$10,Paramètres!$A$1:$I$89,3,0)*0.475*44/12</f>
        <v>1.9981761255555268</v>
      </c>
      <c r="AW137" s="21">
        <f>EXP(-LN(2)/2)*AW136+(1-EXP(-LN(2)/2))/(LN(2)/2)*AQ137*AT137*VLOOKUP('Données projet'!$B$10,Paramètres!$A$1:$I$89,3,0)*0.475*44/12</f>
        <v>3.5373206493385235E-15</v>
      </c>
      <c r="AX137" s="21">
        <f t="shared" si="114"/>
        <v>2.9341984974572402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162.86181551380446</v>
      </c>
      <c r="BJ137" s="59">
        <f t="shared" si="146"/>
        <v>184.96823352120742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0.50508142818356772</v>
      </c>
      <c r="BQ137" s="21">
        <f>EXP(-LN(2)/25)*BQ136+(1-EXP(-LN(2)/25))/(LN(2)/25)*Calculateur!BL137*Calculateur!BN137*VLOOKUP('Données projet'!$B$11,Paramètres!$A$1:$I$89,3,0)*0.475*44/12</f>
        <v>0.17496141409424013</v>
      </c>
      <c r="BR137" s="21">
        <f>EXP(-LN(2)/2)*BR136+(1-EXP(-LN(2)/2))/(LN(2)/2)*BL137*BO137*VLOOKUP('Données projet'!$B$11,Paramètres!$A$1:$I$89,3,0)*0.475*44/12</f>
        <v>3.7068411332353587E-16</v>
      </c>
      <c r="BS137" s="22">
        <f t="shared" si="117"/>
        <v>0.6800428422778082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-3.1036506698001178E-14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207.02306964567629</v>
      </c>
      <c r="CE137" s="59">
        <f t="shared" si="148"/>
        <v>342.06887933351783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0.84222224414665536</v>
      </c>
      <c r="CL137" s="21">
        <f>EXP(-LN(2)/25)*CL136+(1-EXP(-LN(2)/25))/(LN(2)/25)*Calculateur!CG137*Calculateur!CI137*VLOOKUP('Données projet'!$B$12,Paramètres!$A$1:$I$89,3,0)*0.475*44/12</f>
        <v>2.1771291102253549</v>
      </c>
      <c r="CM137" s="21">
        <f>EXP(-LN(2)/2)*CM136+(1-EXP(-LN(2)/2))/(LN(2)/2)*CG137*CJ137*VLOOKUP('Données projet'!$B$12,Paramètres!$A$1:$I$89,3,0)*0.475*44/12</f>
        <v>2.9474317204460566E-15</v>
      </c>
      <c r="CN137" s="22">
        <f t="shared" si="120"/>
        <v>3.0193513543720134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-4.9658410716801891E-14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268.31928207836495</v>
      </c>
      <c r="T138" s="59">
        <f t="shared" si="142"/>
        <v>277.61304526670204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0.25720030493802898</v>
      </c>
      <c r="AA138" s="21">
        <f>EXP(-LN(2)/25)*AA137+(1-EXP(-LN(2)/25))/(LN(2)/25)*Calculateur!V138*Calculateur!X138*VLOOKUP('Données projet'!$B$9,Paramètres!$A$1:$I$89,3,0)*0.475*44/12</f>
        <v>0.30641750976073101</v>
      </c>
      <c r="AB138" s="21">
        <f>EXP(-LN(2)/2)*AB137+(1-EXP(-LN(2)/2))/(LN(2)/2)*V138*Y138*VLOOKUP('Données projet'!$B$9,Paramètres!$A$1:$I$89,3,0)*0.475*44/12</f>
        <v>1.2817616640828039E-15</v>
      </c>
      <c r="AC138" s="22">
        <f t="shared" si="111"/>
        <v>0.56361781469876138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-1.9065282685915009E-13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544.48194192356823</v>
      </c>
      <c r="AO138" s="59">
        <f t="shared" si="144"/>
        <v>668.20427590250733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0.91766754410599061</v>
      </c>
      <c r="AV138" s="21">
        <f>EXP(-LN(2)/25)*AV137+(1-EXP(-LN(2)/25))/(LN(2)/25)*Calculateur!AQ138*Calculateur!AS138*VLOOKUP('Données projet'!$B$10,Paramètres!$A$1:$I$89,3,0)*0.475*44/12</f>
        <v>1.9435358943226955</v>
      </c>
      <c r="AW138" s="21">
        <f>EXP(-LN(2)/2)*AW137+(1-EXP(-LN(2)/2))/(LN(2)/2)*AQ138*AT138*VLOOKUP('Données projet'!$B$10,Paramètres!$A$1:$I$89,3,0)*0.475*44/12</f>
        <v>2.5012634183784717E-15</v>
      </c>
      <c r="AX138" s="21">
        <f t="shared" si="114"/>
        <v>2.8612034384286886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162.86181551380446</v>
      </c>
      <c r="BJ138" s="59">
        <f t="shared" si="146"/>
        <v>184.96823352120742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0.49517708944613981</v>
      </c>
      <c r="BQ138" s="21">
        <f>EXP(-LN(2)/25)*BQ137+(1-EXP(-LN(2)/25))/(LN(2)/25)*Calculateur!BL138*Calculateur!BN138*VLOOKUP('Données projet'!$B$11,Paramètres!$A$1:$I$89,3,0)*0.475*44/12</f>
        <v>0.17017708502501225</v>
      </c>
      <c r="BR138" s="21">
        <f>EXP(-LN(2)/2)*BR137+(1-EXP(-LN(2)/2))/(LN(2)/2)*BL138*BO138*VLOOKUP('Données projet'!$B$11,Paramètres!$A$1:$I$89,3,0)*0.475*44/12</f>
        <v>2.6211325020919486E-16</v>
      </c>
      <c r="BS138" s="22">
        <f t="shared" si="117"/>
        <v>0.6653541744711523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-3.1036506698001178E-14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207.02306964567629</v>
      </c>
      <c r="CE138" s="59">
        <f t="shared" si="148"/>
        <v>342.06887933351783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0.82570677964378425</v>
      </c>
      <c r="CL138" s="21">
        <f>EXP(-LN(2)/25)*CL137+(1-EXP(-LN(2)/25))/(LN(2)/25)*Calculateur!CG138*Calculateur!CI138*VLOOKUP('Données projet'!$B$12,Paramètres!$A$1:$I$89,3,0)*0.475*44/12</f>
        <v>2.1175954002159987</v>
      </c>
      <c r="CM138" s="21">
        <f>EXP(-LN(2)/2)*CM137+(1-EXP(-LN(2)/2))/(LN(2)/2)*CG138*CJ138*VLOOKUP('Données projet'!$B$12,Paramètres!$A$1:$I$89,3,0)*0.475*44/12</f>
        <v>2.084148956611739E-15</v>
      </c>
      <c r="CN138" s="22">
        <f t="shared" si="120"/>
        <v>2.9433021798597854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-4.9658410716801891E-14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268.31928207836495</v>
      </c>
      <c r="T139" s="59">
        <f t="shared" si="142"/>
        <v>277.61304526670204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0.25215676383488994</v>
      </c>
      <c r="AA139" s="21">
        <f>EXP(-LN(2)/25)*AA138+(1-EXP(-LN(2)/25))/(LN(2)/25)*Calculateur!V139*Calculateur!X139*VLOOKUP('Données projet'!$B$9,Paramètres!$A$1:$I$89,3,0)*0.475*44/12</f>
        <v>0.29803850684252731</v>
      </c>
      <c r="AB139" s="21">
        <f>EXP(-LN(2)/2)*AB138+(1-EXP(-LN(2)/2))/(LN(2)/2)*V139*Y139*VLOOKUP('Données projet'!$B$9,Paramètres!$A$1:$I$89,3,0)*0.475*44/12</f>
        <v>9.0634236453790423E-16</v>
      </c>
      <c r="AC139" s="22">
        <f t="shared" si="111"/>
        <v>0.55019527067741814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-1.9065282685915009E-13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544.48194192356823</v>
      </c>
      <c r="AO139" s="59">
        <f t="shared" si="144"/>
        <v>668.20427590250733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0.89967264328800611</v>
      </c>
      <c r="AV139" s="21">
        <f>EXP(-LN(2)/25)*AV138+(1-EXP(-LN(2)/25))/(LN(2)/25)*Calculateur!AQ139*Calculateur!AS139*VLOOKUP('Données projet'!$B$10,Paramètres!$A$1:$I$89,3,0)*0.475*44/12</f>
        <v>1.8903898030863306</v>
      </c>
      <c r="AW139" s="21">
        <f>EXP(-LN(2)/2)*AW138+(1-EXP(-LN(2)/2))/(LN(2)/2)*AQ139*AT139*VLOOKUP('Données projet'!$B$10,Paramètres!$A$1:$I$89,3,0)*0.475*44/12</f>
        <v>1.768660324669262E-15</v>
      </c>
      <c r="AX139" s="21">
        <f t="shared" si="114"/>
        <v>2.7900624463743386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162.86181551380446</v>
      </c>
      <c r="BJ139" s="59">
        <f t="shared" si="146"/>
        <v>184.96823352120742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0.48546696875030276</v>
      </c>
      <c r="BQ139" s="21">
        <f>EXP(-LN(2)/25)*BQ138+(1-EXP(-LN(2)/25))/(LN(2)/25)*Calculateur!BL139*Calculateur!BN139*VLOOKUP('Données projet'!$B$11,Paramètres!$A$1:$I$89,3,0)*0.475*44/12</f>
        <v>0.16552358368577932</v>
      </c>
      <c r="BR139" s="21">
        <f>EXP(-LN(2)/2)*BR138+(1-EXP(-LN(2)/2))/(LN(2)/2)*BL139*BO139*VLOOKUP('Données projet'!$B$11,Paramètres!$A$1:$I$89,3,0)*0.475*44/12</f>
        <v>1.8534205666176793E-16</v>
      </c>
      <c r="BS139" s="22">
        <f t="shared" si="117"/>
        <v>0.65099055243608228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-3.1036506698001178E-14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207.02306964567629</v>
      </c>
      <c r="CE139" s="59">
        <f t="shared" si="148"/>
        <v>342.06887933351783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0.80951517332637579</v>
      </c>
      <c r="CL139" s="21">
        <f>EXP(-LN(2)/25)*CL138+(1-EXP(-LN(2)/25))/(LN(2)/25)*Calculateur!CG139*Calculateur!CI139*VLOOKUP('Données projet'!$B$12,Paramètres!$A$1:$I$89,3,0)*0.475*44/12</f>
        <v>2.0596896426375899</v>
      </c>
      <c r="CM139" s="21">
        <f>EXP(-LN(2)/2)*CM138+(1-EXP(-LN(2)/2))/(LN(2)/2)*CG139*CJ139*VLOOKUP('Données projet'!$B$12,Paramètres!$A$1:$I$89,3,0)*0.475*44/12</f>
        <v>1.4737158602230283E-15</v>
      </c>
      <c r="CN139" s="22">
        <f t="shared" si="120"/>
        <v>2.8692048159639669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-4.9658410716801891E-14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268.31928207836495</v>
      </c>
      <c r="T140" s="59">
        <f t="shared" si="142"/>
        <v>277.61304526670204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0.24721212349652716</v>
      </c>
      <c r="AA140" s="21">
        <f>EXP(-LN(2)/25)*AA139+(1-EXP(-LN(2)/25))/(LN(2)/25)*Calculateur!V140*Calculateur!X140*VLOOKUP('Données projet'!$B$9,Paramètres!$A$1:$I$89,3,0)*0.475*44/12</f>
        <v>0.28988862819975447</v>
      </c>
      <c r="AB140" s="21">
        <f>EXP(-LN(2)/2)*AB139+(1-EXP(-LN(2)/2))/(LN(2)/2)*V140*Y140*VLOOKUP('Données projet'!$B$9,Paramètres!$A$1:$I$89,3,0)*0.475*44/12</f>
        <v>6.4088083204140195E-16</v>
      </c>
      <c r="AC140" s="22">
        <f t="shared" si="111"/>
        <v>0.53710075169628224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-1.9065282685915009E-13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544.48194192356823</v>
      </c>
      <c r="AO140" s="59">
        <f t="shared" si="144"/>
        <v>668.20427590250733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0.88203061149925654</v>
      </c>
      <c r="AV140" s="21">
        <f>EXP(-LN(2)/25)*AV139+(1-EXP(-LN(2)/25))/(LN(2)/25)*Calculateur!AQ140*Calculateur!AS140*VLOOKUP('Données projet'!$B$10,Paramètres!$A$1:$I$89,3,0)*0.475*44/12</f>
        <v>1.8386969945096556</v>
      </c>
      <c r="AW140" s="21">
        <f>EXP(-LN(2)/2)*AW139+(1-EXP(-LN(2)/2))/(LN(2)/2)*AQ140*AT140*VLOOKUP('Données projet'!$B$10,Paramètres!$A$1:$I$89,3,0)*0.475*44/12</f>
        <v>1.250631709189236E-15</v>
      </c>
      <c r="AX140" s="21">
        <f t="shared" si="114"/>
        <v>2.7207276060089134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162.86181551380446</v>
      </c>
      <c r="BJ140" s="59">
        <f t="shared" si="146"/>
        <v>184.96823352120742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0.47594725759872225</v>
      </c>
      <c r="BQ140" s="21">
        <f>EXP(-LN(2)/25)*BQ139+(1-EXP(-LN(2)/25))/(LN(2)/25)*Calculateur!BL140*Calculateur!BN140*VLOOKUP('Données projet'!$B$11,Paramètres!$A$1:$I$89,3,0)*0.475*44/12</f>
        <v>0.16099733258538473</v>
      </c>
      <c r="BR140" s="21">
        <f>EXP(-LN(2)/2)*BR139+(1-EXP(-LN(2)/2))/(LN(2)/2)*BL140*BO140*VLOOKUP('Données projet'!$B$11,Paramètres!$A$1:$I$89,3,0)*0.475*44/12</f>
        <v>1.3105662510459743E-16</v>
      </c>
      <c r="BS140" s="22">
        <f t="shared" si="117"/>
        <v>0.6369445901841071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-3.1036506698001178E-14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207.02306964567629</v>
      </c>
      <c r="CE140" s="59">
        <f t="shared" si="148"/>
        <v>342.06887933351783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0.79364107453294697</v>
      </c>
      <c r="CL140" s="21">
        <f>EXP(-LN(2)/25)*CL139+(1-EXP(-LN(2)/25))/(LN(2)/25)*Calculateur!CG140*Calculateur!CI140*VLOOKUP('Données projet'!$B$12,Paramètres!$A$1:$I$89,3,0)*0.475*44/12</f>
        <v>2.0033673210452942</v>
      </c>
      <c r="CM140" s="21">
        <f>EXP(-LN(2)/2)*CM139+(1-EXP(-LN(2)/2))/(LN(2)/2)*CG140*CJ140*VLOOKUP('Données projet'!$B$12,Paramètres!$A$1:$I$89,3,0)*0.475*44/12</f>
        <v>1.0420744783058695E-15</v>
      </c>
      <c r="CN140" s="22">
        <f t="shared" si="120"/>
        <v>2.7970083955782421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-4.9658410716801891E-14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268.31928207836495</v>
      </c>
      <c r="T141" s="59">
        <f t="shared" si="142"/>
        <v>277.61304526670204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0.24236444453926687</v>
      </c>
      <c r="AA141" s="21">
        <f>EXP(-LN(2)/25)*AA140+(1-EXP(-LN(2)/25))/(LN(2)/25)*Calculateur!V141*Calculateur!X141*VLOOKUP('Données projet'!$B$9,Paramètres!$A$1:$I$89,3,0)*0.475*44/12</f>
        <v>0.28196160841705176</v>
      </c>
      <c r="AB141" s="21">
        <f>EXP(-LN(2)/2)*AB140+(1-EXP(-LN(2)/2))/(LN(2)/2)*V141*Y141*VLOOKUP('Données projet'!$B$9,Paramètres!$A$1:$I$89,3,0)*0.475*44/12</f>
        <v>4.5317118226895212E-16</v>
      </c>
      <c r="AC141" s="22">
        <f t="shared" si="111"/>
        <v>0.52432605295631907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-1.9065282685915009E-13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544.48194192356823</v>
      </c>
      <c r="AO141" s="59">
        <f t="shared" si="144"/>
        <v>668.20427590250733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0.86473452919330751</v>
      </c>
      <c r="AV141" s="21">
        <f>EXP(-LN(2)/25)*AV140+(1-EXP(-LN(2)/25))/(LN(2)/25)*Calculateur!AQ141*Calculateur!AS141*VLOOKUP('Données projet'!$B$10,Paramètres!$A$1:$I$89,3,0)*0.475*44/12</f>
        <v>1.7884177285019165</v>
      </c>
      <c r="AW141" s="21">
        <f>EXP(-LN(2)/2)*AW140+(1-EXP(-LN(2)/2))/(LN(2)/2)*AQ141*AT141*VLOOKUP('Données projet'!$B$10,Paramètres!$A$1:$I$89,3,0)*0.475*44/12</f>
        <v>8.8433016233463107E-16</v>
      </c>
      <c r="AX141" s="21">
        <f t="shared" si="114"/>
        <v>2.6531522576952247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162.86181551380446</v>
      </c>
      <c r="BJ141" s="59">
        <f t="shared" si="146"/>
        <v>184.96823352120742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0.46661422217637377</v>
      </c>
      <c r="BQ141" s="21">
        <f>EXP(-LN(2)/25)*BQ140+(1-EXP(-LN(2)/25))/(LN(2)/25)*Calculateur!BL141*Calculateur!BN141*VLOOKUP('Données projet'!$B$11,Paramètres!$A$1:$I$89,3,0)*0.475*44/12</f>
        <v>0.15659485205935564</v>
      </c>
      <c r="BR141" s="21">
        <f>EXP(-LN(2)/2)*BR140+(1-EXP(-LN(2)/2))/(LN(2)/2)*BL141*BO141*VLOOKUP('Données projet'!$B$11,Paramètres!$A$1:$I$89,3,0)*0.475*44/12</f>
        <v>9.2671028330883967E-17</v>
      </c>
      <c r="BS141" s="22">
        <f t="shared" si="117"/>
        <v>0.62320907423572958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-3.1036506698001178E-14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207.02306964567629</v>
      </c>
      <c r="CE141" s="59">
        <f t="shared" si="148"/>
        <v>342.06887933351783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0.77807825713461309</v>
      </c>
      <c r="CL141" s="21">
        <f>EXP(-LN(2)/25)*CL140+(1-EXP(-LN(2)/25))/(LN(2)/25)*Calculateur!CG141*Calculateur!CI141*VLOOKUP('Données projet'!$B$12,Paramètres!$A$1:$I$89,3,0)*0.475*44/12</f>
        <v>1.948585136298802</v>
      </c>
      <c r="CM141" s="21">
        <f>EXP(-LN(2)/2)*CM140+(1-EXP(-LN(2)/2))/(LN(2)/2)*CG141*CJ141*VLOOKUP('Données projet'!$B$12,Paramètres!$A$1:$I$89,3,0)*0.475*44/12</f>
        <v>7.3685793011151415E-16</v>
      </c>
      <c r="CN141" s="22">
        <f t="shared" si="120"/>
        <v>2.7266633934334159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-4.9658410716801891E-14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268.31928207836495</v>
      </c>
      <c r="T142" s="59">
        <f t="shared" si="142"/>
        <v>277.61304526670204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0.23761182560956623</v>
      </c>
      <c r="AA142" s="21">
        <f>EXP(-LN(2)/25)*AA141+(1-EXP(-LN(2)/25))/(LN(2)/25)*Calculateur!V142*Calculateur!X142*VLOOKUP('Données projet'!$B$9,Paramètres!$A$1:$I$89,3,0)*0.475*44/12</f>
        <v>0.27425135340717094</v>
      </c>
      <c r="AB142" s="21">
        <f>EXP(-LN(2)/2)*AB141+(1-EXP(-LN(2)/2))/(LN(2)/2)*V142*Y142*VLOOKUP('Données projet'!$B$9,Paramètres!$A$1:$I$89,3,0)*0.475*44/12</f>
        <v>3.2044041602070097E-16</v>
      </c>
      <c r="AC142" s="22">
        <f t="shared" si="111"/>
        <v>0.5118631790167375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-1.9065282685915009E-13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544.48194192356823</v>
      </c>
      <c r="AO142" s="59">
        <f t="shared" si="144"/>
        <v>668.20427590250733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0.84777761251180961</v>
      </c>
      <c r="AV142" s="21">
        <f>EXP(-LN(2)/25)*AV141+(1-EXP(-LN(2)/25))/(LN(2)/25)*Calculateur!AQ142*Calculateur!AS142*VLOOKUP('Données projet'!$B$10,Paramètres!$A$1:$I$89,3,0)*0.475*44/12</f>
        <v>1.7395133516672308</v>
      </c>
      <c r="AW142" s="21">
        <f>EXP(-LN(2)/2)*AW141+(1-EXP(-LN(2)/2))/(LN(2)/2)*AQ142*AT142*VLOOKUP('Données projet'!$B$10,Paramètres!$A$1:$I$89,3,0)*0.475*44/12</f>
        <v>6.2531585459461812E-16</v>
      </c>
      <c r="AX142" s="21">
        <f t="shared" si="114"/>
        <v>2.5872909641790409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162.86181551380446</v>
      </c>
      <c r="BJ142" s="59">
        <f t="shared" si="146"/>
        <v>184.96823352120742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0.45746420188606807</v>
      </c>
      <c r="BQ142" s="21">
        <f>EXP(-LN(2)/25)*BQ141+(1-EXP(-LN(2)/25))/(LN(2)/25)*Calculateur!BL142*Calculateur!BN142*VLOOKUP('Données projet'!$B$11,Paramètres!$A$1:$I$89,3,0)*0.475*44/12</f>
        <v>0.15231275759482718</v>
      </c>
      <c r="BR142" s="21">
        <f>EXP(-LN(2)/2)*BR141+(1-EXP(-LN(2)/2))/(LN(2)/2)*BL142*BO142*VLOOKUP('Données projet'!$B$11,Paramètres!$A$1:$I$89,3,0)*0.475*44/12</f>
        <v>6.5528312552298715E-17</v>
      </c>
      <c r="BS142" s="22">
        <f t="shared" si="117"/>
        <v>0.60977695948089539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-3.1036506698001178E-14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207.02306964567629</v>
      </c>
      <c r="CE142" s="59">
        <f t="shared" si="148"/>
        <v>342.06887933351783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0.76282061709307925</v>
      </c>
      <c r="CL142" s="21">
        <f>EXP(-LN(2)/25)*CL141+(1-EXP(-LN(2)/25))/(LN(2)/25)*Calculateur!CG142*Calculateur!CI142*VLOOKUP('Données projet'!$B$12,Paramètres!$A$1:$I$89,3,0)*0.475*44/12</f>
        <v>1.8953009732750725</v>
      </c>
      <c r="CM142" s="21">
        <f>EXP(-LN(2)/2)*CM141+(1-EXP(-LN(2)/2))/(LN(2)/2)*CG142*CJ142*VLOOKUP('Données projet'!$B$12,Paramètres!$A$1:$I$89,3,0)*0.475*44/12</f>
        <v>5.2103723915293475E-16</v>
      </c>
      <c r="CN142" s="22">
        <f t="shared" si="120"/>
        <v>2.6581215903681521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-4.9658410716801891E-14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268.31928207836495</v>
      </c>
      <c r="T143" s="59">
        <f t="shared" si="142"/>
        <v>277.61304526670204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0.23295240263826572</v>
      </c>
      <c r="AA143" s="21">
        <f>EXP(-LN(2)/25)*AA142+(1-EXP(-LN(2)/25))/(LN(2)/25)*Calculateur!V143*Calculateur!X143*VLOOKUP('Données projet'!$B$9,Paramètres!$A$1:$I$89,3,0)*0.475*44/12</f>
        <v>0.26675193572599998</v>
      </c>
      <c r="AB143" s="21">
        <f>EXP(-LN(2)/2)*AB142+(1-EXP(-LN(2)/2))/(LN(2)/2)*V143*Y143*VLOOKUP('Données projet'!$B$9,Paramètres!$A$1:$I$89,3,0)*0.475*44/12</f>
        <v>2.2658559113447606E-16</v>
      </c>
      <c r="AC143" s="22">
        <f t="shared" si="111"/>
        <v>0.49970433836426592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-1.9065282685915009E-13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544.48194192356823</v>
      </c>
      <c r="AO143" s="59">
        <f t="shared" si="144"/>
        <v>668.20427590250733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0.83115321062373793</v>
      </c>
      <c r="AV143" s="21">
        <f>EXP(-LN(2)/25)*AV142+(1-EXP(-LN(2)/25))/(LN(2)/25)*Calculateur!AQ143*Calculateur!AS143*VLOOKUP('Données projet'!$B$10,Paramètres!$A$1:$I$89,3,0)*0.475*44/12</f>
        <v>1.6919462675888588</v>
      </c>
      <c r="AW143" s="21">
        <f>EXP(-LN(2)/2)*AW142+(1-EXP(-LN(2)/2))/(LN(2)/2)*AQ143*AT143*VLOOKUP('Données projet'!$B$10,Paramètres!$A$1:$I$89,3,0)*0.475*44/12</f>
        <v>4.4216508116731564E-16</v>
      </c>
      <c r="AX143" s="21">
        <f t="shared" si="114"/>
        <v>2.5230994782125973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162.86181551380446</v>
      </c>
      <c r="BJ143" s="59">
        <f t="shared" si="146"/>
        <v>184.96823352120742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0.44849360791269394</v>
      </c>
      <c r="BQ143" s="21">
        <f>EXP(-LN(2)/25)*BQ142+(1-EXP(-LN(2)/25))/(LN(2)/25)*Calculateur!BL143*Calculateur!BN143*VLOOKUP('Données projet'!$B$11,Paramètres!$A$1:$I$89,3,0)*0.475*44/12</f>
        <v>0.14814775722861684</v>
      </c>
      <c r="BR143" s="21">
        <f>EXP(-LN(2)/2)*BR142+(1-EXP(-LN(2)/2))/(LN(2)/2)*BL143*BO143*VLOOKUP('Données projet'!$B$11,Paramètres!$A$1:$I$89,3,0)*0.475*44/12</f>
        <v>4.6335514165441983E-17</v>
      </c>
      <c r="BS143" s="22">
        <f t="shared" si="117"/>
        <v>0.59664136514131072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-3.1036506698001178E-14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207.02306964567629</v>
      </c>
      <c r="CE143" s="59">
        <f t="shared" si="148"/>
        <v>342.06887933351783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0.74786217006651834</v>
      </c>
      <c r="CL143" s="21">
        <f>EXP(-LN(2)/25)*CL142+(1-EXP(-LN(2)/25))/(LN(2)/25)*Calculateur!CG143*Calculateur!CI143*VLOOKUP('Données projet'!$B$12,Paramètres!$A$1:$I$89,3,0)*0.475*44/12</f>
        <v>1.8434738684913192</v>
      </c>
      <c r="CM143" s="21">
        <f>EXP(-LN(2)/2)*CM142+(1-EXP(-LN(2)/2))/(LN(2)/2)*CG143*CJ143*VLOOKUP('Données projet'!$B$12,Paramètres!$A$1:$I$89,3,0)*0.475*44/12</f>
        <v>3.6842896505575708E-16</v>
      </c>
      <c r="CN143" s="22">
        <f t="shared" si="120"/>
        <v>2.5913360385578379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-4.9658410716801891E-14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268.31928207836495</v>
      </c>
      <c r="T144" s="59">
        <f t="shared" si="142"/>
        <v>277.61304526670204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0.22838434810946501</v>
      </c>
      <c r="AA144" s="21">
        <f>EXP(-LN(2)/25)*AA143+(1-EXP(-LN(2)/25))/(LN(2)/25)*Calculateur!V144*Calculateur!X144*VLOOKUP('Données projet'!$B$9,Paramètres!$A$1:$I$89,3,0)*0.475*44/12</f>
        <v>0.2594575900156979</v>
      </c>
      <c r="AB144" s="21">
        <f>EXP(-LN(2)/2)*AB143+(1-EXP(-LN(2)/2))/(LN(2)/2)*V144*Y144*VLOOKUP('Données projet'!$B$9,Paramètres!$A$1:$I$89,3,0)*0.475*44/12</f>
        <v>1.6022020801035049E-16</v>
      </c>
      <c r="AC144" s="22">
        <f t="shared" si="111"/>
        <v>0.48784193812516308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-1.9065282685915009E-13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544.48194192356823</v>
      </c>
      <c r="AO144" s="59">
        <f t="shared" si="144"/>
        <v>668.20427590250733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0.81485480311680747</v>
      </c>
      <c r="AV144" s="21">
        <f>EXP(-LN(2)/25)*AV143+(1-EXP(-LN(2)/25))/(LN(2)/25)*Calculateur!AQ144*Calculateur!AS144*VLOOKUP('Données projet'!$B$10,Paramètres!$A$1:$I$89,3,0)*0.475*44/12</f>
        <v>1.6456799079260542</v>
      </c>
      <c r="AW144" s="21">
        <f>EXP(-LN(2)/2)*AW143+(1-EXP(-LN(2)/2))/(LN(2)/2)*AQ144*AT144*VLOOKUP('Données projet'!$B$10,Paramètres!$A$1:$I$89,3,0)*0.475*44/12</f>
        <v>3.1265792729730911E-16</v>
      </c>
      <c r="AX144" s="21">
        <f t="shared" si="114"/>
        <v>2.4605347110428624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162.86181551380446</v>
      </c>
      <c r="BJ144" s="59">
        <f t="shared" si="146"/>
        <v>184.96823352120742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0.4396989218156156</v>
      </c>
      <c r="BQ144" s="21">
        <f>EXP(-LN(2)/25)*BQ143+(1-EXP(-LN(2)/25))/(LN(2)/25)*Calculateur!BL144*Calculateur!BN144*VLOOKUP('Données projet'!$B$11,Paramètres!$A$1:$I$89,3,0)*0.475*44/12</f>
        <v>0.14409664901644836</v>
      </c>
      <c r="BR144" s="21">
        <f>EXP(-LN(2)/2)*BR143+(1-EXP(-LN(2)/2))/(LN(2)/2)*BL144*BO144*VLOOKUP('Données projet'!$B$11,Paramètres!$A$1:$I$89,3,0)*0.475*44/12</f>
        <v>3.2764156276149357E-17</v>
      </c>
      <c r="BS144" s="22">
        <f t="shared" si="117"/>
        <v>0.5837955708320639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-3.1036506698001178E-14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207.02306964567629</v>
      </c>
      <c r="CE144" s="59">
        <f t="shared" si="148"/>
        <v>342.06887933351783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0.73319704906239647</v>
      </c>
      <c r="CL144" s="21">
        <f>EXP(-LN(2)/25)*CL143+(1-EXP(-LN(2)/25))/(LN(2)/25)*Calculateur!CG144*Calculateur!CI144*VLOOKUP('Données projet'!$B$12,Paramètres!$A$1:$I$89,3,0)*0.475*44/12</f>
        <v>1.7930639786133467</v>
      </c>
      <c r="CM144" s="21">
        <f>EXP(-LN(2)/2)*CM143+(1-EXP(-LN(2)/2))/(LN(2)/2)*CG144*CJ144*VLOOKUP('Données projet'!$B$12,Paramètres!$A$1:$I$89,3,0)*0.475*44/12</f>
        <v>2.6051861957646738E-16</v>
      </c>
      <c r="CN144" s="22">
        <f t="shared" si="120"/>
        <v>2.5262610276757438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-4.9658410716801891E-14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268.31928207836495</v>
      </c>
      <c r="T145" s="59">
        <f t="shared" si="142"/>
        <v>277.61304526670204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0.22390587034373594</v>
      </c>
      <c r="AA145" s="21">
        <f>EXP(-LN(2)/25)*AA144+(1-EXP(-LN(2)/25))/(LN(2)/25)*Calculateur!V145*Calculateur!X145*VLOOKUP('Données projet'!$B$9,Paramètres!$A$1:$I$89,3,0)*0.475*44/12</f>
        <v>0.25236270857243698</v>
      </c>
      <c r="AB145" s="21">
        <f>EXP(-LN(2)/2)*AB144+(1-EXP(-LN(2)/2))/(LN(2)/2)*V145*Y145*VLOOKUP('Données projet'!$B$9,Paramètres!$A$1:$I$89,3,0)*0.475*44/12</f>
        <v>1.1329279556723803E-16</v>
      </c>
      <c r="AC145" s="22">
        <f t="shared" si="111"/>
        <v>0.47626857891617302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-1.9065282685915009E-13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544.48194192356823</v>
      </c>
      <c r="AO145" s="59">
        <f t="shared" si="144"/>
        <v>668.20427590250733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0.7988759974400409</v>
      </c>
      <c r="AV145" s="21">
        <f>EXP(-LN(2)/25)*AV144+(1-EXP(-LN(2)/25))/(LN(2)/25)*Calculateur!AQ145*Calculateur!AS145*VLOOKUP('Données projet'!$B$10,Paramètres!$A$1:$I$89,3,0)*0.475*44/12</f>
        <v>1.6006787043012711</v>
      </c>
      <c r="AW145" s="21">
        <f>EXP(-LN(2)/2)*AW144+(1-EXP(-LN(2)/2))/(LN(2)/2)*AQ145*AT145*VLOOKUP('Données projet'!$B$10,Paramètres!$A$1:$I$89,3,0)*0.475*44/12</f>
        <v>2.2108254058365784E-16</v>
      </c>
      <c r="AX145" s="21">
        <f t="shared" si="114"/>
        <v>2.3995547017413119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162.86181551380446</v>
      </c>
      <c r="BJ145" s="59">
        <f t="shared" si="146"/>
        <v>184.96823352120742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0.43107669414867211</v>
      </c>
      <c r="BQ145" s="21">
        <f>EXP(-LN(2)/25)*BQ144+(1-EXP(-LN(2)/25))/(LN(2)/25)*Calculateur!BL145*Calculateur!BN145*VLOOKUP('Données projet'!$B$11,Paramètres!$A$1:$I$89,3,0)*0.475*44/12</f>
        <v>0.14015631857138014</v>
      </c>
      <c r="BR145" s="21">
        <f>EXP(-LN(2)/2)*BR144+(1-EXP(-LN(2)/2))/(LN(2)/2)*BL145*BO145*VLOOKUP('Données projet'!$B$11,Paramètres!$A$1:$I$89,3,0)*0.475*44/12</f>
        <v>2.3167757082720992E-17</v>
      </c>
      <c r="BS145" s="22">
        <f t="shared" si="117"/>
        <v>0.57123301272005222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-3.1036506698001178E-14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207.02306964567629</v>
      </c>
      <c r="CE145" s="59">
        <f t="shared" si="148"/>
        <v>342.06887933351783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0.71881950213632484</v>
      </c>
      <c r="CL145" s="21">
        <f>EXP(-LN(2)/25)*CL144+(1-EXP(-LN(2)/25))/(LN(2)/25)*Calculateur!CG145*Calculateur!CI145*VLOOKUP('Données projet'!$B$12,Paramètres!$A$1:$I$89,3,0)*0.475*44/12</f>
        <v>1.7440325498250282</v>
      </c>
      <c r="CM145" s="21">
        <f>EXP(-LN(2)/2)*CM144+(1-EXP(-LN(2)/2))/(LN(2)/2)*CG145*CJ145*VLOOKUP('Données projet'!$B$12,Paramètres!$A$1:$I$89,3,0)*0.475*44/12</f>
        <v>1.8421448252787854E-16</v>
      </c>
      <c r="CN145" s="22">
        <f t="shared" si="120"/>
        <v>2.4628520519613533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-4.9658410716801891E-14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268.31928207836495</v>
      </c>
      <c r="T146" s="59">
        <f t="shared" si="142"/>
        <v>277.61304526670204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0.2195152127953911</v>
      </c>
      <c r="AA146" s="21">
        <f>EXP(-LN(2)/25)*AA145+(1-EXP(-LN(2)/25))/(LN(2)/25)*Calculateur!V146*Calculateur!X146*VLOOKUP('Données projet'!$B$9,Paramètres!$A$1:$I$89,3,0)*0.475*44/12</f>
        <v>0.24546183703534563</v>
      </c>
      <c r="AB146" s="21">
        <f>EXP(-LN(2)/2)*AB145+(1-EXP(-LN(2)/2))/(LN(2)/2)*V146*Y146*VLOOKUP('Données projet'!$B$9,Paramètres!$A$1:$I$89,3,0)*0.475*44/12</f>
        <v>8.0110104005175243E-17</v>
      </c>
      <c r="AC146" s="22">
        <f t="shared" si="111"/>
        <v>0.46497704983073679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-1.9065282685915009E-13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544.48194192356823</v>
      </c>
      <c r="AO146" s="59">
        <f t="shared" si="144"/>
        <v>668.20427590250733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0.78321052639648658</v>
      </c>
      <c r="AV146" s="21">
        <f>EXP(-LN(2)/25)*AV145+(1-EXP(-LN(2)/25))/(LN(2)/25)*Calculateur!AQ146*Calculateur!AS146*VLOOKUP('Données projet'!$B$10,Paramètres!$A$1:$I$89,3,0)*0.475*44/12</f>
        <v>1.5569080609561181</v>
      </c>
      <c r="AW146" s="21">
        <f>EXP(-LN(2)/2)*AW145+(1-EXP(-LN(2)/2))/(LN(2)/2)*AQ146*AT146*VLOOKUP('Données projet'!$B$10,Paramètres!$A$1:$I$89,3,0)*0.475*44/12</f>
        <v>1.5632896364865458E-16</v>
      </c>
      <c r="AX146" s="21">
        <f t="shared" si="114"/>
        <v>2.3401185873526047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162.86181551380446</v>
      </c>
      <c r="BJ146" s="59">
        <f t="shared" si="146"/>
        <v>184.96823352120742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0.42262354310723782</v>
      </c>
      <c r="BQ146" s="21">
        <f>EXP(-LN(2)/25)*BQ145+(1-EXP(-LN(2)/25))/(LN(2)/25)*Calculateur!BL146*Calculateur!BN146*VLOOKUP('Données projet'!$B$11,Paramètres!$A$1:$I$89,3,0)*0.475*44/12</f>
        <v>0.13632373666954528</v>
      </c>
      <c r="BR146" s="21">
        <f>EXP(-LN(2)/2)*BR145+(1-EXP(-LN(2)/2))/(LN(2)/2)*BL146*BO146*VLOOKUP('Données projet'!$B$11,Paramètres!$A$1:$I$89,3,0)*0.475*44/12</f>
        <v>1.6382078138074679E-17</v>
      </c>
      <c r="BS146" s="22">
        <f t="shared" si="117"/>
        <v>0.55894727977678316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-3.1036506698001178E-14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207.02306964567629</v>
      </c>
      <c r="CE146" s="59">
        <f t="shared" si="148"/>
        <v>342.06887933351783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0.70472389013603576</v>
      </c>
      <c r="CL146" s="21">
        <f>EXP(-LN(2)/25)*CL145+(1-EXP(-LN(2)/25))/(LN(2)/25)*Calculateur!CG146*Calculateur!CI146*VLOOKUP('Données projet'!$B$12,Paramètres!$A$1:$I$89,3,0)*0.475*44/12</f>
        <v>1.6963418880353771</v>
      </c>
      <c r="CM146" s="21">
        <f>EXP(-LN(2)/2)*CM145+(1-EXP(-LN(2)/2))/(LN(2)/2)*CG146*CJ146*VLOOKUP('Données projet'!$B$12,Paramètres!$A$1:$I$89,3,0)*0.475*44/12</f>
        <v>1.3025930978823369E-16</v>
      </c>
      <c r="CN146" s="22">
        <f t="shared" si="120"/>
        <v>2.4010657781714126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-4.9658410716801891E-14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268.31928207836495</v>
      </c>
      <c r="T147" s="59">
        <f t="shared" si="142"/>
        <v>277.61304526670204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0.21521065336353265</v>
      </c>
      <c r="AA147" s="21">
        <f>EXP(-LN(2)/25)*AA146+(1-EXP(-LN(2)/25))/(LN(2)/25)*Calculateur!V147*Calculateur!X147*VLOOKUP('Données projet'!$B$9,Paramètres!$A$1:$I$89,3,0)*0.475*44/12</f>
        <v>0.23874967019333709</v>
      </c>
      <c r="AB147" s="21">
        <f>EXP(-LN(2)/2)*AB146+(1-EXP(-LN(2)/2))/(LN(2)/2)*V147*Y147*VLOOKUP('Données projet'!$B$9,Paramètres!$A$1:$I$89,3,0)*0.475*44/12</f>
        <v>5.6646397783619015E-17</v>
      </c>
      <c r="AC147" s="22">
        <f t="shared" si="111"/>
        <v>0.45396032355686983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-1.9065282685915009E-13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544.48194192356823</v>
      </c>
      <c r="AO147" s="59">
        <f t="shared" si="144"/>
        <v>668.20427590250733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0.76785224568510246</v>
      </c>
      <c r="AV147" s="21">
        <f>EXP(-LN(2)/25)*AV146+(1-EXP(-LN(2)/25))/(LN(2)/25)*Calculateur!AQ147*Calculateur!AS147*VLOOKUP('Données projet'!$B$10,Paramètres!$A$1:$I$89,3,0)*0.475*44/12</f>
        <v>1.5143343281550365</v>
      </c>
      <c r="AW147" s="21">
        <f>EXP(-LN(2)/2)*AW146+(1-EXP(-LN(2)/2))/(LN(2)/2)*AQ147*AT147*VLOOKUP('Données projet'!$B$10,Paramètres!$A$1:$I$89,3,0)*0.475*44/12</f>
        <v>1.1054127029182895E-16</v>
      </c>
      <c r="AX147" s="21">
        <f t="shared" si="114"/>
        <v>2.2821865738401392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162.86181551380446</v>
      </c>
      <c r="BJ147" s="59">
        <f t="shared" si="146"/>
        <v>184.96823352120742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0.41433615320181305</v>
      </c>
      <c r="BQ147" s="21">
        <f>EXP(-LN(2)/25)*BQ146+(1-EXP(-LN(2)/25))/(LN(2)/25)*Calculateur!BL147*Calculateur!BN147*VLOOKUP('Données projet'!$B$11,Paramètres!$A$1:$I$89,3,0)*0.475*44/12</f>
        <v>0.13259595692136283</v>
      </c>
      <c r="BR147" s="21">
        <f>EXP(-LN(2)/2)*BR146+(1-EXP(-LN(2)/2))/(LN(2)/2)*BL147*BO147*VLOOKUP('Données projet'!$B$11,Paramètres!$A$1:$I$89,3,0)*0.475*44/12</f>
        <v>1.1583878541360496E-17</v>
      </c>
      <c r="BS147" s="22">
        <f t="shared" si="117"/>
        <v>0.54693211012317589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-3.1036506698001178E-14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207.02306964567629</v>
      </c>
      <c r="CE147" s="59">
        <f t="shared" si="148"/>
        <v>342.06887933351783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0.69090468448959796</v>
      </c>
      <c r="CL147" s="21">
        <f>EXP(-LN(2)/25)*CL146+(1-EXP(-LN(2)/25))/(LN(2)/25)*Calculateur!CG147*Calculateur!CI147*VLOOKUP('Données projet'!$B$12,Paramètres!$A$1:$I$89,3,0)*0.475*44/12</f>
        <v>1.6499553299003069</v>
      </c>
      <c r="CM147" s="21">
        <f>EXP(-LN(2)/2)*CM146+(1-EXP(-LN(2)/2))/(LN(2)/2)*CG147*CJ147*VLOOKUP('Données projet'!$B$12,Paramètres!$A$1:$I$89,3,0)*0.475*44/12</f>
        <v>9.2107241263939269E-17</v>
      </c>
      <c r="CN147" s="22">
        <f t="shared" si="120"/>
        <v>2.340860014389905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-4.9658410716801891E-14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268.31928207836495</v>
      </c>
      <c r="T148" s="59">
        <f t="shared" si="142"/>
        <v>277.61304526670204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0.21099050371661093</v>
      </c>
      <c r="AA148" s="21">
        <f>EXP(-LN(2)/25)*AA147+(1-EXP(-LN(2)/25))/(LN(2)/25)*Calculateur!V148*Calculateur!X148*VLOOKUP('Données projet'!$B$9,Paramètres!$A$1:$I$89,3,0)*0.475*44/12</f>
        <v>0.23222104790660081</v>
      </c>
      <c r="AB148" s="21">
        <f>EXP(-LN(2)/2)*AB147+(1-EXP(-LN(2)/2))/(LN(2)/2)*V148*Y148*VLOOKUP('Données projet'!$B$9,Paramètres!$A$1:$I$89,3,0)*0.475*44/12</f>
        <v>4.0055052002587622E-17</v>
      </c>
      <c r="AC148" s="22">
        <f t="shared" si="111"/>
        <v>0.4432115516232118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-1.9065282685915009E-13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544.48194192356823</v>
      </c>
      <c r="AO148" s="59">
        <f t="shared" si="144"/>
        <v>668.20427590250733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0.75279513149084243</v>
      </c>
      <c r="AV148" s="21">
        <f>EXP(-LN(2)/25)*AV147+(1-EXP(-LN(2)/25))/(LN(2)/25)*Calculateur!AQ148*Calculateur!AS148*VLOOKUP('Données projet'!$B$10,Paramètres!$A$1:$I$89,3,0)*0.475*44/12</f>
        <v>1.4729247763162558</v>
      </c>
      <c r="AW148" s="21">
        <f>EXP(-LN(2)/2)*AW147+(1-EXP(-LN(2)/2))/(LN(2)/2)*AQ148*AT148*VLOOKUP('Données projet'!$B$10,Paramètres!$A$1:$I$89,3,0)*0.475*44/12</f>
        <v>7.8164481824327302E-17</v>
      </c>
      <c r="AX148" s="21">
        <f t="shared" si="114"/>
        <v>2.2257199078070982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162.86181551380446</v>
      </c>
      <c r="BJ148" s="59">
        <f t="shared" si="146"/>
        <v>184.96823352120742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0.40621127395762491</v>
      </c>
      <c r="BQ148" s="21">
        <f>EXP(-LN(2)/25)*BQ147+(1-EXP(-LN(2)/25))/(LN(2)/25)*Calculateur!BL148*Calculateur!BN148*VLOOKUP('Données projet'!$B$11,Paramètres!$A$1:$I$89,3,0)*0.475*44/12</f>
        <v>0.12897011350642984</v>
      </c>
      <c r="BR148" s="21">
        <f>EXP(-LN(2)/2)*BR147+(1-EXP(-LN(2)/2))/(LN(2)/2)*BL148*BO148*VLOOKUP('Données projet'!$B$11,Paramètres!$A$1:$I$89,3,0)*0.475*44/12</f>
        <v>8.1910390690373393E-18</v>
      </c>
      <c r="BS148" s="22">
        <f t="shared" si="117"/>
        <v>0.53518138746405475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-3.1036506698001178E-14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207.02306964567629</v>
      </c>
      <c r="CE148" s="59">
        <f t="shared" si="148"/>
        <v>342.06887933351783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0.67735646503700364</v>
      </c>
      <c r="CL148" s="21">
        <f>EXP(-LN(2)/25)*CL147+(1-EXP(-LN(2)/25))/(LN(2)/25)*Calculateur!CG148*Calculateur!CI148*VLOOKUP('Données projet'!$B$12,Paramètres!$A$1:$I$89,3,0)*0.475*44/12</f>
        <v>1.6048372146368033</v>
      </c>
      <c r="CM148" s="21">
        <f>EXP(-LN(2)/2)*CM147+(1-EXP(-LN(2)/2))/(LN(2)/2)*CG148*CJ148*VLOOKUP('Données projet'!$B$12,Paramètres!$A$1:$I$89,3,0)*0.475*44/12</f>
        <v>6.5129654894116844E-17</v>
      </c>
      <c r="CN148" s="22">
        <f t="shared" si="120"/>
        <v>2.2821936796738069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-4.9658410716801891E-14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268.31928207836495</v>
      </c>
      <c r="T149" s="59">
        <f t="shared" si="142"/>
        <v>277.61304526670204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0.20685310863022824</v>
      </c>
      <c r="AA149" s="21">
        <f>EXP(-LN(2)/25)*AA148+(1-EXP(-LN(2)/25))/(LN(2)/25)*Calculateur!V149*Calculateur!X149*VLOOKUP('Données projet'!$B$9,Paramètres!$A$1:$I$89,3,0)*0.475*44/12</f>
        <v>0.22587095113962063</v>
      </c>
      <c r="AB149" s="21">
        <f>EXP(-LN(2)/2)*AB148+(1-EXP(-LN(2)/2))/(LN(2)/2)*V149*Y149*VLOOKUP('Données projet'!$B$9,Paramètres!$A$1:$I$89,3,0)*0.475*44/12</f>
        <v>2.8323198891809507E-17</v>
      </c>
      <c r="AC149" s="22">
        <f t="shared" si="111"/>
        <v>0.4327240597698489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-1.9065282685915009E-13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544.48194192356823</v>
      </c>
      <c r="AO149" s="59">
        <f t="shared" si="144"/>
        <v>668.20427590250733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0.73803327812199893</v>
      </c>
      <c r="AV149" s="21">
        <f>EXP(-LN(2)/25)*AV148+(1-EXP(-LN(2)/25))/(LN(2)/25)*Calculateur!AQ149*Calculateur!AS149*VLOOKUP('Données projet'!$B$10,Paramètres!$A$1:$I$89,3,0)*0.475*44/12</f>
        <v>1.4326475708501403</v>
      </c>
      <c r="AW149" s="21">
        <f>EXP(-LN(2)/2)*AW148+(1-EXP(-LN(2)/2))/(LN(2)/2)*AQ149*AT149*VLOOKUP('Données projet'!$B$10,Paramètres!$A$1:$I$89,3,0)*0.475*44/12</f>
        <v>5.5270635145914479E-17</v>
      </c>
      <c r="AX149" s="21">
        <f t="shared" si="114"/>
        <v>2.1706808489721392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162.86181551380446</v>
      </c>
      <c r="BJ149" s="59">
        <f t="shared" si="146"/>
        <v>184.96823352120742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0.3982457186397283</v>
      </c>
      <c r="BQ149" s="21">
        <f>EXP(-LN(2)/25)*BQ148+(1-EXP(-LN(2)/25))/(LN(2)/25)*Calculateur!BL149*Calculateur!BN149*VLOOKUP('Données projet'!$B$11,Paramètres!$A$1:$I$89,3,0)*0.475*44/12</f>
        <v>0.12544341897035302</v>
      </c>
      <c r="BR149" s="21">
        <f>EXP(-LN(2)/2)*BR148+(1-EXP(-LN(2)/2))/(LN(2)/2)*BL149*BO149*VLOOKUP('Données projet'!$B$11,Paramètres!$A$1:$I$89,3,0)*0.475*44/12</f>
        <v>5.7919392706802479E-18</v>
      </c>
      <c r="BS149" s="22">
        <f t="shared" si="117"/>
        <v>0.52368913761008129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-3.1036506698001178E-14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207.02306964567629</v>
      </c>
      <c r="CE149" s="59">
        <f t="shared" si="148"/>
        <v>342.06887933351783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0.66407391790427683</v>
      </c>
      <c r="CL149" s="21">
        <f>EXP(-LN(2)/25)*CL148+(1-EXP(-LN(2)/25))/(LN(2)/25)*Calculateur!CG149*Calculateur!CI149*VLOOKUP('Données projet'!$B$12,Paramètres!$A$1:$I$89,3,0)*0.475*44/12</f>
        <v>1.5609528566078388</v>
      </c>
      <c r="CM149" s="21">
        <f>EXP(-LN(2)/2)*CM148+(1-EXP(-LN(2)/2))/(LN(2)/2)*CG149*CJ149*VLOOKUP('Données projet'!$B$12,Paramètres!$A$1:$I$89,3,0)*0.475*44/12</f>
        <v>4.6053620631969634E-17</v>
      </c>
      <c r="CN149" s="22">
        <f t="shared" si="120"/>
        <v>2.2250267745121155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-4.9658410716801891E-14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268.31928207836495</v>
      </c>
      <c r="T150" s="59">
        <f t="shared" si="142"/>
        <v>277.61304526670204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0.20279684533792769</v>
      </c>
      <c r="AA150" s="21">
        <f>EXP(-LN(2)/25)*AA149+(1-EXP(-LN(2)/25))/(LN(2)/25)*Calculateur!V150*Calculateur!X150*VLOOKUP('Données projet'!$B$9,Paramètres!$A$1:$I$89,3,0)*0.475*44/12</f>
        <v>0.21969449810267061</v>
      </c>
      <c r="AB150" s="21">
        <f>EXP(-LN(2)/2)*AB149+(1-EXP(-LN(2)/2))/(LN(2)/2)*V150*Y150*VLOOKUP('Données projet'!$B$9,Paramètres!$A$1:$I$89,3,0)*0.475*44/12</f>
        <v>2.0027526001293811E-17</v>
      </c>
      <c r="AC150" s="22">
        <f t="shared" si="111"/>
        <v>0.4224913434405983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-1.9065282685915009E-13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544.48194192356823</v>
      </c>
      <c r="AO150" s="59">
        <f t="shared" si="144"/>
        <v>668.20427590250733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0.72356089569387694</v>
      </c>
      <c r="AV150" s="21">
        <f>EXP(-LN(2)/25)*AV149+(1-EXP(-LN(2)/25))/(LN(2)/25)*Calculateur!AQ150*Calculateur!AS150*VLOOKUP('Données projet'!$B$10,Paramètres!$A$1:$I$89,3,0)*0.475*44/12</f>
        <v>1.3934717476855818</v>
      </c>
      <c r="AW150" s="21">
        <f>EXP(-LN(2)/2)*AW149+(1-EXP(-LN(2)/2))/(LN(2)/2)*AQ150*AT150*VLOOKUP('Données projet'!$B$10,Paramètres!$A$1:$I$89,3,0)*0.475*44/12</f>
        <v>3.9082240912163657E-17</v>
      </c>
      <c r="AX150" s="21">
        <f t="shared" si="114"/>
        <v>2.1170326433794586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162.86181551380446</v>
      </c>
      <c r="BJ150" s="59">
        <f t="shared" si="146"/>
        <v>184.96823352120742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0.39043636300310663</v>
      </c>
      <c r="BQ150" s="21">
        <f>EXP(-LN(2)/25)*BQ149+(1-EXP(-LN(2)/25))/(LN(2)/25)*Calculateur!BL150*Calculateur!BN150*VLOOKUP('Données projet'!$B$11,Paramètres!$A$1:$I$89,3,0)*0.475*44/12</f>
        <v>0.12201316208182601</v>
      </c>
      <c r="BR150" s="21">
        <f>EXP(-LN(2)/2)*BR149+(1-EXP(-LN(2)/2))/(LN(2)/2)*BL150*BO150*VLOOKUP('Données projet'!$B$11,Paramètres!$A$1:$I$89,3,0)*0.475*44/12</f>
        <v>4.0955195345186697E-18</v>
      </c>
      <c r="BS150" s="22">
        <f t="shared" si="117"/>
        <v>0.51244952508493269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-3.1036506698001178E-14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207.02306964567629</v>
      </c>
      <c r="CE150" s="59">
        <f t="shared" si="148"/>
        <v>342.06887933351783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0.65105183341926898</v>
      </c>
      <c r="CL150" s="21">
        <f>EXP(-LN(2)/25)*CL149+(1-EXP(-LN(2)/25))/(LN(2)/25)*Calculateur!CG150*Calculateur!CI150*VLOOKUP('Données projet'!$B$12,Paramètres!$A$1:$I$89,3,0)*0.475*44/12</f>
        <v>1.5182685186569542</v>
      </c>
      <c r="CM150" s="21">
        <f>EXP(-LN(2)/2)*CM149+(1-EXP(-LN(2)/2))/(LN(2)/2)*CG150*CJ150*VLOOKUP('Données projet'!$B$12,Paramètres!$A$1:$I$89,3,0)*0.475*44/12</f>
        <v>3.2564827447058422E-17</v>
      </c>
      <c r="CN150" s="22">
        <f t="shared" si="120"/>
        <v>2.1693203520762232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-4.9658410716801891E-14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268.31928207836495</v>
      </c>
      <c r="T151" s="59">
        <f t="shared" si="142"/>
        <v>277.61304526670204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0.19882012289471282</v>
      </c>
      <c r="AA151" s="21">
        <f>EXP(-LN(2)/25)*AA150+(1-EXP(-LN(2)/25))/(LN(2)/25)*Calculateur!V151*Calculateur!X151*VLOOKUP('Données projet'!$B$9,Paramètres!$A$1:$I$89,3,0)*0.475*44/12</f>
        <v>0.21368694049882156</v>
      </c>
      <c r="AB151" s="21">
        <f>EXP(-LN(2)/2)*AB150+(1-EXP(-LN(2)/2))/(LN(2)/2)*V151*Y151*VLOOKUP('Données projet'!$B$9,Paramètres!$A$1:$I$89,3,0)*0.475*44/12</f>
        <v>1.4161599445904754E-17</v>
      </c>
      <c r="AC151" s="22">
        <f t="shared" si="111"/>
        <v>0.41250706339353438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-1.9065282685915009E-13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544.48194192356823</v>
      </c>
      <c r="AO151" s="59">
        <f t="shared" si="144"/>
        <v>668.20427590250733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0.70937230785788885</v>
      </c>
      <c r="AV151" s="21">
        <f>EXP(-LN(2)/25)*AV150+(1-EXP(-LN(2)/25))/(LN(2)/25)*Calculateur!AQ151*Calculateur!AS151*VLOOKUP('Données projet'!$B$10,Paramètres!$A$1:$I$89,3,0)*0.475*44/12</f>
        <v>1.3553671894656252</v>
      </c>
      <c r="AW151" s="21">
        <f>EXP(-LN(2)/2)*AW150+(1-EXP(-LN(2)/2))/(LN(2)/2)*AQ151*AT151*VLOOKUP('Données projet'!$B$10,Paramètres!$A$1:$I$89,3,0)*0.475*44/12</f>
        <v>2.7635317572957246E-17</v>
      </c>
      <c r="AX151" s="21">
        <f t="shared" si="114"/>
        <v>2.0647394973235143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162.86181551380446</v>
      </c>
      <c r="BJ151" s="59">
        <f t="shared" si="146"/>
        <v>184.96823352120742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0.3827801440672825</v>
      </c>
      <c r="BQ151" s="21">
        <f>EXP(-LN(2)/25)*BQ150+(1-EXP(-LN(2)/25))/(LN(2)/25)*Calculateur!BL151*Calculateur!BN151*VLOOKUP('Données projet'!$B$11,Paramètres!$A$1:$I$89,3,0)*0.475*44/12</f>
        <v>0.11867670574830515</v>
      </c>
      <c r="BR151" s="21">
        <f>EXP(-LN(2)/2)*BR150+(1-EXP(-LN(2)/2))/(LN(2)/2)*BL151*BO151*VLOOKUP('Données projet'!$B$11,Paramètres!$A$1:$I$89,3,0)*0.475*44/12</f>
        <v>2.895969635340124E-18</v>
      </c>
      <c r="BS151" s="22">
        <f t="shared" si="117"/>
        <v>0.50145684981558769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-3.1036506698001178E-14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207.02306964567629</v>
      </c>
      <c r="CE151" s="59">
        <f t="shared" si="148"/>
        <v>342.06887933351783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0.63828510406832484</v>
      </c>
      <c r="CL151" s="21">
        <f>EXP(-LN(2)/25)*CL150+(1-EXP(-LN(2)/25))/(LN(2)/25)*Calculateur!CG151*Calculateur!CI151*VLOOKUP('Données projet'!$B$12,Paramètres!$A$1:$I$89,3,0)*0.475*44/12</f>
        <v>1.4767513861720085</v>
      </c>
      <c r="CM151" s="21">
        <f>EXP(-LN(2)/2)*CM150+(1-EXP(-LN(2)/2))/(LN(2)/2)*CG151*CJ151*VLOOKUP('Données projet'!$B$12,Paramètres!$A$1:$I$89,3,0)*0.475*44/12</f>
        <v>2.3026810315984817E-17</v>
      </c>
      <c r="CN151" s="22">
        <f t="shared" si="120"/>
        <v>2.1150364902403336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-4.9658410716801891E-14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268.31928207836495</v>
      </c>
      <c r="T152" s="59">
        <f t="shared" si="142"/>
        <v>277.61304526670204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0.19492138155304822</v>
      </c>
      <c r="AA152" s="21">
        <f>EXP(-LN(2)/25)*AA151+(1-EXP(-LN(2)/25))/(LN(2)/25)*Calculateur!V152*Calculateur!X152*VLOOKUP('Données projet'!$B$9,Paramètres!$A$1:$I$89,3,0)*0.475*44/12</f>
        <v>0.20784365987357348</v>
      </c>
      <c r="AB152" s="21">
        <f>EXP(-LN(2)/2)*AB151+(1-EXP(-LN(2)/2))/(LN(2)/2)*V152*Y152*VLOOKUP('Données projet'!$B$9,Paramètres!$A$1:$I$89,3,0)*0.475*44/12</f>
        <v>1.0013763000646905E-17</v>
      </c>
      <c r="AC152" s="22">
        <f t="shared" si="111"/>
        <v>0.40276504142662173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-1.9065282685915009E-13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544.48194192356823</v>
      </c>
      <c r="AO152" s="59">
        <f t="shared" si="144"/>
        <v>668.20427590250733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0.69546194957518037</v>
      </c>
      <c r="AV152" s="21">
        <f>EXP(-LN(2)/25)*AV151+(1-EXP(-LN(2)/25))/(LN(2)/25)*Calculateur!AQ152*Calculateur!AS152*VLOOKUP('Données projet'!$B$10,Paramètres!$A$1:$I$89,3,0)*0.475*44/12</f>
        <v>1.3183046023940248</v>
      </c>
      <c r="AW152" s="21">
        <f>EXP(-LN(2)/2)*AW151+(1-EXP(-LN(2)/2))/(LN(2)/2)*AQ152*AT152*VLOOKUP('Données projet'!$B$10,Paramètres!$A$1:$I$89,3,0)*0.475*44/12</f>
        <v>1.9541120456081832E-17</v>
      </c>
      <c r="AX152" s="21">
        <f t="shared" si="114"/>
        <v>2.013766551969205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162.86181551380446</v>
      </c>
      <c r="BJ152" s="59">
        <f t="shared" si="146"/>
        <v>184.96823352120742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0.37527405891495746</v>
      </c>
      <c r="BQ152" s="21">
        <f>EXP(-LN(2)/25)*BQ151+(1-EXP(-LN(2)/25))/(LN(2)/25)*Calculateur!BL152*Calculateur!BN152*VLOOKUP('Données projet'!$B$11,Paramètres!$A$1:$I$89,3,0)*0.475*44/12</f>
        <v>0.11543148498868103</v>
      </c>
      <c r="BR152" s="21">
        <f>EXP(-LN(2)/2)*BR151+(1-EXP(-LN(2)/2))/(LN(2)/2)*BL152*BO152*VLOOKUP('Données projet'!$B$11,Paramètres!$A$1:$I$89,3,0)*0.475*44/12</f>
        <v>2.0477597672593348E-18</v>
      </c>
      <c r="BS152" s="22">
        <f t="shared" si="117"/>
        <v>0.49070554390363852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-3.1036506698001178E-14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207.02306964567629</v>
      </c>
      <c r="CE152" s="59">
        <f t="shared" si="148"/>
        <v>342.06887933351783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0.62576872249301674</v>
      </c>
      <c r="CL152" s="21">
        <f>EXP(-LN(2)/25)*CL151+(1-EXP(-LN(2)/25))/(LN(2)/25)*Calculateur!CG152*Calculateur!CI152*VLOOKUP('Données projet'!$B$12,Paramètres!$A$1:$I$89,3,0)*0.475*44/12</f>
        <v>1.4363695418581548</v>
      </c>
      <c r="CM152" s="21">
        <f>EXP(-LN(2)/2)*CM151+(1-EXP(-LN(2)/2))/(LN(2)/2)*CG152*CJ152*VLOOKUP('Données projet'!$B$12,Paramètres!$A$1:$I$89,3,0)*0.475*44/12</f>
        <v>1.6282413723529211E-17</v>
      </c>
      <c r="CN152" s="22">
        <f t="shared" si="120"/>
        <v>2.0621382643511716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-4.9658410716801891E-14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268.31928207836495</v>
      </c>
      <c r="T153" s="59">
        <f t="shared" si="142"/>
        <v>277.61304526670204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0.19109909215109624</v>
      </c>
      <c r="AA153" s="21">
        <f>EXP(-LN(2)/25)*AA152+(1-EXP(-LN(2)/25))/(LN(2)/25)*Calculateur!V153*Calculateur!X153*VLOOKUP('Données projet'!$B$9,Paramètres!$A$1:$I$89,3,0)*0.475*44/12</f>
        <v>0.20216016406430756</v>
      </c>
      <c r="AB153" s="21">
        <f>EXP(-LN(2)/2)*AB152+(1-EXP(-LN(2)/2))/(LN(2)/2)*V153*Y153*VLOOKUP('Données projet'!$B$9,Paramètres!$A$1:$I$89,3,0)*0.475*44/12</f>
        <v>7.0807997229523768E-18</v>
      </c>
      <c r="AC153" s="22">
        <f t="shared" si="111"/>
        <v>0.39325925621540381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-1.9065282685915009E-13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544.48194192356823</v>
      </c>
      <c r="AO153" s="59">
        <f t="shared" si="144"/>
        <v>668.20427590250733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0.68182436493391507</v>
      </c>
      <c r="AV153" s="21">
        <f>EXP(-LN(2)/25)*AV152+(1-EXP(-LN(2)/25))/(LN(2)/25)*Calculateur!AQ153*Calculateur!AS153*VLOOKUP('Données projet'!$B$10,Paramètres!$A$1:$I$89,3,0)*0.475*44/12</f>
        <v>1.2822554937149342</v>
      </c>
      <c r="AW153" s="21">
        <f>EXP(-LN(2)/2)*AW152+(1-EXP(-LN(2)/2))/(LN(2)/2)*AQ153*AT153*VLOOKUP('Données projet'!$B$10,Paramètres!$A$1:$I$89,3,0)*0.475*44/12</f>
        <v>1.3817658786478624E-17</v>
      </c>
      <c r="AX153" s="21">
        <f t="shared" si="114"/>
        <v>1.9640798586488493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162.86181551380446</v>
      </c>
      <c r="BJ153" s="59">
        <f t="shared" si="146"/>
        <v>184.96823352120742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0.36791516351420961</v>
      </c>
      <c r="BQ153" s="21">
        <f>EXP(-LN(2)/25)*BQ152+(1-EXP(-LN(2)/25))/(LN(2)/25)*Calculateur!BL153*Calculateur!BN153*VLOOKUP('Données projet'!$B$11,Paramètres!$A$1:$I$89,3,0)*0.475*44/12</f>
        <v>0.11227500496138756</v>
      </c>
      <c r="BR153" s="21">
        <f>EXP(-LN(2)/2)*BR152+(1-EXP(-LN(2)/2))/(LN(2)/2)*BL153*BO153*VLOOKUP('Données projet'!$B$11,Paramètres!$A$1:$I$89,3,0)*0.475*44/12</f>
        <v>1.447984817670062E-18</v>
      </c>
      <c r="BS153" s="22">
        <f t="shared" si="117"/>
        <v>0.48019016847559715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-3.1036506698001178E-14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207.02306964567629</v>
      </c>
      <c r="CE153" s="59">
        <f t="shared" si="148"/>
        <v>342.06887933351783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0.61349777952616147</v>
      </c>
      <c r="CL153" s="21">
        <f>EXP(-LN(2)/25)*CL152+(1-EXP(-LN(2)/25))/(LN(2)/25)*Calculateur!CG153*Calculateur!CI153*VLOOKUP('Données projet'!$B$12,Paramètres!$A$1:$I$89,3,0)*0.475*44/12</f>
        <v>1.3970919412006522</v>
      </c>
      <c r="CM153" s="21">
        <f>EXP(-LN(2)/2)*CM152+(1-EXP(-LN(2)/2))/(LN(2)/2)*CG153*CJ153*VLOOKUP('Données projet'!$B$12,Paramètres!$A$1:$I$89,3,0)*0.475*44/12</f>
        <v>1.1513405157992409E-17</v>
      </c>
      <c r="CN153" s="22">
        <f t="shared" si="120"/>
        <v>2.0105897207268137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-4.9658410716801891E-14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268.31928207836495</v>
      </c>
      <c r="T154" s="59">
        <f t="shared" si="142"/>
        <v>277.61304526670204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0.18735175551295022</v>
      </c>
      <c r="AA154" s="21">
        <f>EXP(-LN(2)/25)*AA153+(1-EXP(-LN(2)/25))/(LN(2)/25)*Calculateur!V154*Calculateur!X154*VLOOKUP('Données projet'!$B$9,Paramètres!$A$1:$I$89,3,0)*0.475*44/12</f>
        <v>0.19663208374682808</v>
      </c>
      <c r="AB154" s="21">
        <f>EXP(-LN(2)/2)*AB153+(1-EXP(-LN(2)/2))/(LN(2)/2)*V154*Y154*VLOOKUP('Données projet'!$B$9,Paramètres!$A$1:$I$89,3,0)*0.475*44/12</f>
        <v>5.0068815003234527E-18</v>
      </c>
      <c r="AC154" s="22">
        <f t="shared" ref="AC154:AC203" si="163">SUM(Z154:AB154)</f>
        <v>0.3839838392597783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-1.9065282685915009E-13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544.48194192356823</v>
      </c>
      <c r="AO154" s="59">
        <f t="shared" si="144"/>
        <v>668.20427590250733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0.6684542050093597</v>
      </c>
      <c r="AV154" s="21">
        <f>EXP(-LN(2)/25)*AV153+(1-EXP(-LN(2)/25))/(LN(2)/25)*Calculateur!AQ154*Calculateur!AS154*VLOOKUP('Données projet'!$B$10,Paramètres!$A$1:$I$89,3,0)*0.475*44/12</f>
        <v>1.2471921498084135</v>
      </c>
      <c r="AW154" s="21">
        <f>EXP(-LN(2)/2)*AW153+(1-EXP(-LN(2)/2))/(LN(2)/2)*AQ154*AT154*VLOOKUP('Données projet'!$B$10,Paramètres!$A$1:$I$89,3,0)*0.475*44/12</f>
        <v>9.7705602280409173E-18</v>
      </c>
      <c r="AX154" s="21">
        <f t="shared" ref="AX154:AX203" si="166">SUM(AU154:AW154)</f>
        <v>1.9156463548177731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162.86181551380446</v>
      </c>
      <c r="BJ154" s="59">
        <f t="shared" si="146"/>
        <v>184.96823352120742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0.36070057156378743</v>
      </c>
      <c r="BQ154" s="21">
        <f>EXP(-LN(2)/25)*BQ153+(1-EXP(-LN(2)/25))/(LN(2)/25)*Calculateur!BL154*Calculateur!BN154*VLOOKUP('Données projet'!$B$11,Paramètres!$A$1:$I$89,3,0)*0.475*44/12</f>
        <v>0.10920483904643252</v>
      </c>
      <c r="BR154" s="21">
        <f>EXP(-LN(2)/2)*BR153+(1-EXP(-LN(2)/2))/(LN(2)/2)*BL154*BO154*VLOOKUP('Données projet'!$B$11,Paramètres!$A$1:$I$89,3,0)*0.475*44/12</f>
        <v>1.0238798836296674E-18</v>
      </c>
      <c r="BS154" s="22">
        <f t="shared" ref="BS154:BS203" si="169">SUM(BP154:BR154)</f>
        <v>0.46990541061021995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-3.1036506698001178E-14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207.02306964567629</v>
      </c>
      <c r="CE154" s="59">
        <f t="shared" si="148"/>
        <v>342.06887933351783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0.60146746226635006</v>
      </c>
      <c r="CL154" s="21">
        <f>EXP(-LN(2)/25)*CL153+(1-EXP(-LN(2)/25))/(LN(2)/25)*Calculateur!CG154*Calculateur!CI154*VLOOKUP('Données projet'!$B$12,Paramètres!$A$1:$I$89,3,0)*0.475*44/12</f>
        <v>1.3588883885986482</v>
      </c>
      <c r="CM154" s="21">
        <f>EXP(-LN(2)/2)*CM153+(1-EXP(-LN(2)/2))/(LN(2)/2)*CG154*CJ154*VLOOKUP('Données projet'!$B$12,Paramètres!$A$1:$I$89,3,0)*0.475*44/12</f>
        <v>8.1412068617646055E-18</v>
      </c>
      <c r="CN154" s="22">
        <f t="shared" ref="CN154:CN203" si="172">SUM(CK154:CM154)</f>
        <v>1.9603558508649983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-4.9658410716801891E-14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268.31928207836495</v>
      </c>
      <c r="T155" s="59">
        <f t="shared" si="142"/>
        <v>277.61304526670204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0.18367790186062857</v>
      </c>
      <c r="AA155" s="21">
        <f>EXP(-LN(2)/25)*AA154+(1-EXP(-LN(2)/25))/(LN(2)/25)*Calculateur!V155*Calculateur!X155*VLOOKUP('Données projet'!$B$9,Paramètres!$A$1:$I$89,3,0)*0.475*44/12</f>
        <v>0.19125516907633919</v>
      </c>
      <c r="AB155" s="21">
        <f>EXP(-LN(2)/2)*AB154+(1-EXP(-LN(2)/2))/(LN(2)/2)*V155*Y155*VLOOKUP('Données projet'!$B$9,Paramètres!$A$1:$I$89,3,0)*0.475*44/12</f>
        <v>3.5403998614761884E-18</v>
      </c>
      <c r="AC155" s="22">
        <f t="shared" si="163"/>
        <v>0.37493307093696776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-1.9065282685915009E-13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544.48194192356823</v>
      </c>
      <c r="AO155" s="59">
        <f t="shared" si="144"/>
        <v>668.20427590250733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0.65534622576593249</v>
      </c>
      <c r="AV155" s="21">
        <f>EXP(-LN(2)/25)*AV154+(1-EXP(-LN(2)/25))/(LN(2)/25)*Calculateur!AQ155*Calculateur!AS155*VLOOKUP('Données projet'!$B$10,Paramètres!$A$1:$I$89,3,0)*0.475*44/12</f>
        <v>1.2130876148849179</v>
      </c>
      <c r="AW155" s="21">
        <f>EXP(-LN(2)/2)*AW154+(1-EXP(-LN(2)/2))/(LN(2)/2)*AQ155*AT155*VLOOKUP('Données projet'!$B$10,Paramètres!$A$1:$I$89,3,0)*0.475*44/12</f>
        <v>6.908829393239313E-18</v>
      </c>
      <c r="AX155" s="21">
        <f t="shared" si="166"/>
        <v>1.8684338406508503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162.86181551380446</v>
      </c>
      <c r="BJ155" s="59">
        <f t="shared" si="146"/>
        <v>184.96823352120742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0.35362745336104645</v>
      </c>
      <c r="BQ155" s="21">
        <f>EXP(-LN(2)/25)*BQ154+(1-EXP(-LN(2)/25))/(LN(2)/25)*Calculateur!BL155*Calculateur!BN155*VLOOKUP('Données projet'!$B$11,Paramètres!$A$1:$I$89,3,0)*0.475*44/12</f>
        <v>0.10621862697987493</v>
      </c>
      <c r="BR155" s="21">
        <f>EXP(-LN(2)/2)*BR154+(1-EXP(-LN(2)/2))/(LN(2)/2)*BL155*BO155*VLOOKUP('Données projet'!$B$11,Paramètres!$A$1:$I$89,3,0)*0.475*44/12</f>
        <v>7.2399240883503099E-19</v>
      </c>
      <c r="BS155" s="22">
        <f t="shared" si="169"/>
        <v>0.45984608034092139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-3.1036506698001178E-14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207.02306964567629</v>
      </c>
      <c r="CE155" s="59">
        <f t="shared" si="148"/>
        <v>342.06887933351783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0.58967305219023458</v>
      </c>
      <c r="CL155" s="21">
        <f>EXP(-LN(2)/25)*CL154+(1-EXP(-LN(2)/25))/(LN(2)/25)*Calculateur!CG155*Calculateur!CI155*VLOOKUP('Données projet'!$B$12,Paramètres!$A$1:$I$89,3,0)*0.475*44/12</f>
        <v>1.3217295141515837</v>
      </c>
      <c r="CM155" s="21">
        <f>EXP(-LN(2)/2)*CM154+(1-EXP(-LN(2)/2))/(LN(2)/2)*CG155*CJ155*VLOOKUP('Données projet'!$B$12,Paramètres!$A$1:$I$89,3,0)*0.475*44/12</f>
        <v>5.7567025789962043E-18</v>
      </c>
      <c r="CN155" s="22">
        <f t="shared" si="172"/>
        <v>1.9114025663418182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-4.9658410716801891E-14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268.31928207836495</v>
      </c>
      <c r="T156" s="59">
        <f t="shared" si="142"/>
        <v>277.61304526670204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0.18007609023759949</v>
      </c>
      <c r="AA156" s="21">
        <f>EXP(-LN(2)/25)*AA155+(1-EXP(-LN(2)/25))/(LN(2)/25)*Calculateur!V156*Calculateur!X156*VLOOKUP('Données projet'!$B$9,Paramètres!$A$1:$I$89,3,0)*0.475*44/12</f>
        <v>0.18602528642027447</v>
      </c>
      <c r="AB156" s="21">
        <f>EXP(-LN(2)/2)*AB155+(1-EXP(-LN(2)/2))/(LN(2)/2)*V156*Y156*VLOOKUP('Données projet'!$B$9,Paramètres!$A$1:$I$89,3,0)*0.475*44/12</f>
        <v>2.5034407501617264E-18</v>
      </c>
      <c r="AC156" s="22">
        <f t="shared" si="163"/>
        <v>0.36610137665787396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-1.9065282685915009E-13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544.48194192356823</v>
      </c>
      <c r="AO156" s="59">
        <f t="shared" si="144"/>
        <v>668.20427590250733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0.64249528600039107</v>
      </c>
      <c r="AV156" s="21">
        <f>EXP(-LN(2)/25)*AV155+(1-EXP(-LN(2)/25))/(LN(2)/25)*Calculateur!AQ156*Calculateur!AS156*VLOOKUP('Données projet'!$B$10,Paramètres!$A$1:$I$89,3,0)*0.475*44/12</f>
        <v>1.1799156702623848</v>
      </c>
      <c r="AW156" s="21">
        <f>EXP(-LN(2)/2)*AW155+(1-EXP(-LN(2)/2))/(LN(2)/2)*AQ156*AT156*VLOOKUP('Données projet'!$B$10,Paramètres!$A$1:$I$89,3,0)*0.475*44/12</f>
        <v>4.8852801140204594E-18</v>
      </c>
      <c r="AX156" s="21">
        <f t="shared" si="166"/>
        <v>1.8224109562627757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162.86181551380446</v>
      </c>
      <c r="BJ156" s="59">
        <f t="shared" si="146"/>
        <v>184.96823352120742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0.34669303469208512</v>
      </c>
      <c r="BQ156" s="21">
        <f>EXP(-LN(2)/25)*BQ155+(1-EXP(-LN(2)/25))/(LN(2)/25)*Calculateur!BL156*Calculateur!BN156*VLOOKUP('Données projet'!$B$11,Paramètres!$A$1:$I$89,3,0)*0.475*44/12</f>
        <v>0.10331407303931542</v>
      </c>
      <c r="BR156" s="21">
        <f>EXP(-LN(2)/2)*BR155+(1-EXP(-LN(2)/2))/(LN(2)/2)*BL156*BO156*VLOOKUP('Données projet'!$B$11,Paramètres!$A$1:$I$89,3,0)*0.475*44/12</f>
        <v>5.1193994181483371E-19</v>
      </c>
      <c r="BS156" s="22">
        <f t="shared" si="169"/>
        <v>0.45000710773140051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-3.1036506698001178E-14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207.02306964567629</v>
      </c>
      <c r="CE156" s="59">
        <f t="shared" si="148"/>
        <v>342.06887933351783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0.57810992330183197</v>
      </c>
      <c r="CL156" s="21">
        <f>EXP(-LN(2)/25)*CL155+(1-EXP(-LN(2)/25))/(LN(2)/25)*Calculateur!CG156*Calculateur!CI156*VLOOKUP('Données projet'!$B$12,Paramètres!$A$1:$I$89,3,0)*0.475*44/12</f>
        <v>1.2855867510803742</v>
      </c>
      <c r="CM156" s="21">
        <f>EXP(-LN(2)/2)*CM155+(1-EXP(-LN(2)/2))/(LN(2)/2)*CG156*CJ156*VLOOKUP('Données projet'!$B$12,Paramètres!$A$1:$I$89,3,0)*0.475*44/12</f>
        <v>4.0706034308823028E-18</v>
      </c>
      <c r="CN156" s="22">
        <f t="shared" si="172"/>
        <v>1.8636966743822061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-4.9658410716801891E-14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268.31928207836495</v>
      </c>
      <c r="T157" s="59">
        <f t="shared" si="142"/>
        <v>277.61304526670204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0.17654490794360986</v>
      </c>
      <c r="AA157" s="21">
        <f>EXP(-LN(2)/25)*AA156+(1-EXP(-LN(2)/25))/(LN(2)/25)*Calculateur!V157*Calculateur!X157*VLOOKUP('Données projet'!$B$9,Paramètres!$A$1:$I$89,3,0)*0.475*44/12</f>
        <v>0.18093841518046741</v>
      </c>
      <c r="AB157" s="21">
        <f>EXP(-LN(2)/2)*AB156+(1-EXP(-LN(2)/2))/(LN(2)/2)*V157*Y157*VLOOKUP('Données projet'!$B$9,Paramètres!$A$1:$I$89,3,0)*0.475*44/12</f>
        <v>1.7701999307380942E-18</v>
      </c>
      <c r="AC157" s="22">
        <f t="shared" si="163"/>
        <v>0.35748332312407727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-1.9065282685915009E-13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544.48194192356823</v>
      </c>
      <c r="AO157" s="59">
        <f t="shared" si="144"/>
        <v>668.20427590250733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0.62989634532535255</v>
      </c>
      <c r="AV157" s="21">
        <f>EXP(-LN(2)/25)*AV156+(1-EXP(-LN(2)/25))/(LN(2)/25)*Calculateur!AQ157*Calculateur!AS157*VLOOKUP('Données projet'!$B$10,Paramètres!$A$1:$I$89,3,0)*0.475*44/12</f>
        <v>1.1476508142099915</v>
      </c>
      <c r="AW157" s="21">
        <f>EXP(-LN(2)/2)*AW156+(1-EXP(-LN(2)/2))/(LN(2)/2)*AQ157*AT157*VLOOKUP('Données projet'!$B$10,Paramètres!$A$1:$I$89,3,0)*0.475*44/12</f>
        <v>3.4544146966196573E-18</v>
      </c>
      <c r="AX157" s="21">
        <f t="shared" si="166"/>
        <v>1.777547159535344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162.86181551380446</v>
      </c>
      <c r="BJ157" s="59">
        <f t="shared" si="146"/>
        <v>184.96823352120742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0.33989459574364439</v>
      </c>
      <c r="BQ157" s="21">
        <f>EXP(-LN(2)/25)*BQ156+(1-EXP(-LN(2)/25))/(LN(2)/25)*Calculateur!BL157*Calculateur!BN157*VLOOKUP('Données projet'!$B$11,Paramètres!$A$1:$I$89,3,0)*0.475*44/12</f>
        <v>0.10048894427900436</v>
      </c>
      <c r="BR157" s="21">
        <f>EXP(-LN(2)/2)*BR156+(1-EXP(-LN(2)/2))/(LN(2)/2)*BL157*BO157*VLOOKUP('Données projet'!$B$11,Paramètres!$A$1:$I$89,3,0)*0.475*44/12</f>
        <v>3.619962044175155E-19</v>
      </c>
      <c r="BS157" s="22">
        <f t="shared" si="169"/>
        <v>0.44038354002264873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-3.1036506698001178E-14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207.02306964567629</v>
      </c>
      <c r="CE157" s="59">
        <f t="shared" si="148"/>
        <v>342.06887933351783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0.56677354031811866</v>
      </c>
      <c r="CL157" s="21">
        <f>EXP(-LN(2)/25)*CL156+(1-EXP(-LN(2)/25))/(LN(2)/25)*Calculateur!CG157*Calculateur!CI157*VLOOKUP('Données projet'!$B$12,Paramètres!$A$1:$I$89,3,0)*0.475*44/12</f>
        <v>1.2504323137660125</v>
      </c>
      <c r="CM157" s="21">
        <f>EXP(-LN(2)/2)*CM156+(1-EXP(-LN(2)/2))/(LN(2)/2)*CG157*CJ157*VLOOKUP('Données projet'!$B$12,Paramètres!$A$1:$I$89,3,0)*0.475*44/12</f>
        <v>2.8783512894981022E-18</v>
      </c>
      <c r="CN157" s="22">
        <f t="shared" si="172"/>
        <v>1.8172058540841312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-4.9658410716801891E-14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268.31928207836495</v>
      </c>
      <c r="T158" s="59">
        <f t="shared" si="142"/>
        <v>277.61304526670204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0.17308296998059683</v>
      </c>
      <c r="AA158" s="21">
        <f>EXP(-LN(2)/25)*AA157+(1-EXP(-LN(2)/25))/(LN(2)/25)*Calculateur!V158*Calculateur!X158*VLOOKUP('Données projet'!$B$9,Paramètres!$A$1:$I$89,3,0)*0.475*44/12</f>
        <v>0.17599064470221981</v>
      </c>
      <c r="AB158" s="21">
        <f>EXP(-LN(2)/2)*AB157+(1-EXP(-LN(2)/2))/(LN(2)/2)*V158*Y158*VLOOKUP('Données projet'!$B$9,Paramètres!$A$1:$I$89,3,0)*0.475*44/12</f>
        <v>1.2517203750808632E-18</v>
      </c>
      <c r="AC158" s="22">
        <f t="shared" si="163"/>
        <v>0.34907361468281661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-1.9065282685915009E-13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544.48194192356823</v>
      </c>
      <c r="AO158" s="59">
        <f t="shared" si="144"/>
        <v>668.20427590250733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0.61754446219235659</v>
      </c>
      <c r="AV158" s="21">
        <f>EXP(-LN(2)/25)*AV157+(1-EXP(-LN(2)/25))/(LN(2)/25)*Calculateur!AQ158*Calculateur!AS158*VLOOKUP('Données projet'!$B$10,Paramètres!$A$1:$I$89,3,0)*0.475*44/12</f>
        <v>1.1162682423430859</v>
      </c>
      <c r="AW158" s="21">
        <f>EXP(-LN(2)/2)*AW157+(1-EXP(-LN(2)/2))/(LN(2)/2)*AQ158*AT158*VLOOKUP('Données projet'!$B$10,Paramètres!$A$1:$I$89,3,0)*0.475*44/12</f>
        <v>2.4426400570102301E-18</v>
      </c>
      <c r="AX158" s="21">
        <f t="shared" si="166"/>
        <v>1.7338127045354423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162.86181551380446</v>
      </c>
      <c r="BJ158" s="59">
        <f t="shared" si="146"/>
        <v>184.96823352120742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0.33322947003634423</v>
      </c>
      <c r="BQ158" s="21">
        <f>EXP(-LN(2)/25)*BQ157+(1-EXP(-LN(2)/25))/(LN(2)/25)*Calculateur!BL158*Calculateur!BN158*VLOOKUP('Données projet'!$B$11,Paramètres!$A$1:$I$89,3,0)*0.475*44/12</f>
        <v>9.7741068813211068E-2</v>
      </c>
      <c r="BR158" s="21">
        <f>EXP(-LN(2)/2)*BR157+(1-EXP(-LN(2)/2))/(LN(2)/2)*BL158*BO158*VLOOKUP('Données projet'!$B$11,Paramètres!$A$1:$I$89,3,0)*0.475*44/12</f>
        <v>2.5596997090741685E-19</v>
      </c>
      <c r="BS158" s="22">
        <f t="shared" si="169"/>
        <v>0.43097053884955527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-3.1036506698001178E-14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207.02306964567629</v>
      </c>
      <c r="CE158" s="59">
        <f t="shared" si="148"/>
        <v>342.06887933351783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0.55565945689020513</v>
      </c>
      <c r="CL158" s="21">
        <f>EXP(-LN(2)/25)*CL157+(1-EXP(-LN(2)/25))/(LN(2)/25)*Calculateur!CG158*Calculateur!CI158*VLOOKUP('Données projet'!$B$12,Paramètres!$A$1:$I$89,3,0)*0.475*44/12</f>
        <v>1.2162391763887035</v>
      </c>
      <c r="CM158" s="21">
        <f>EXP(-LN(2)/2)*CM157+(1-EXP(-LN(2)/2))/(LN(2)/2)*CG158*CJ158*VLOOKUP('Données projet'!$B$12,Paramètres!$A$1:$I$89,3,0)*0.475*44/12</f>
        <v>2.0353017154411514E-18</v>
      </c>
      <c r="CN158" s="22">
        <f t="shared" si="172"/>
        <v>1.7718986332789086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-4.9658410716801891E-14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268.31928207836495</v>
      </c>
      <c r="T159" s="59">
        <f t="shared" si="142"/>
        <v>277.61304526670204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0.16968891850946483</v>
      </c>
      <c r="AA159" s="21">
        <f>EXP(-LN(2)/25)*AA158+(1-EXP(-LN(2)/25))/(LN(2)/25)*Calculateur!V159*Calculateur!X159*VLOOKUP('Données projet'!$B$9,Paramètres!$A$1:$I$89,3,0)*0.475*44/12</f>
        <v>0.17117817126789184</v>
      </c>
      <c r="AB159" s="21">
        <f>EXP(-LN(2)/2)*AB158+(1-EXP(-LN(2)/2))/(LN(2)/2)*V159*Y159*VLOOKUP('Données projet'!$B$9,Paramètres!$A$1:$I$89,3,0)*0.475*44/12</f>
        <v>8.850999653690471E-19</v>
      </c>
      <c r="AC159" s="22">
        <f t="shared" si="163"/>
        <v>0.34086708977735669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-1.9065282685915009E-13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544.48194192356823</v>
      </c>
      <c r="AO159" s="59">
        <f t="shared" si="144"/>
        <v>668.20427590250733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0.60543479195369387</v>
      </c>
      <c r="AV159" s="21">
        <f>EXP(-LN(2)/25)*AV158+(1-EXP(-LN(2)/25))/(LN(2)/25)*Calculateur!AQ159*Calculateur!AS159*VLOOKUP('Données projet'!$B$10,Paramètres!$A$1:$I$89,3,0)*0.475*44/12</f>
        <v>1.0857438285542185</v>
      </c>
      <c r="AW159" s="21">
        <f>EXP(-LN(2)/2)*AW158+(1-EXP(-LN(2)/2))/(LN(2)/2)*AQ159*AT159*VLOOKUP('Données projet'!$B$10,Paramètres!$A$1:$I$89,3,0)*0.475*44/12</f>
        <v>1.7272073483098288E-18</v>
      </c>
      <c r="AX159" s="21">
        <f t="shared" si="166"/>
        <v>1.6911786205079125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162.86181551380446</v>
      </c>
      <c r="BJ159" s="59">
        <f t="shared" si="146"/>
        <v>184.96823352120742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0.32669504337883898</v>
      </c>
      <c r="BQ159" s="21">
        <f>EXP(-LN(2)/25)*BQ158+(1-EXP(-LN(2)/25))/(LN(2)/25)*Calculateur!BL159*Calculateur!BN159*VLOOKUP('Données projet'!$B$11,Paramètres!$A$1:$I$89,3,0)*0.475*44/12</f>
        <v>9.5068334146534386E-2</v>
      </c>
      <c r="BR159" s="21">
        <f>EXP(-LN(2)/2)*BR158+(1-EXP(-LN(2)/2))/(LN(2)/2)*BL159*BO159*VLOOKUP('Données projet'!$B$11,Paramètres!$A$1:$I$89,3,0)*0.475*44/12</f>
        <v>1.8099810220875775E-19</v>
      </c>
      <c r="BS159" s="22">
        <f t="shared" si="169"/>
        <v>0.42176337752537335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-3.1036506698001178E-14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207.02306964567629</v>
      </c>
      <c r="CE159" s="59">
        <f t="shared" si="148"/>
        <v>342.06887933351783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0.54476331385939147</v>
      </c>
      <c r="CL159" s="21">
        <f>EXP(-LN(2)/25)*CL158+(1-EXP(-LN(2)/25))/(LN(2)/25)*Calculateur!CG159*Calculateur!CI159*VLOOKUP('Données projet'!$B$12,Paramètres!$A$1:$I$89,3,0)*0.475*44/12</f>
        <v>1.1829810521511159</v>
      </c>
      <c r="CM159" s="21">
        <f>EXP(-LN(2)/2)*CM158+(1-EXP(-LN(2)/2))/(LN(2)/2)*CG159*CJ159*VLOOKUP('Données projet'!$B$12,Paramètres!$A$1:$I$89,3,0)*0.475*44/12</f>
        <v>1.4391756447490511E-18</v>
      </c>
      <c r="CN159" s="22">
        <f t="shared" si="172"/>
        <v>1.7277443660105074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-4.9658410716801891E-14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268.31928207836495</v>
      </c>
      <c r="T160" s="59">
        <f t="shared" si="142"/>
        <v>277.61304526670204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0.16636142231751475</v>
      </c>
      <c r="AA160" s="21">
        <f>EXP(-LN(2)/25)*AA159+(1-EXP(-LN(2)/25))/(LN(2)/25)*Calculateur!V160*Calculateur!X160*VLOOKUP('Données projet'!$B$9,Paramètres!$A$1:$I$89,3,0)*0.475*44/12</f>
        <v>0.16649729517270254</v>
      </c>
      <c r="AB160" s="21">
        <f>EXP(-LN(2)/2)*AB159+(1-EXP(-LN(2)/2))/(LN(2)/2)*V160*Y160*VLOOKUP('Données projet'!$B$9,Paramètres!$A$1:$I$89,3,0)*0.475*44/12</f>
        <v>6.2586018754043159E-19</v>
      </c>
      <c r="AC160" s="22">
        <f t="shared" si="163"/>
        <v>0.33285871749021728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-1.9065282685915009E-13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544.48194192356823</v>
      </c>
      <c r="AO160" s="59">
        <f t="shared" si="144"/>
        <v>668.20427590250733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0.59356258496224179</v>
      </c>
      <c r="AV160" s="21">
        <f>EXP(-LN(2)/25)*AV159+(1-EXP(-LN(2)/25))/(LN(2)/25)*Calculateur!AQ160*Calculateur!AS160*VLOOKUP('Données projet'!$B$10,Paramètres!$A$1:$I$89,3,0)*0.475*44/12</f>
        <v>1.0560541064656168</v>
      </c>
      <c r="AW160" s="21">
        <f>EXP(-LN(2)/2)*AW159+(1-EXP(-LN(2)/2))/(LN(2)/2)*AQ160*AT160*VLOOKUP('Données projet'!$B$10,Paramètres!$A$1:$I$89,3,0)*0.475*44/12</f>
        <v>1.2213200285051152E-18</v>
      </c>
      <c r="AX160" s="21">
        <f t="shared" si="166"/>
        <v>1.6496166914278585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162.86181551380446</v>
      </c>
      <c r="BJ160" s="59">
        <f t="shared" si="146"/>
        <v>184.96823352120742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0.32028875284248071</v>
      </c>
      <c r="BQ160" s="21">
        <f>EXP(-LN(2)/25)*BQ159+(1-EXP(-LN(2)/25))/(LN(2)/25)*Calculateur!BL160*Calculateur!BN160*VLOOKUP('Données projet'!$B$11,Paramètres!$A$1:$I$89,3,0)*0.475*44/12</f>
        <v>9.2468685549870991E-2</v>
      </c>
      <c r="BR160" s="21">
        <f>EXP(-LN(2)/2)*BR159+(1-EXP(-LN(2)/2))/(LN(2)/2)*BL160*BO160*VLOOKUP('Données projet'!$B$11,Paramètres!$A$1:$I$89,3,0)*0.475*44/12</f>
        <v>1.2798498545370843E-19</v>
      </c>
      <c r="BS160" s="22">
        <f t="shared" si="169"/>
        <v>0.41275743839235168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-3.1036506698001178E-14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207.02306964567629</v>
      </c>
      <c r="CE160" s="59">
        <f t="shared" si="148"/>
        <v>342.06887933351783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0.53408083754742108</v>
      </c>
      <c r="CL160" s="21">
        <f>EXP(-LN(2)/25)*CL159+(1-EXP(-LN(2)/25))/(LN(2)/25)*Calculateur!CG160*Calculateur!CI160*VLOOKUP('Données projet'!$B$12,Paramètres!$A$1:$I$89,3,0)*0.475*44/12</f>
        <v>1.1506323730697738</v>
      </c>
      <c r="CM160" s="21">
        <f>EXP(-LN(2)/2)*CM159+(1-EXP(-LN(2)/2))/(LN(2)/2)*CG160*CJ160*VLOOKUP('Données projet'!$B$12,Paramètres!$A$1:$I$89,3,0)*0.475*44/12</f>
        <v>1.0176508577205757E-18</v>
      </c>
      <c r="CN160" s="22">
        <f t="shared" si="172"/>
        <v>1.6847132106171949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-4.9658410716801891E-14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268.31928207836495</v>
      </c>
      <c r="T161" s="59">
        <f t="shared" si="142"/>
        <v>277.61304526670204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0.16309917629631651</v>
      </c>
      <c r="AA161" s="21">
        <f>EXP(-LN(2)/25)*AA160+(1-EXP(-LN(2)/25))/(LN(2)/25)*Calculateur!V161*Calculateur!X161*VLOOKUP('Données projet'!$B$9,Paramètres!$A$1:$I$89,3,0)*0.475*44/12</f>
        <v>0.16194441788049277</v>
      </c>
      <c r="AB161" s="21">
        <f>EXP(-LN(2)/2)*AB160+(1-EXP(-LN(2)/2))/(LN(2)/2)*V161*Y161*VLOOKUP('Données projet'!$B$9,Paramètres!$A$1:$I$89,3,0)*0.475*44/12</f>
        <v>4.4254998268452355E-19</v>
      </c>
      <c r="AC161" s="22">
        <f t="shared" si="163"/>
        <v>0.32504359417680928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-1.9065282685915009E-13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544.48194192356823</v>
      </c>
      <c r="AO161" s="59">
        <f t="shared" si="144"/>
        <v>668.20427590250733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0.58192318470856086</v>
      </c>
      <c r="AV161" s="21">
        <f>EXP(-LN(2)/25)*AV160+(1-EXP(-LN(2)/25))/(LN(2)/25)*Calculateur!AQ161*Calculateur!AS161*VLOOKUP('Données projet'!$B$10,Paramètres!$A$1:$I$89,3,0)*0.475*44/12</f>
        <v>1.0271762513888427</v>
      </c>
      <c r="AW161" s="21">
        <f>EXP(-LN(2)/2)*AW160+(1-EXP(-LN(2)/2))/(LN(2)/2)*AQ161*AT161*VLOOKUP('Données projet'!$B$10,Paramètres!$A$1:$I$89,3,0)*0.475*44/12</f>
        <v>8.636036741549146E-19</v>
      </c>
      <c r="AX161" s="21">
        <f t="shared" si="166"/>
        <v>1.6090994360974036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162.86181551380446</v>
      </c>
      <c r="BJ161" s="59">
        <f t="shared" si="146"/>
        <v>184.96823352120742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0.31400808575608902</v>
      </c>
      <c r="BQ161" s="21">
        <f>EXP(-LN(2)/25)*BQ160+(1-EXP(-LN(2)/25))/(LN(2)/25)*Calculateur!BL161*Calculateur!BN161*VLOOKUP('Données projet'!$B$11,Paramètres!$A$1:$I$89,3,0)*0.475*44/12</f>
        <v>8.994012448079293E-2</v>
      </c>
      <c r="BR161" s="21">
        <f>EXP(-LN(2)/2)*BR160+(1-EXP(-LN(2)/2))/(LN(2)/2)*BL161*BO161*VLOOKUP('Données projet'!$B$11,Paramètres!$A$1:$I$89,3,0)*0.475*44/12</f>
        <v>9.0499051104378874E-20</v>
      </c>
      <c r="BS161" s="22">
        <f t="shared" si="169"/>
        <v>0.40394821023688193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-3.1036506698001178E-14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207.02306964567629</v>
      </c>
      <c r="CE161" s="59">
        <f t="shared" si="148"/>
        <v>342.06887933351783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0.52360783808026123</v>
      </c>
      <c r="CL161" s="21">
        <f>EXP(-LN(2)/25)*CL160+(1-EXP(-LN(2)/25))/(LN(2)/25)*Calculateur!CG161*Calculateur!CI161*VLOOKUP('Données projet'!$B$12,Paramètres!$A$1:$I$89,3,0)*0.475*44/12</f>
        <v>1.1191682703190542</v>
      </c>
      <c r="CM161" s="21">
        <f>EXP(-LN(2)/2)*CM160+(1-EXP(-LN(2)/2))/(LN(2)/2)*CG161*CJ161*VLOOKUP('Données projet'!$B$12,Paramètres!$A$1:$I$89,3,0)*0.475*44/12</f>
        <v>7.1958782237452554E-19</v>
      </c>
      <c r="CN161" s="22">
        <f t="shared" si="172"/>
        <v>1.6427761083993153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-4.9658410716801891E-14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268.31928207836495</v>
      </c>
      <c r="T162" s="59">
        <f t="shared" si="142"/>
        <v>277.61304526670204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0.15990090092982037</v>
      </c>
      <c r="AA162" s="21">
        <f>EXP(-LN(2)/25)*AA161+(1-EXP(-LN(2)/25))/(LN(2)/25)*Calculateur!V162*Calculateur!X162*VLOOKUP('Données projet'!$B$9,Paramètres!$A$1:$I$89,3,0)*0.475*44/12</f>
        <v>0.15751603925726387</v>
      </c>
      <c r="AB162" s="21">
        <f>EXP(-LN(2)/2)*AB161+(1-EXP(-LN(2)/2))/(LN(2)/2)*V162*Y162*VLOOKUP('Données projet'!$B$9,Paramètres!$A$1:$I$89,3,0)*0.475*44/12</f>
        <v>3.1293009377021579E-19</v>
      </c>
      <c r="AC162" s="22">
        <f t="shared" si="163"/>
        <v>0.31741694018708422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-1.9065282685915009E-13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544.48194192356823</v>
      </c>
      <c r="AO162" s="59">
        <f t="shared" si="144"/>
        <v>668.20427590250733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0.57051202599452144</v>
      </c>
      <c r="AV162" s="21">
        <f>EXP(-LN(2)/25)*AV161+(1-EXP(-LN(2)/25))/(LN(2)/25)*Calculateur!AQ162*Calculateur!AS162*VLOOKUP('Données projet'!$B$10,Paramètres!$A$1:$I$89,3,0)*0.475*44/12</f>
        <v>0.99908806277776341</v>
      </c>
      <c r="AW162" s="21">
        <f>EXP(-LN(2)/2)*AW161+(1-EXP(-LN(2)/2))/(LN(2)/2)*AQ162*AT162*VLOOKUP('Données projet'!$B$10,Paramètres!$A$1:$I$89,3,0)*0.475*44/12</f>
        <v>6.1066001425255772E-19</v>
      </c>
      <c r="AX162" s="21">
        <f t="shared" si="166"/>
        <v>1.569600088772285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162.86181551380446</v>
      </c>
      <c r="BJ162" s="59">
        <f t="shared" si="146"/>
        <v>184.96823352120742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0.30785057872043281</v>
      </c>
      <c r="BQ162" s="21">
        <f>EXP(-LN(2)/25)*BQ161+(1-EXP(-LN(2)/25))/(LN(2)/25)*Calculateur!BL162*Calculateur!BN162*VLOOKUP('Données projet'!$B$11,Paramètres!$A$1:$I$89,3,0)*0.475*44/12</f>
        <v>8.7480707047120063E-2</v>
      </c>
      <c r="BR162" s="21">
        <f>EXP(-LN(2)/2)*BR161+(1-EXP(-LN(2)/2))/(LN(2)/2)*BL162*BO162*VLOOKUP('Données projet'!$B$11,Paramètres!$A$1:$I$89,3,0)*0.475*44/12</f>
        <v>6.3992492726854213E-20</v>
      </c>
      <c r="BS162" s="22">
        <f t="shared" si="169"/>
        <v>0.39533128576755289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-3.1036506698001178E-14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207.02306964567629</v>
      </c>
      <c r="CE162" s="59">
        <f t="shared" si="148"/>
        <v>342.06887933351783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0.51334020774475342</v>
      </c>
      <c r="CL162" s="21">
        <f>EXP(-LN(2)/25)*CL161+(1-EXP(-LN(2)/25))/(LN(2)/25)*Calculateur!CG162*Calculateur!CI162*VLOOKUP('Données projet'!$B$12,Paramètres!$A$1:$I$89,3,0)*0.475*44/12</f>
        <v>1.0885645551126781</v>
      </c>
      <c r="CM162" s="21">
        <f>EXP(-LN(2)/2)*CM161+(1-EXP(-LN(2)/2))/(LN(2)/2)*CG162*CJ162*VLOOKUP('Données projet'!$B$12,Paramètres!$A$1:$I$89,3,0)*0.475*44/12</f>
        <v>5.0882542886028785E-19</v>
      </c>
      <c r="CN162" s="22">
        <f t="shared" si="172"/>
        <v>1.6019047628574317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-4.9658410716801891E-14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268.31928207836495</v>
      </c>
      <c r="T163" s="59">
        <f t="shared" si="142"/>
        <v>277.61304526670204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0.15676534179250587</v>
      </c>
      <c r="AA163" s="21">
        <f>EXP(-LN(2)/25)*AA162+(1-EXP(-LN(2)/25))/(LN(2)/25)*Calculateur!V163*Calculateur!X163*VLOOKUP('Données projet'!$B$9,Paramètres!$A$1:$I$89,3,0)*0.475*44/12</f>
        <v>0.15320875488036551</v>
      </c>
      <c r="AB163" s="21">
        <f>EXP(-LN(2)/2)*AB162+(1-EXP(-LN(2)/2))/(LN(2)/2)*V163*Y163*VLOOKUP('Données projet'!$B$9,Paramètres!$A$1:$I$89,3,0)*0.475*44/12</f>
        <v>2.2127499134226178E-19</v>
      </c>
      <c r="AC163" s="22">
        <f t="shared" si="163"/>
        <v>0.30997409667287135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-1.9065282685915009E-13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544.48194192356823</v>
      </c>
      <c r="AO163" s="59">
        <f t="shared" si="144"/>
        <v>668.20427590250733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0.55932463314274472</v>
      </c>
      <c r="AV163" s="21">
        <f>EXP(-LN(2)/25)*AV162+(1-EXP(-LN(2)/25))/(LN(2)/25)*Calculateur!AQ163*Calculateur!AS163*VLOOKUP('Données projet'!$B$10,Paramètres!$A$1:$I$89,3,0)*0.475*44/12</f>
        <v>0.97176794716134773</v>
      </c>
      <c r="AW163" s="21">
        <f>EXP(-LN(2)/2)*AW162+(1-EXP(-LN(2)/2))/(LN(2)/2)*AQ163*AT163*VLOOKUP('Données projet'!$B$10,Paramètres!$A$1:$I$89,3,0)*0.475*44/12</f>
        <v>4.3180183707745735E-19</v>
      </c>
      <c r="AX163" s="21">
        <f t="shared" si="166"/>
        <v>1.5310925803040925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162.86181551380446</v>
      </c>
      <c r="BJ163" s="59">
        <f t="shared" si="146"/>
        <v>184.96823352120742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0.30181381664203738</v>
      </c>
      <c r="BQ163" s="21">
        <f>EXP(-LN(2)/25)*BQ162+(1-EXP(-LN(2)/25))/(LN(2)/25)*Calculateur!BL163*Calculateur!BN163*VLOOKUP('Données projet'!$B$11,Paramètres!$A$1:$I$89,3,0)*0.475*44/12</f>
        <v>8.5088542512506124E-2</v>
      </c>
      <c r="BR163" s="21">
        <f>EXP(-LN(2)/2)*BR162+(1-EXP(-LN(2)/2))/(LN(2)/2)*BL163*BO163*VLOOKUP('Données projet'!$B$11,Paramètres!$A$1:$I$89,3,0)*0.475*44/12</f>
        <v>4.5249525552189437E-20</v>
      </c>
      <c r="BS163" s="22">
        <f t="shared" si="169"/>
        <v>0.38690235915454352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-3.1036506698001178E-14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207.02306964567629</v>
      </c>
      <c r="CE163" s="59">
        <f t="shared" si="148"/>
        <v>342.06887933351783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0.50327391937748878</v>
      </c>
      <c r="CL163" s="21">
        <f>EXP(-LN(2)/25)*CL162+(1-EXP(-LN(2)/25))/(LN(2)/25)*Calculateur!CG163*Calculateur!CI163*VLOOKUP('Données projet'!$B$12,Paramètres!$A$1:$I$89,3,0)*0.475*44/12</f>
        <v>1.058797700108</v>
      </c>
      <c r="CM163" s="21">
        <f>EXP(-LN(2)/2)*CM162+(1-EXP(-LN(2)/2))/(LN(2)/2)*CG163*CJ163*VLOOKUP('Données projet'!$B$12,Paramètres!$A$1:$I$89,3,0)*0.475*44/12</f>
        <v>3.5979391118726277E-19</v>
      </c>
      <c r="CN163" s="22">
        <f t="shared" si="172"/>
        <v>1.5620716194854887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-4.9658410716801891E-14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268.31928207836495</v>
      </c>
      <c r="T164" s="59">
        <f t="shared" si="142"/>
        <v>277.61304526670204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0.15369126905737188</v>
      </c>
      <c r="AA164" s="21">
        <f>EXP(-LN(2)/25)*AA163+(1-EXP(-LN(2)/25))/(LN(2)/25)*Calculateur!V164*Calculateur!X164*VLOOKUP('Données projet'!$B$9,Paramètres!$A$1:$I$89,3,0)*0.475*44/12</f>
        <v>0.14901925342126365</v>
      </c>
      <c r="AB164" s="21">
        <f>EXP(-LN(2)/2)*AB163+(1-EXP(-LN(2)/2))/(LN(2)/2)*V164*Y164*VLOOKUP('Données projet'!$B$9,Paramètres!$A$1:$I$89,3,0)*0.475*44/12</f>
        <v>1.564650468851079E-19</v>
      </c>
      <c r="AC164" s="22">
        <f t="shared" si="163"/>
        <v>0.3027105224786355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-1.9065282685915009E-13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544.48194192356823</v>
      </c>
      <c r="AO164" s="59">
        <f t="shared" si="144"/>
        <v>668.20427590250733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0.54835661824115556</v>
      </c>
      <c r="AV164" s="21">
        <f>EXP(-LN(2)/25)*AV163+(1-EXP(-LN(2)/25))/(LN(2)/25)*Calculateur!AQ164*Calculateur!AS164*VLOOKUP('Données projet'!$B$10,Paramètres!$A$1:$I$89,3,0)*0.475*44/12</f>
        <v>0.94519490154316532</v>
      </c>
      <c r="AW164" s="21">
        <f>EXP(-LN(2)/2)*AW163+(1-EXP(-LN(2)/2))/(LN(2)/2)*AQ164*AT164*VLOOKUP('Données projet'!$B$10,Paramètres!$A$1:$I$89,3,0)*0.475*44/12</f>
        <v>3.0533000712627891E-19</v>
      </c>
      <c r="AX164" s="21">
        <f t="shared" si="166"/>
        <v>1.493551519784321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162.86181551380446</v>
      </c>
      <c r="BJ164" s="59">
        <f t="shared" si="146"/>
        <v>184.96823352120742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0.29589543178593797</v>
      </c>
      <c r="BQ164" s="21">
        <f>EXP(-LN(2)/25)*BQ163+(1-EXP(-LN(2)/25))/(LN(2)/25)*Calculateur!BL164*Calculateur!BN164*VLOOKUP('Données projet'!$B$11,Paramètres!$A$1:$I$89,3,0)*0.475*44/12</f>
        <v>8.2761791842889662E-2</v>
      </c>
      <c r="BR164" s="21">
        <f>EXP(-LN(2)/2)*BR163+(1-EXP(-LN(2)/2))/(LN(2)/2)*BL164*BO164*VLOOKUP('Données projet'!$B$11,Paramètres!$A$1:$I$89,3,0)*0.475*44/12</f>
        <v>3.1996246363427107E-20</v>
      </c>
      <c r="BS164" s="22">
        <f t="shared" si="169"/>
        <v>0.37865722362882764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-3.1036506698001178E-14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207.02306964567629</v>
      </c>
      <c r="CE164" s="59">
        <f t="shared" si="148"/>
        <v>342.06887933351783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0.49340502478527659</v>
      </c>
      <c r="CL164" s="21">
        <f>EXP(-LN(2)/25)*CL163+(1-EXP(-LN(2)/25))/(LN(2)/25)*Calculateur!CG164*Calculateur!CI164*VLOOKUP('Données projet'!$B$12,Paramètres!$A$1:$I$89,3,0)*0.475*44/12</f>
        <v>1.0298448213187956</v>
      </c>
      <c r="CM164" s="21">
        <f>EXP(-LN(2)/2)*CM163+(1-EXP(-LN(2)/2))/(LN(2)/2)*CG164*CJ164*VLOOKUP('Données projet'!$B$12,Paramètres!$A$1:$I$89,3,0)*0.475*44/12</f>
        <v>2.5441271443014392E-19</v>
      </c>
      <c r="CN164" s="22">
        <f t="shared" si="172"/>
        <v>1.5232498461040722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-4.9658410716801891E-14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268.31928207836495</v>
      </c>
      <c r="T165" s="59">
        <f t="shared" si="142"/>
        <v>277.61304526670204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0.15067747701357465</v>
      </c>
      <c r="AA165" s="21">
        <f>EXP(-LN(2)/25)*AA164+(1-EXP(-LN(2)/25))/(LN(2)/25)*Calculateur!V165*Calculateur!X165*VLOOKUP('Données projet'!$B$9,Paramètres!$A$1:$I$89,3,0)*0.475*44/12</f>
        <v>0.14494431409987724</v>
      </c>
      <c r="AB165" s="21">
        <f>EXP(-LN(2)/2)*AB164+(1-EXP(-LN(2)/2))/(LN(2)/2)*V165*Y165*VLOOKUP('Données projet'!$B$9,Paramètres!$A$1:$I$89,3,0)*0.475*44/12</f>
        <v>1.1063749567113089E-19</v>
      </c>
      <c r="AC165" s="22">
        <f t="shared" si="163"/>
        <v>0.29562179111345188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-1.9065282685915009E-13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544.48194192356823</v>
      </c>
      <c r="AO165" s="59">
        <f t="shared" si="144"/>
        <v>668.20427590250733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0.53760367942195797</v>
      </c>
      <c r="AV165" s="21">
        <f>EXP(-LN(2)/25)*AV164+(1-EXP(-LN(2)/25))/(LN(2)/25)*Calculateur!AQ165*Calculateur!AS165*VLOOKUP('Données projet'!$B$10,Paramètres!$A$1:$I$89,3,0)*0.475*44/12</f>
        <v>0.91934849725482781</v>
      </c>
      <c r="AW165" s="21">
        <f>EXP(-LN(2)/2)*AW164+(1-EXP(-LN(2)/2))/(LN(2)/2)*AQ165*AT165*VLOOKUP('Données projet'!$B$10,Paramètres!$A$1:$I$89,3,0)*0.475*44/12</f>
        <v>2.159009185387287E-19</v>
      </c>
      <c r="AX165" s="21">
        <f t="shared" si="166"/>
        <v>1.4569521766767859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162.86181551380446</v>
      </c>
      <c r="BJ165" s="59">
        <f t="shared" si="146"/>
        <v>184.96823352120742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0.29009310284700834</v>
      </c>
      <c r="BQ165" s="21">
        <f>EXP(-LN(2)/25)*BQ164+(1-EXP(-LN(2)/25))/(LN(2)/25)*Calculateur!BL165*Calculateur!BN165*VLOOKUP('Données projet'!$B$11,Paramètres!$A$1:$I$89,3,0)*0.475*44/12</f>
        <v>8.0498666292692367E-2</v>
      </c>
      <c r="BR165" s="21">
        <f>EXP(-LN(2)/2)*BR164+(1-EXP(-LN(2)/2))/(LN(2)/2)*BL165*BO165*VLOOKUP('Données projet'!$B$11,Paramètres!$A$1:$I$89,3,0)*0.475*44/12</f>
        <v>2.2624762776094718E-20</v>
      </c>
      <c r="BS165" s="22">
        <f t="shared" si="169"/>
        <v>0.37059176913970071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-3.1036506698001178E-14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207.02306964567629</v>
      </c>
      <c r="CE165" s="59">
        <f t="shared" si="148"/>
        <v>342.06887933351783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0.48372965319658634</v>
      </c>
      <c r="CL165" s="21">
        <f>EXP(-LN(2)/25)*CL164+(1-EXP(-LN(2)/25))/(LN(2)/25)*Calculateur!CG165*Calculateur!CI165*VLOOKUP('Données projet'!$B$12,Paramètres!$A$1:$I$89,3,0)*0.475*44/12</f>
        <v>1.0016836605226478</v>
      </c>
      <c r="CM165" s="21">
        <f>EXP(-LN(2)/2)*CM164+(1-EXP(-LN(2)/2))/(LN(2)/2)*CG165*CJ165*VLOOKUP('Données projet'!$B$12,Paramètres!$A$1:$I$89,3,0)*0.475*44/12</f>
        <v>1.7989695559363138E-19</v>
      </c>
      <c r="CN165" s="22">
        <f t="shared" si="172"/>
        <v>1.485413313719234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-4.9658410716801891E-14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268.31928207836495</v>
      </c>
      <c r="T166" s="59">
        <f t="shared" si="142"/>
        <v>277.61304526670204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0.14772278359352464</v>
      </c>
      <c r="AA166" s="21">
        <f>EXP(-LN(2)/25)*AA165+(1-EXP(-LN(2)/25))/(LN(2)/25)*Calculateur!V166*Calculateur!X166*VLOOKUP('Données projet'!$B$9,Paramètres!$A$1:$I$89,3,0)*0.475*44/12</f>
        <v>0.14098080420852588</v>
      </c>
      <c r="AB166" s="21">
        <f>EXP(-LN(2)/2)*AB165+(1-EXP(-LN(2)/2))/(LN(2)/2)*V166*Y166*VLOOKUP('Données projet'!$B$9,Paramètres!$A$1:$I$89,3,0)*0.475*44/12</f>
        <v>7.8232523442553948E-20</v>
      </c>
      <c r="AC166" s="22">
        <f t="shared" si="163"/>
        <v>0.28870358780205052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-1.9065282685915009E-13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544.48194192356823</v>
      </c>
      <c r="AO166" s="59">
        <f t="shared" si="144"/>
        <v>668.20427590250733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0.5270615991743598</v>
      </c>
      <c r="AV166" s="21">
        <f>EXP(-LN(2)/25)*AV165+(1-EXP(-LN(2)/25))/(LN(2)/25)*Calculateur!AQ166*Calculateur!AS166*VLOOKUP('Données projet'!$B$10,Paramètres!$A$1:$I$89,3,0)*0.475*44/12</f>
        <v>0.89420886425095825</v>
      </c>
      <c r="AW166" s="21">
        <f>EXP(-LN(2)/2)*AW165+(1-EXP(-LN(2)/2))/(LN(2)/2)*AQ166*AT166*VLOOKUP('Données projet'!$B$10,Paramètres!$A$1:$I$89,3,0)*0.475*44/12</f>
        <v>1.5266500356313948E-19</v>
      </c>
      <c r="AX166" s="21">
        <f t="shared" si="166"/>
        <v>1.4212704634253179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162.86181551380446</v>
      </c>
      <c r="BJ166" s="59">
        <f t="shared" si="146"/>
        <v>184.96823352120742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0.28440455403949993</v>
      </c>
      <c r="BQ166" s="21">
        <f>EXP(-LN(2)/25)*BQ165+(1-EXP(-LN(2)/25))/(LN(2)/25)*Calculateur!BL166*Calculateur!BN166*VLOOKUP('Données projet'!$B$11,Paramètres!$A$1:$I$89,3,0)*0.475*44/12</f>
        <v>7.8297426029677819E-2</v>
      </c>
      <c r="BR166" s="21">
        <f>EXP(-LN(2)/2)*BR165+(1-EXP(-LN(2)/2))/(LN(2)/2)*BL166*BO166*VLOOKUP('Données projet'!$B$11,Paramètres!$A$1:$I$89,3,0)*0.475*44/12</f>
        <v>1.5998123181713553E-20</v>
      </c>
      <c r="BS166" s="22">
        <f t="shared" si="169"/>
        <v>0.36270198006917775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-3.1036506698001178E-14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207.02306964567629</v>
      </c>
      <c r="CE166" s="59">
        <f t="shared" si="148"/>
        <v>342.06887933351783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0.47424400974335634</v>
      </c>
      <c r="CL166" s="21">
        <f>EXP(-LN(2)/25)*CL165+(1-EXP(-LN(2)/25))/(LN(2)/25)*Calculateur!CG166*Calculateur!CI166*VLOOKUP('Données projet'!$B$12,Paramètres!$A$1:$I$89,3,0)*0.475*44/12</f>
        <v>0.97429256814940168</v>
      </c>
      <c r="CM166" s="21">
        <f>EXP(-LN(2)/2)*CM165+(1-EXP(-LN(2)/2))/(LN(2)/2)*CG166*CJ166*VLOOKUP('Données projet'!$B$12,Paramètres!$A$1:$I$89,3,0)*0.475*44/12</f>
        <v>1.2720635721507196E-19</v>
      </c>
      <c r="CN166" s="22">
        <f t="shared" si="172"/>
        <v>1.4485365778927579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-4.9658410716801891E-14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268.31928207836495</v>
      </c>
      <c r="T167" s="59">
        <f t="shared" si="142"/>
        <v>277.61304526670204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0.14482602990925678</v>
      </c>
      <c r="AA167" s="21">
        <f>EXP(-LN(2)/25)*AA166+(1-EXP(-LN(2)/25))/(LN(2)/25)*Calculateur!V167*Calculateur!X167*VLOOKUP('Données projet'!$B$9,Paramètres!$A$1:$I$89,3,0)*0.475*44/12</f>
        <v>0.13712567670358547</v>
      </c>
      <c r="AB167" s="21">
        <f>EXP(-LN(2)/2)*AB166+(1-EXP(-LN(2)/2))/(LN(2)/2)*V167*Y167*VLOOKUP('Données projet'!$B$9,Paramètres!$A$1:$I$89,3,0)*0.475*44/12</f>
        <v>5.5318747835565444E-20</v>
      </c>
      <c r="AC167" s="22">
        <f t="shared" si="163"/>
        <v>0.28195170661284225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-1.9065282685915009E-13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544.48194192356823</v>
      </c>
      <c r="AO167" s="59">
        <f t="shared" si="144"/>
        <v>668.20427590250733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0.51672624269038303</v>
      </c>
      <c r="AV167" s="21">
        <f>EXP(-LN(2)/25)*AV166+(1-EXP(-LN(2)/25))/(LN(2)/25)*Calculateur!AQ167*Calculateur!AS167*VLOOKUP('Données projet'!$B$10,Paramètres!$A$1:$I$89,3,0)*0.475*44/12</f>
        <v>0.86975667583361538</v>
      </c>
      <c r="AW167" s="21">
        <f>EXP(-LN(2)/2)*AW166+(1-EXP(-LN(2)/2))/(LN(2)/2)*AQ167*AT167*VLOOKUP('Données projet'!$B$10,Paramètres!$A$1:$I$89,3,0)*0.475*44/12</f>
        <v>1.0795045926936437E-19</v>
      </c>
      <c r="AX167" s="21">
        <f t="shared" si="166"/>
        <v>1.3864829185239984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162.86181551380446</v>
      </c>
      <c r="BJ167" s="59">
        <f t="shared" si="146"/>
        <v>184.96823352120742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0.27882755420443461</v>
      </c>
      <c r="BQ167" s="21">
        <f>EXP(-LN(2)/25)*BQ166+(1-EXP(-LN(2)/25))/(LN(2)/25)*Calculateur!BL167*Calculateur!BN167*VLOOKUP('Données projet'!$B$11,Paramètres!$A$1:$I$89,3,0)*0.475*44/12</f>
        <v>7.615637879741359E-2</v>
      </c>
      <c r="BR167" s="21">
        <f>EXP(-LN(2)/2)*BR166+(1-EXP(-LN(2)/2))/(LN(2)/2)*BL167*BO167*VLOOKUP('Données projet'!$B$11,Paramètres!$A$1:$I$89,3,0)*0.475*44/12</f>
        <v>1.1312381388047359E-20</v>
      </c>
      <c r="BS167" s="22">
        <f t="shared" si="169"/>
        <v>0.35498393300184822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-3.1036506698001178E-14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207.02306964567629</v>
      </c>
      <c r="CE167" s="59">
        <f t="shared" si="148"/>
        <v>342.06887933351783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0.46494437397257299</v>
      </c>
      <c r="CL167" s="21">
        <f>EXP(-LN(2)/25)*CL166+(1-EXP(-LN(2)/25))/(LN(2)/25)*Calculateur!CG167*Calculateur!CI167*VLOOKUP('Données projet'!$B$12,Paramètres!$A$1:$I$89,3,0)*0.475*44/12</f>
        <v>0.94765048663753693</v>
      </c>
      <c r="CM167" s="21">
        <f>EXP(-LN(2)/2)*CM166+(1-EXP(-LN(2)/2))/(LN(2)/2)*CG167*CJ167*VLOOKUP('Données projet'!$B$12,Paramètres!$A$1:$I$89,3,0)*0.475*44/12</f>
        <v>8.9948477796815692E-20</v>
      </c>
      <c r="CN167" s="22">
        <f t="shared" si="172"/>
        <v>1.41259486061011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-4.9658410716801891E-14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268.31928207836495</v>
      </c>
      <c r="T168" s="59">
        <f t="shared" si="142"/>
        <v>277.61304526670204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0.14198607979789213</v>
      </c>
      <c r="AA168" s="21">
        <f>EXP(-LN(2)/25)*AA167+(1-EXP(-LN(2)/25))/(LN(2)/25)*Calculateur!V168*Calculateur!X168*VLOOKUP('Données projet'!$B$9,Paramètres!$A$1:$I$89,3,0)*0.475*44/12</f>
        <v>0.13337596786299999</v>
      </c>
      <c r="AB168" s="21">
        <f>EXP(-LN(2)/2)*AB167+(1-EXP(-LN(2)/2))/(LN(2)/2)*V168*Y168*VLOOKUP('Données projet'!$B$9,Paramètres!$A$1:$I$89,3,0)*0.475*44/12</f>
        <v>3.9116261721276974E-20</v>
      </c>
      <c r="AC168" s="22">
        <f t="shared" si="163"/>
        <v>0.27536204766089212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-1.9065282685915009E-13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544.48194192356823</v>
      </c>
      <c r="AO168" s="59">
        <f t="shared" si="144"/>
        <v>668.20427590250733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0.50659355624311198</v>
      </c>
      <c r="AV168" s="21">
        <f>EXP(-LN(2)/25)*AV167+(1-EXP(-LN(2)/25))/(LN(2)/25)*Calculateur!AQ168*Calculateur!AS168*VLOOKUP('Données projet'!$B$10,Paramètres!$A$1:$I$89,3,0)*0.475*44/12</f>
        <v>0.8459731337944294</v>
      </c>
      <c r="AW168" s="21">
        <f>EXP(-LN(2)/2)*AW167+(1-EXP(-LN(2)/2))/(LN(2)/2)*AQ168*AT168*VLOOKUP('Données projet'!$B$10,Paramètres!$A$1:$I$89,3,0)*0.475*44/12</f>
        <v>7.6332501781569751E-20</v>
      </c>
      <c r="AX168" s="21">
        <f t="shared" si="166"/>
        <v>1.3525666900375413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162.86181551380446</v>
      </c>
      <c r="BJ168" s="59">
        <f t="shared" si="146"/>
        <v>184.96823352120742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0.27335991593450087</v>
      </c>
      <c r="BQ168" s="21">
        <f>EXP(-LN(2)/25)*BQ167+(1-EXP(-LN(2)/25))/(LN(2)/25)*Calculateur!BL168*Calculateur!BN168*VLOOKUP('Données projet'!$B$11,Paramètres!$A$1:$I$89,3,0)*0.475*44/12</f>
        <v>7.4073878614308419E-2</v>
      </c>
      <c r="BR168" s="21">
        <f>EXP(-LN(2)/2)*BR167+(1-EXP(-LN(2)/2))/(LN(2)/2)*BL168*BO168*VLOOKUP('Données projet'!$B$11,Paramètres!$A$1:$I$89,3,0)*0.475*44/12</f>
        <v>7.9990615908567767E-21</v>
      </c>
      <c r="BS168" s="22">
        <f t="shared" si="169"/>
        <v>0.34743379454880929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-3.1036506698001178E-14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207.02306964567629</v>
      </c>
      <c r="CE168" s="59">
        <f t="shared" si="148"/>
        <v>342.06887933351783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0.45582709838703694</v>
      </c>
      <c r="CL168" s="21">
        <f>EXP(-LN(2)/25)*CL167+(1-EXP(-LN(2)/25))/(LN(2)/25)*Calculateur!CG168*Calculateur!CI168*VLOOKUP('Données projet'!$B$12,Paramètres!$A$1:$I$89,3,0)*0.475*44/12</f>
        <v>0.92173693424566028</v>
      </c>
      <c r="CM168" s="21">
        <f>EXP(-LN(2)/2)*CM167+(1-EXP(-LN(2)/2))/(LN(2)/2)*CG168*CJ168*VLOOKUP('Données projet'!$B$12,Paramètres!$A$1:$I$89,3,0)*0.475*44/12</f>
        <v>6.3603178607535981E-20</v>
      </c>
      <c r="CN168" s="22">
        <f t="shared" si="172"/>
        <v>1.3775640326326972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-4.9658410716801891E-14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268.31928207836495</v>
      </c>
      <c r="T169" s="59">
        <f t="shared" si="142"/>
        <v>277.61304526670204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0.13920181937601281</v>
      </c>
      <c r="AA169" s="21">
        <f>EXP(-LN(2)/25)*AA168+(1-EXP(-LN(2)/25))/(LN(2)/25)*Calculateur!V169*Calculateur!X169*VLOOKUP('Données projet'!$B$9,Paramètres!$A$1:$I$89,3,0)*0.475*44/12</f>
        <v>0.12972879500784895</v>
      </c>
      <c r="AB169" s="21">
        <f>EXP(-LN(2)/2)*AB168+(1-EXP(-LN(2)/2))/(LN(2)/2)*V169*Y169*VLOOKUP('Données projet'!$B$9,Paramètres!$A$1:$I$89,3,0)*0.475*44/12</f>
        <v>2.7659373917782722E-20</v>
      </c>
      <c r="AC169" s="22">
        <f t="shared" si="163"/>
        <v>0.26893061438386179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-1.9065282685915009E-13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544.48194192356823</v>
      </c>
      <c r="AO169" s="59">
        <f t="shared" si="144"/>
        <v>668.20427590250733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0.49665956559674346</v>
      </c>
      <c r="AV169" s="21">
        <f>EXP(-LN(2)/25)*AV168+(1-EXP(-LN(2)/25))/(LN(2)/25)*Calculateur!AQ169*Calculateur!AS169*VLOOKUP('Données projet'!$B$10,Paramètres!$A$1:$I$89,3,0)*0.475*44/12</f>
        <v>0.82283995396302712</v>
      </c>
      <c r="AW169" s="21">
        <f>EXP(-LN(2)/2)*AW168+(1-EXP(-LN(2)/2))/(LN(2)/2)*AQ169*AT169*VLOOKUP('Données projet'!$B$10,Paramètres!$A$1:$I$89,3,0)*0.475*44/12</f>
        <v>5.3975229634682193E-20</v>
      </c>
      <c r="AX169" s="21">
        <f t="shared" si="166"/>
        <v>1.3194995195597705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162.86181551380446</v>
      </c>
      <c r="BJ169" s="59">
        <f t="shared" si="146"/>
        <v>184.96823352120742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0.26799949471611051</v>
      </c>
      <c r="BQ169" s="21">
        <f>EXP(-LN(2)/25)*BQ168+(1-EXP(-LN(2)/25))/(LN(2)/25)*Calculateur!BL169*Calculateur!BN169*VLOOKUP('Données projet'!$B$11,Paramètres!$A$1:$I$89,3,0)*0.475*44/12</f>
        <v>7.2048324508224182E-2</v>
      </c>
      <c r="BR169" s="21">
        <f>EXP(-LN(2)/2)*BR168+(1-EXP(-LN(2)/2))/(LN(2)/2)*BL169*BO169*VLOOKUP('Données projet'!$B$11,Paramètres!$A$1:$I$89,3,0)*0.475*44/12</f>
        <v>5.6561906940236796E-21</v>
      </c>
      <c r="BS169" s="22">
        <f t="shared" si="169"/>
        <v>0.34004781922433469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-3.1036506698001178E-14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207.02306964567629</v>
      </c>
      <c r="CE169" s="59">
        <f t="shared" si="148"/>
        <v>342.06887933351783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0.44688860701474425</v>
      </c>
      <c r="CL169" s="21">
        <f>EXP(-LN(2)/25)*CL168+(1-EXP(-LN(2)/25))/(LN(2)/25)*Calculateur!CG169*Calculateur!CI169*VLOOKUP('Données projet'!$B$12,Paramètres!$A$1:$I$89,3,0)*0.475*44/12</f>
        <v>0.89653198930667399</v>
      </c>
      <c r="CM169" s="21">
        <f>EXP(-LN(2)/2)*CM168+(1-EXP(-LN(2)/2))/(LN(2)/2)*CG169*CJ169*VLOOKUP('Données projet'!$B$12,Paramètres!$A$1:$I$89,3,0)*0.475*44/12</f>
        <v>4.4974238898407846E-20</v>
      </c>
      <c r="CN169" s="22">
        <f t="shared" si="172"/>
        <v>1.3434205963214183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-4.9658410716801891E-14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268.31928207836495</v>
      </c>
      <c r="T170" s="59">
        <f t="shared" si="142"/>
        <v>277.61304526670204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0.13647215660277537</v>
      </c>
      <c r="AA170" s="21">
        <f>EXP(-LN(2)/25)*AA169+(1-EXP(-LN(2)/25))/(LN(2)/25)*Calculateur!V170*Calculateur!X170*VLOOKUP('Données projet'!$B$9,Paramètres!$A$1:$I$89,3,0)*0.475*44/12</f>
        <v>0.12618135428621849</v>
      </c>
      <c r="AB170" s="21">
        <f>EXP(-LN(2)/2)*AB169+(1-EXP(-LN(2)/2))/(LN(2)/2)*V170*Y170*VLOOKUP('Données projet'!$B$9,Paramètres!$A$1:$I$89,3,0)*0.475*44/12</f>
        <v>1.9558130860638487E-20</v>
      </c>
      <c r="AC170" s="22">
        <f t="shared" si="163"/>
        <v>0.26265351088899386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-1.9065282685915009E-13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544.48194192356823</v>
      </c>
      <c r="AO170" s="59">
        <f t="shared" si="144"/>
        <v>668.20427590250733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0.48692037444781422</v>
      </c>
      <c r="AV170" s="21">
        <f>EXP(-LN(2)/25)*AV169+(1-EXP(-LN(2)/25))/(LN(2)/25)*Calculateur!AQ170*Calculateur!AS170*VLOOKUP('Données projet'!$B$10,Paramètres!$A$1:$I$89,3,0)*0.475*44/12</f>
        <v>0.80033935215063556</v>
      </c>
      <c r="AW170" s="21">
        <f>EXP(-LN(2)/2)*AW169+(1-EXP(-LN(2)/2))/(LN(2)/2)*AQ170*AT170*VLOOKUP('Données projet'!$B$10,Paramètres!$A$1:$I$89,3,0)*0.475*44/12</f>
        <v>3.8166250890784881E-20</v>
      </c>
      <c r="AX170" s="21">
        <f t="shared" si="166"/>
        <v>1.2872597265984498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162.86181551380446</v>
      </c>
      <c r="BJ170" s="59">
        <f t="shared" si="146"/>
        <v>184.96823352120742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0.26274418808827865</v>
      </c>
      <c r="BQ170" s="21">
        <f>EXP(-LN(2)/25)*BQ169+(1-EXP(-LN(2)/25))/(LN(2)/25)*Calculateur!BL170*Calculateur!BN170*VLOOKUP('Données projet'!$B$11,Paramètres!$A$1:$I$89,3,0)*0.475*44/12</f>
        <v>7.007815928569007E-2</v>
      </c>
      <c r="BR170" s="21">
        <f>EXP(-LN(2)/2)*BR169+(1-EXP(-LN(2)/2))/(LN(2)/2)*BL170*BO170*VLOOKUP('Données projet'!$B$11,Paramètres!$A$1:$I$89,3,0)*0.475*44/12</f>
        <v>3.9995307954283883E-21</v>
      </c>
      <c r="BS170" s="22">
        <f t="shared" si="169"/>
        <v>0.33282234737396871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-3.1036506698001178E-14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207.02306964567629</v>
      </c>
      <c r="CE170" s="59">
        <f t="shared" si="148"/>
        <v>342.06887933351783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0.43812539400632083</v>
      </c>
      <c r="CL170" s="21">
        <f>EXP(-LN(2)/25)*CL169+(1-EXP(-LN(2)/25))/(LN(2)/25)*Calculateur!CG170*Calculateur!CI170*VLOOKUP('Données projet'!$B$12,Paramètres!$A$1:$I$89,3,0)*0.475*44/12</f>
        <v>0.87201627491251477</v>
      </c>
      <c r="CM170" s="21">
        <f>EXP(-LN(2)/2)*CM169+(1-EXP(-LN(2)/2))/(LN(2)/2)*CG170*CJ170*VLOOKUP('Données projet'!$B$12,Paramètres!$A$1:$I$89,3,0)*0.475*44/12</f>
        <v>3.180158930376799E-20</v>
      </c>
      <c r="CN170" s="22">
        <f t="shared" si="172"/>
        <v>1.3101416689188357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-4.9658410716801891E-14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268.31928207836495</v>
      </c>
      <c r="T171" s="59">
        <f t="shared" si="142"/>
        <v>277.61304526670204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0.13379602085159123</v>
      </c>
      <c r="AA171" s="21">
        <f>EXP(-LN(2)/25)*AA170+(1-EXP(-LN(2)/25))/(LN(2)/25)*Calculateur!V171*Calculateur!X171*VLOOKUP('Données projet'!$B$9,Paramètres!$A$1:$I$89,3,0)*0.475*44/12</f>
        <v>0.12273091851767282</v>
      </c>
      <c r="AB171" s="21">
        <f>EXP(-LN(2)/2)*AB170+(1-EXP(-LN(2)/2))/(LN(2)/2)*V171*Y171*VLOOKUP('Données projet'!$B$9,Paramètres!$A$1:$I$89,3,0)*0.475*44/12</f>
        <v>1.3829686958891361E-20</v>
      </c>
      <c r="AC171" s="22">
        <f t="shared" si="163"/>
        <v>0.25652693936926407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-1.9065282685915009E-13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544.48194192356823</v>
      </c>
      <c r="AO171" s="59">
        <f t="shared" si="144"/>
        <v>668.20427590250733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0.47737216289699547</v>
      </c>
      <c r="AV171" s="21">
        <f>EXP(-LN(2)/25)*AV170+(1-EXP(-LN(2)/25))/(LN(2)/25)*Calculateur!AQ171*Calculateur!AS171*VLOOKUP('Données projet'!$B$10,Paramètres!$A$1:$I$89,3,0)*0.475*44/12</f>
        <v>0.77845403047805906</v>
      </c>
      <c r="AW171" s="21">
        <f>EXP(-LN(2)/2)*AW170+(1-EXP(-LN(2)/2))/(LN(2)/2)*AQ171*AT171*VLOOKUP('Données projet'!$B$10,Paramètres!$A$1:$I$89,3,0)*0.475*44/12</f>
        <v>2.6987614817341102E-20</v>
      </c>
      <c r="AX171" s="21">
        <f t="shared" si="166"/>
        <v>1.2558261933750545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162.86181551380446</v>
      </c>
      <c r="BJ171" s="59">
        <f t="shared" si="146"/>
        <v>184.96823352120742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0.25759193481799808</v>
      </c>
      <c r="BQ171" s="21">
        <f>EXP(-LN(2)/25)*BQ170+(1-EXP(-LN(2)/25))/(LN(2)/25)*Calculateur!BL171*Calculateur!BN171*VLOOKUP('Données projet'!$B$11,Paramètres!$A$1:$I$89,3,0)*0.475*44/12</f>
        <v>6.8161868334772641E-2</v>
      </c>
      <c r="BR171" s="21">
        <f>EXP(-LN(2)/2)*BR170+(1-EXP(-LN(2)/2))/(LN(2)/2)*BL171*BO171*VLOOKUP('Données projet'!$B$11,Paramètres!$A$1:$I$89,3,0)*0.475*44/12</f>
        <v>2.8280953470118398E-21</v>
      </c>
      <c r="BS171" s="22">
        <f t="shared" si="169"/>
        <v>0.32575380315277069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-3.1036506698001178E-14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207.02306964567629</v>
      </c>
      <c r="CE171" s="59">
        <f t="shared" si="148"/>
        <v>342.06887933351783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0.42953402225996046</v>
      </c>
      <c r="CL171" s="21">
        <f>EXP(-LN(2)/25)*CL170+(1-EXP(-LN(2)/25))/(LN(2)/25)*Calculateur!CG171*Calculateur!CI171*VLOOKUP('Données projet'!$B$12,Paramètres!$A$1:$I$89,3,0)*0.475*44/12</f>
        <v>0.84817094401768922</v>
      </c>
      <c r="CM171" s="21">
        <f>EXP(-LN(2)/2)*CM170+(1-EXP(-LN(2)/2))/(LN(2)/2)*CG171*CJ171*VLOOKUP('Données projet'!$B$12,Paramètres!$A$1:$I$89,3,0)*0.475*44/12</f>
        <v>2.2487119449203923E-20</v>
      </c>
      <c r="CN171" s="22">
        <f t="shared" si="172"/>
        <v>1.2777049662776496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-4.9658410716801891E-14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268.31928207836495</v>
      </c>
      <c r="T172" s="59">
        <f t="shared" si="142"/>
        <v>277.61304526670204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0.13117236249020617</v>
      </c>
      <c r="AA172" s="21">
        <f>EXP(-LN(2)/25)*AA171+(1-EXP(-LN(2)/25))/(LN(2)/25)*Calculateur!V172*Calculateur!X172*VLOOKUP('Données projet'!$B$9,Paramètres!$A$1:$I$89,3,0)*0.475*44/12</f>
        <v>0.11937483509666855</v>
      </c>
      <c r="AB172" s="21">
        <f>EXP(-LN(2)/2)*AB171+(1-EXP(-LN(2)/2))/(LN(2)/2)*V172*Y172*VLOOKUP('Données projet'!$B$9,Paramètres!$A$1:$I$89,3,0)*0.475*44/12</f>
        <v>9.7790654303192436E-21</v>
      </c>
      <c r="AC172" s="22">
        <f t="shared" si="163"/>
        <v>0.25054719758687471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-1.9065282685915009E-13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544.48194192356823</v>
      </c>
      <c r="AO172" s="59">
        <f t="shared" si="144"/>
        <v>668.20427590250733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0.46801118595085428</v>
      </c>
      <c r="AV172" s="21">
        <f>EXP(-LN(2)/25)*AV171+(1-EXP(-LN(2)/25))/(LN(2)/25)*Calculateur!AQ172*Calculateur!AS172*VLOOKUP('Données projet'!$B$10,Paramètres!$A$1:$I$89,3,0)*0.475*44/12</f>
        <v>0.75716716407751827</v>
      </c>
      <c r="AW172" s="21">
        <f>EXP(-LN(2)/2)*AW171+(1-EXP(-LN(2)/2))/(LN(2)/2)*AQ172*AT172*VLOOKUP('Données projet'!$B$10,Paramètres!$A$1:$I$89,3,0)*0.475*44/12</f>
        <v>1.9083125445392444E-20</v>
      </c>
      <c r="AX172" s="21">
        <f t="shared" si="166"/>
        <v>1.2251783500283726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162.86181551380446</v>
      </c>
      <c r="BJ172" s="59">
        <f t="shared" si="146"/>
        <v>184.96823352120742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0.25254071409178352</v>
      </c>
      <c r="BQ172" s="21">
        <f>EXP(-LN(2)/25)*BQ171+(1-EXP(-LN(2)/25))/(LN(2)/25)*Calculateur!BL172*Calculateur!BN172*VLOOKUP('Données projet'!$B$11,Paramètres!$A$1:$I$89,3,0)*0.475*44/12</f>
        <v>6.6297978460681417E-2</v>
      </c>
      <c r="BR172" s="21">
        <f>EXP(-LN(2)/2)*BR171+(1-EXP(-LN(2)/2))/(LN(2)/2)*BL172*BO172*VLOOKUP('Données projet'!$B$11,Paramètres!$A$1:$I$89,3,0)*0.475*44/12</f>
        <v>1.9997653977141942E-21</v>
      </c>
      <c r="BS172" s="22">
        <f t="shared" si="169"/>
        <v>0.31883869255246494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-3.1036506698001178E-14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207.02306964567629</v>
      </c>
      <c r="CE172" s="59">
        <f t="shared" si="148"/>
        <v>342.06887933351783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0.42111112207332685</v>
      </c>
      <c r="CL172" s="21">
        <f>EXP(-LN(2)/25)*CL171+(1-EXP(-LN(2)/25))/(LN(2)/25)*Calculateur!CG172*Calculateur!CI172*VLOOKUP('Données projet'!$B$12,Paramètres!$A$1:$I$89,3,0)*0.475*44/12</f>
        <v>0.82497766495015412</v>
      </c>
      <c r="CM172" s="21">
        <f>EXP(-LN(2)/2)*CM171+(1-EXP(-LN(2)/2))/(LN(2)/2)*CG172*CJ172*VLOOKUP('Données projet'!$B$12,Paramètres!$A$1:$I$89,3,0)*0.475*44/12</f>
        <v>1.5900794651883995E-20</v>
      </c>
      <c r="CN172" s="22">
        <f t="shared" si="172"/>
        <v>1.2460887870234809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-4.9658410716801891E-14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268.31928207836495</v>
      </c>
      <c r="T173" s="59">
        <f t="shared" si="142"/>
        <v>277.61304526670204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0.12860015246901429</v>
      </c>
      <c r="AA173" s="21">
        <f>EXP(-LN(2)/25)*AA172+(1-EXP(-LN(2)/25))/(LN(2)/25)*Calculateur!V173*Calculateur!X173*VLOOKUP('Données projet'!$B$9,Paramètres!$A$1:$I$89,3,0)*0.475*44/12</f>
        <v>0.1161105239533004</v>
      </c>
      <c r="AB173" s="21">
        <f>EXP(-LN(2)/2)*AB172+(1-EXP(-LN(2)/2))/(LN(2)/2)*V173*Y173*VLOOKUP('Données projet'!$B$9,Paramètres!$A$1:$I$89,3,0)*0.475*44/12</f>
        <v>6.9148434794456805E-21</v>
      </c>
      <c r="AC173" s="22">
        <f t="shared" si="163"/>
        <v>0.2447106764223147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-1.9065282685915009E-13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544.48194192356823</v>
      </c>
      <c r="AO173" s="59">
        <f t="shared" si="144"/>
        <v>668.20427590250733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0.45883377205299475</v>
      </c>
      <c r="AV173" s="21">
        <f>EXP(-LN(2)/25)*AV172+(1-EXP(-LN(2)/25))/(LN(2)/25)*Calculateur!AQ173*Calculateur!AS173*VLOOKUP('Données projet'!$B$10,Paramètres!$A$1:$I$89,3,0)*0.475*44/12</f>
        <v>0.73646238815812792</v>
      </c>
      <c r="AW173" s="21">
        <f>EXP(-LN(2)/2)*AW172+(1-EXP(-LN(2)/2))/(LN(2)/2)*AQ173*AT173*VLOOKUP('Données projet'!$B$10,Paramètres!$A$1:$I$89,3,0)*0.475*44/12</f>
        <v>1.3493807408670553E-20</v>
      </c>
      <c r="AX173" s="21">
        <f t="shared" si="166"/>
        <v>1.1952961602111227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162.86181551380446</v>
      </c>
      <c r="BJ173" s="59">
        <f t="shared" si="146"/>
        <v>184.96823352120742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0.2475885447230696</v>
      </c>
      <c r="BQ173" s="21">
        <f>EXP(-LN(2)/25)*BQ172+(1-EXP(-LN(2)/25))/(LN(2)/25)*Calculateur!BL173*Calculateur!BN173*VLOOKUP('Données projet'!$B$11,Paramètres!$A$1:$I$89,3,0)*0.475*44/12</f>
        <v>6.448505675321492E-2</v>
      </c>
      <c r="BR173" s="21">
        <f>EXP(-LN(2)/2)*BR172+(1-EXP(-LN(2)/2))/(LN(2)/2)*BL173*BO173*VLOOKUP('Données projet'!$B$11,Paramètres!$A$1:$I$89,3,0)*0.475*44/12</f>
        <v>1.4140476735059199E-21</v>
      </c>
      <c r="BS173" s="22">
        <f t="shared" si="169"/>
        <v>0.31207360147628449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-3.1036506698001178E-14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207.02306964567629</v>
      </c>
      <c r="CE173" s="59">
        <f t="shared" si="148"/>
        <v>342.06887933351783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0.41285338982189129</v>
      </c>
      <c r="CL173" s="21">
        <f>EXP(-LN(2)/25)*CL172+(1-EXP(-LN(2)/25))/(LN(2)/25)*Calculateur!CG173*Calculateur!CI173*VLOOKUP('Données projet'!$B$12,Paramètres!$A$1:$I$89,3,0)*0.475*44/12</f>
        <v>0.80241860731840231</v>
      </c>
      <c r="CM173" s="21">
        <f>EXP(-LN(2)/2)*CM172+(1-EXP(-LN(2)/2))/(LN(2)/2)*CG173*CJ173*VLOOKUP('Données projet'!$B$12,Paramètres!$A$1:$I$89,3,0)*0.475*44/12</f>
        <v>1.1243559724601962E-20</v>
      </c>
      <c r="CN173" s="22">
        <f t="shared" si="172"/>
        <v>1.2152719971402937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-4.9658410716801891E-14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268.31928207836495</v>
      </c>
      <c r="T174" s="59">
        <f t="shared" si="142"/>
        <v>277.61304526670204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0.12607838191744478</v>
      </c>
      <c r="AA174" s="21">
        <f>EXP(-LN(2)/25)*AA173+(1-EXP(-LN(2)/25))/(LN(2)/25)*Calculateur!V174*Calculateur!X174*VLOOKUP('Données projet'!$B$9,Paramètres!$A$1:$I$89,3,0)*0.475*44/12</f>
        <v>0.11293547556981032</v>
      </c>
      <c r="AB174" s="21">
        <f>EXP(-LN(2)/2)*AB173+(1-EXP(-LN(2)/2))/(LN(2)/2)*V174*Y174*VLOOKUP('Données projet'!$B$9,Paramètres!$A$1:$I$89,3,0)*0.475*44/12</f>
        <v>4.8895327151596218E-21</v>
      </c>
      <c r="AC174" s="22">
        <f t="shared" si="163"/>
        <v>0.23901385748725509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-1.9065282685915009E-13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544.48194192356823</v>
      </c>
      <c r="AO174" s="59">
        <f t="shared" si="144"/>
        <v>668.20427590250733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0.4498363216440025</v>
      </c>
      <c r="AV174" s="21">
        <f>EXP(-LN(2)/25)*AV173+(1-EXP(-LN(2)/25))/(LN(2)/25)*Calculateur!AQ174*Calculateur!AS174*VLOOKUP('Données projet'!$B$10,Paramètres!$A$1:$I$89,3,0)*0.475*44/12</f>
        <v>0.71632378542507014</v>
      </c>
      <c r="AW174" s="21">
        <f>EXP(-LN(2)/2)*AW173+(1-EXP(-LN(2)/2))/(LN(2)/2)*AQ174*AT174*VLOOKUP('Données projet'!$B$10,Paramètres!$A$1:$I$89,3,0)*0.475*44/12</f>
        <v>9.5415627226962234E-21</v>
      </c>
      <c r="AX174" s="21">
        <f t="shared" si="166"/>
        <v>1.1661601070690726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162.86181551380446</v>
      </c>
      <c r="BJ174" s="59">
        <f t="shared" si="146"/>
        <v>184.96823352120742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0.24273348437515108</v>
      </c>
      <c r="BQ174" s="21">
        <f>EXP(-LN(2)/25)*BQ173+(1-EXP(-LN(2)/25))/(LN(2)/25)*Calculateur!BL174*Calculateur!BN174*VLOOKUP('Données projet'!$B$11,Paramètres!$A$1:$I$89,3,0)*0.475*44/12</f>
        <v>6.2721709485176511E-2</v>
      </c>
      <c r="BR174" s="21">
        <f>EXP(-LN(2)/2)*BR173+(1-EXP(-LN(2)/2))/(LN(2)/2)*BL174*BO174*VLOOKUP('Données projet'!$B$11,Paramètres!$A$1:$I$89,3,0)*0.475*44/12</f>
        <v>9.9988269885709708E-22</v>
      </c>
      <c r="BS174" s="22">
        <f t="shared" si="169"/>
        <v>0.3054551938603276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-3.1036506698001178E-14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207.02306964567629</v>
      </c>
      <c r="CE174" s="59">
        <f t="shared" si="148"/>
        <v>342.06887933351783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0.40475758666318706</v>
      </c>
      <c r="CL174" s="21">
        <f>EXP(-LN(2)/25)*CL173+(1-EXP(-LN(2)/25))/(LN(2)/25)*Calculateur!CG174*Calculateur!CI174*VLOOKUP('Données projet'!$B$12,Paramètres!$A$1:$I$89,3,0)*0.475*44/12</f>
        <v>0.78047642830391994</v>
      </c>
      <c r="CM174" s="21">
        <f>EXP(-LN(2)/2)*CM173+(1-EXP(-LN(2)/2))/(LN(2)/2)*CG174*CJ174*VLOOKUP('Données projet'!$B$12,Paramètres!$A$1:$I$89,3,0)*0.475*44/12</f>
        <v>7.9503973259419976E-21</v>
      </c>
      <c r="CN174" s="22">
        <f t="shared" si="172"/>
        <v>1.185234014967107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-4.9658410716801891E-14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268.31928207836495</v>
      </c>
      <c r="T175" s="59">
        <f t="shared" si="142"/>
        <v>277.61304526670204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0.12360606174826338</v>
      </c>
      <c r="AA175" s="21">
        <f>EXP(-LN(2)/25)*AA174+(1-EXP(-LN(2)/25))/(LN(2)/25)*Calculateur!V175*Calculateur!X175*VLOOKUP('Données projet'!$B$9,Paramètres!$A$1:$I$89,3,0)*0.475*44/12</f>
        <v>0.10984724905133531</v>
      </c>
      <c r="AB175" s="21">
        <f>EXP(-LN(2)/2)*AB174+(1-EXP(-LN(2)/2))/(LN(2)/2)*V175*Y175*VLOOKUP('Données projet'!$B$9,Paramètres!$A$1:$I$89,3,0)*0.475*44/12</f>
        <v>3.4574217397228402E-21</v>
      </c>
      <c r="AC175" s="22">
        <f t="shared" si="163"/>
        <v>0.23345331079959869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-1.9065282685915009E-13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544.48194192356823</v>
      </c>
      <c r="AO175" s="59">
        <f t="shared" si="144"/>
        <v>668.20427590250733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0.44101530574962772</v>
      </c>
      <c r="AV175" s="21">
        <f>EXP(-LN(2)/25)*AV174+(1-EXP(-LN(2)/25))/(LN(2)/25)*Calculateur!AQ175*Calculateur!AS175*VLOOKUP('Données projet'!$B$10,Paramètres!$A$1:$I$89,3,0)*0.475*44/12</f>
        <v>0.6967358738427909</v>
      </c>
      <c r="AW175" s="21">
        <f>EXP(-LN(2)/2)*AW174+(1-EXP(-LN(2)/2))/(LN(2)/2)*AQ175*AT175*VLOOKUP('Données projet'!$B$10,Paramètres!$A$1:$I$89,3,0)*0.475*44/12</f>
        <v>6.7469037043352779E-21</v>
      </c>
      <c r="AX175" s="21">
        <f t="shared" si="166"/>
        <v>1.1377511795924187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162.86181551380446</v>
      </c>
      <c r="BJ175" s="59">
        <f t="shared" si="146"/>
        <v>184.96823352120742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0.23797362879936082</v>
      </c>
      <c r="BQ175" s="21">
        <f>EXP(-LN(2)/25)*BQ174+(1-EXP(-LN(2)/25))/(LN(2)/25)*Calculateur!BL175*Calculateur!BN175*VLOOKUP('Données projet'!$B$11,Paramètres!$A$1:$I$89,3,0)*0.475*44/12</f>
        <v>6.1006581040913006E-2</v>
      </c>
      <c r="BR175" s="21">
        <f>EXP(-LN(2)/2)*BR174+(1-EXP(-LN(2)/2))/(LN(2)/2)*BL175*BO175*VLOOKUP('Données projet'!$B$11,Paramètres!$A$1:$I$89,3,0)*0.475*44/12</f>
        <v>7.0702383675295995E-22</v>
      </c>
      <c r="BS175" s="22">
        <f t="shared" si="169"/>
        <v>0.29898020984027385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-3.1036506698001178E-14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207.02306964567629</v>
      </c>
      <c r="CE175" s="59">
        <f t="shared" si="148"/>
        <v>342.06887933351783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0.39682053726647265</v>
      </c>
      <c r="CL175" s="21">
        <f>EXP(-LN(2)/25)*CL174+(1-EXP(-LN(2)/25))/(LN(2)/25)*Calculateur!CG175*Calculateur!CI175*VLOOKUP('Données projet'!$B$12,Paramètres!$A$1:$I$89,3,0)*0.475*44/12</f>
        <v>0.75913425932847767</v>
      </c>
      <c r="CM175" s="21">
        <f>EXP(-LN(2)/2)*CM174+(1-EXP(-LN(2)/2))/(LN(2)/2)*CG175*CJ175*VLOOKUP('Données projet'!$B$12,Paramètres!$A$1:$I$89,3,0)*0.475*44/12</f>
        <v>5.6217798623009808E-21</v>
      </c>
      <c r="CN175" s="22">
        <f t="shared" si="172"/>
        <v>1.1559547965949504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-4.9658410716801891E-14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268.31928207836495</v>
      </c>
      <c r="T176" s="59">
        <f t="shared" si="142"/>
        <v>277.61304526670204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0.12118222226963324</v>
      </c>
      <c r="AA176" s="21">
        <f>EXP(-LN(2)/25)*AA175+(1-EXP(-LN(2)/25))/(LN(2)/25)*Calculateur!V176*Calculateur!X176*VLOOKUP('Données projet'!$B$9,Paramètres!$A$1:$I$89,3,0)*0.475*44/12</f>
        <v>0.10684347024941078</v>
      </c>
      <c r="AB176" s="21">
        <f>EXP(-LN(2)/2)*AB175+(1-EXP(-LN(2)/2))/(LN(2)/2)*V176*Y176*VLOOKUP('Données projet'!$B$9,Paramètres!$A$1:$I$89,3,0)*0.475*44/12</f>
        <v>2.4447663575798109E-21</v>
      </c>
      <c r="AC176" s="22">
        <f t="shared" si="163"/>
        <v>0.22802569251904403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-1.9065282685915009E-13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544.48194192356823</v>
      </c>
      <c r="AO176" s="59">
        <f t="shared" si="144"/>
        <v>668.20427590250733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0.4323672645966532</v>
      </c>
      <c r="AV176" s="21">
        <f>EXP(-LN(2)/25)*AV175+(1-EXP(-LN(2)/25))/(LN(2)/25)*Calculateur!AQ176*Calculateur!AS176*VLOOKUP('Données projet'!$B$10,Paramètres!$A$1:$I$89,3,0)*0.475*44/12</f>
        <v>0.67768359473281259</v>
      </c>
      <c r="AW176" s="21">
        <f>EXP(-LN(2)/2)*AW175+(1-EXP(-LN(2)/2))/(LN(2)/2)*AQ176*AT176*VLOOKUP('Données projet'!$B$10,Paramètres!$A$1:$I$89,3,0)*0.475*44/12</f>
        <v>4.7707813613481124E-21</v>
      </c>
      <c r="AX176" s="21">
        <f t="shared" si="166"/>
        <v>1.1100508593294658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162.86181551380446</v>
      </c>
      <c r="BJ176" s="59">
        <f t="shared" si="146"/>
        <v>184.96823352120742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0.23330711108818658</v>
      </c>
      <c r="BQ176" s="21">
        <f>EXP(-LN(2)/25)*BQ175+(1-EXP(-LN(2)/25))/(LN(2)/25)*Calculateur!BL176*Calculateur!BN176*VLOOKUP('Données projet'!$B$11,Paramètres!$A$1:$I$89,3,0)*0.475*44/12</f>
        <v>5.9338352874152574E-2</v>
      </c>
      <c r="BR176" s="21">
        <f>EXP(-LN(2)/2)*BR175+(1-EXP(-LN(2)/2))/(LN(2)/2)*BL176*BO176*VLOOKUP('Données projet'!$B$11,Paramètres!$A$1:$I$89,3,0)*0.475*44/12</f>
        <v>4.9994134942854854E-22</v>
      </c>
      <c r="BS176" s="22">
        <f t="shared" si="169"/>
        <v>0.29264546396233915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-3.1036506698001178E-14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207.02306964567629</v>
      </c>
      <c r="CE176" s="59">
        <f t="shared" si="148"/>
        <v>342.06887933351783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0.38903912856730571</v>
      </c>
      <c r="CL176" s="21">
        <f>EXP(-LN(2)/25)*CL175+(1-EXP(-LN(2)/25))/(LN(2)/25)*Calculateur!CG176*Calculateur!CI176*VLOOKUP('Données projet'!$B$12,Paramètres!$A$1:$I$89,3,0)*0.475*44/12</f>
        <v>0.73837569308600481</v>
      </c>
      <c r="CM176" s="21">
        <f>EXP(-LN(2)/2)*CM175+(1-EXP(-LN(2)/2))/(LN(2)/2)*CG176*CJ176*VLOOKUP('Données projet'!$B$12,Paramètres!$A$1:$I$89,3,0)*0.475*44/12</f>
        <v>3.9751986629709988E-21</v>
      </c>
      <c r="CN176" s="22">
        <f t="shared" si="172"/>
        <v>1.1274148216533106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-4.9658410716801891E-14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268.31928207836495</v>
      </c>
      <c r="T177" s="59">
        <f t="shared" si="142"/>
        <v>277.61304526670204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0.11880591280478293</v>
      </c>
      <c r="AA177" s="21">
        <f>EXP(-LN(2)/25)*AA176+(1-EXP(-LN(2)/25))/(LN(2)/25)*Calculateur!V177*Calculateur!X177*VLOOKUP('Données projet'!$B$9,Paramètres!$A$1:$I$89,3,0)*0.475*44/12</f>
        <v>0.10392182993678674</v>
      </c>
      <c r="AB177" s="21">
        <f>EXP(-LN(2)/2)*AB176+(1-EXP(-LN(2)/2))/(LN(2)/2)*V177*Y177*VLOOKUP('Données projet'!$B$9,Paramètres!$A$1:$I$89,3,0)*0.475*44/12</f>
        <v>1.7287108698614201E-21</v>
      </c>
      <c r="AC177" s="22">
        <f t="shared" si="163"/>
        <v>0.22272774274156967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-1.9065282685915009E-13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544.48194192356823</v>
      </c>
      <c r="AO177" s="59">
        <f t="shared" si="144"/>
        <v>668.20427590250733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0.42388880625590425</v>
      </c>
      <c r="AV177" s="21">
        <f>EXP(-LN(2)/25)*AV176+(1-EXP(-LN(2)/25))/(LN(2)/25)*Calculateur!AQ177*Calculateur!AS177*VLOOKUP('Données projet'!$B$10,Paramètres!$A$1:$I$89,3,0)*0.475*44/12</f>
        <v>0.6591523011970124</v>
      </c>
      <c r="AW177" s="21">
        <f>EXP(-LN(2)/2)*AW176+(1-EXP(-LN(2)/2))/(LN(2)/2)*AQ177*AT177*VLOOKUP('Données projet'!$B$10,Paramètres!$A$1:$I$89,3,0)*0.475*44/12</f>
        <v>3.3734518521676393E-21</v>
      </c>
      <c r="AX177" s="21">
        <f t="shared" si="166"/>
        <v>1.0830411074529167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162.86181551380446</v>
      </c>
      <c r="BJ177" s="59">
        <f t="shared" si="146"/>
        <v>184.96823352120742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0.22873210094303373</v>
      </c>
      <c r="BQ177" s="21">
        <f>EXP(-LN(2)/25)*BQ176+(1-EXP(-LN(2)/25))/(LN(2)/25)*Calculateur!BL177*Calculateur!BN177*VLOOKUP('Données projet'!$B$11,Paramètres!$A$1:$I$89,3,0)*0.475*44/12</f>
        <v>5.7715742494340513E-2</v>
      </c>
      <c r="BR177" s="21">
        <f>EXP(-LN(2)/2)*BR176+(1-EXP(-LN(2)/2))/(LN(2)/2)*BL177*BO177*VLOOKUP('Données projet'!$B$11,Paramètres!$A$1:$I$89,3,0)*0.475*44/12</f>
        <v>3.5351191837647998E-22</v>
      </c>
      <c r="BS177" s="22">
        <f t="shared" si="169"/>
        <v>0.28644784343737423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-3.1036506698001178E-14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207.02306964567629</v>
      </c>
      <c r="CE177" s="59">
        <f t="shared" si="148"/>
        <v>342.06887933351783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0.38141030854653879</v>
      </c>
      <c r="CL177" s="21">
        <f>EXP(-LN(2)/25)*CL176+(1-EXP(-LN(2)/25))/(LN(2)/25)*Calculateur!CG177*Calculateur!CI177*VLOOKUP('Données projet'!$B$12,Paramètres!$A$1:$I$89,3,0)*0.475*44/12</f>
        <v>0.71818477092907784</v>
      </c>
      <c r="CM177" s="21">
        <f>EXP(-LN(2)/2)*CM176+(1-EXP(-LN(2)/2))/(LN(2)/2)*CG177*CJ177*VLOOKUP('Données projet'!$B$12,Paramètres!$A$1:$I$89,3,0)*0.475*44/12</f>
        <v>2.8108899311504904E-21</v>
      </c>
      <c r="CN177" s="22">
        <f t="shared" si="172"/>
        <v>1.0995950794756166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-4.9658410716801891E-14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268.31928207836495</v>
      </c>
      <c r="T178" s="59">
        <f t="shared" si="142"/>
        <v>277.61304526670204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0.11647620131913268</v>
      </c>
      <c r="AA178" s="21">
        <f>EXP(-LN(2)/25)*AA177+(1-EXP(-LN(2)/25))/(LN(2)/25)*Calculateur!V178*Calculateur!X178*VLOOKUP('Données projet'!$B$9,Paramètres!$A$1:$I$89,3,0)*0.475*44/12</f>
        <v>0.10108008203215378</v>
      </c>
      <c r="AB178" s="21">
        <f>EXP(-LN(2)/2)*AB177+(1-EXP(-LN(2)/2))/(LN(2)/2)*V178*Y178*VLOOKUP('Données projet'!$B$9,Paramètres!$A$1:$I$89,3,0)*0.475*44/12</f>
        <v>1.2223831787899054E-21</v>
      </c>
      <c r="AC178" s="22">
        <f t="shared" si="163"/>
        <v>0.21755628335128646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-1.9065282685915009E-13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544.48194192356823</v>
      </c>
      <c r="AO178" s="59">
        <f t="shared" si="144"/>
        <v>668.20427590250733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0.41557660531186841</v>
      </c>
      <c r="AV178" s="21">
        <f>EXP(-LN(2)/25)*AV177+(1-EXP(-LN(2)/25))/(LN(2)/25)*Calculateur!AQ178*Calculateur!AS178*VLOOKUP('Données projet'!$B$10,Paramètres!$A$1:$I$89,3,0)*0.475*44/12</f>
        <v>0.6411277468574671</v>
      </c>
      <c r="AW178" s="21">
        <f>EXP(-LN(2)/2)*AW177+(1-EXP(-LN(2)/2))/(LN(2)/2)*AQ178*AT178*VLOOKUP('Données projet'!$B$10,Paramètres!$A$1:$I$89,3,0)*0.475*44/12</f>
        <v>2.3853906806740566E-21</v>
      </c>
      <c r="AX178" s="21">
        <f t="shared" si="166"/>
        <v>1.0567043521693356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162.86181551380446</v>
      </c>
      <c r="BJ178" s="59">
        <f t="shared" si="146"/>
        <v>184.96823352120742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0.22424680395634666</v>
      </c>
      <c r="BQ178" s="21">
        <f>EXP(-LN(2)/25)*BQ177+(1-EXP(-LN(2)/25))/(LN(2)/25)*Calculateur!BL178*Calculateur!BN178*VLOOKUP('Données projet'!$B$11,Paramètres!$A$1:$I$89,3,0)*0.475*44/12</f>
        <v>5.6137502480693782E-2</v>
      </c>
      <c r="BR178" s="21">
        <f>EXP(-LN(2)/2)*BR177+(1-EXP(-LN(2)/2))/(LN(2)/2)*BL178*BO178*VLOOKUP('Données projet'!$B$11,Paramètres!$A$1:$I$89,3,0)*0.475*44/12</f>
        <v>2.4997067471427427E-22</v>
      </c>
      <c r="BS178" s="22">
        <f t="shared" si="169"/>
        <v>0.28038430643704043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-3.1036506698001178E-14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207.02306964567629</v>
      </c>
      <c r="CE178" s="59">
        <f t="shared" si="148"/>
        <v>342.06887933351783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0.37393108503325834</v>
      </c>
      <c r="CL178" s="21">
        <f>EXP(-LN(2)/25)*CL177+(1-EXP(-LN(2)/25))/(LN(2)/25)*Calculateur!CG178*Calculateur!CI178*VLOOKUP('Données projet'!$B$12,Paramètres!$A$1:$I$89,3,0)*0.475*44/12</f>
        <v>0.69854597060032653</v>
      </c>
      <c r="CM178" s="21">
        <f>EXP(-LN(2)/2)*CM177+(1-EXP(-LN(2)/2))/(LN(2)/2)*CG178*CJ178*VLOOKUP('Données projet'!$B$12,Paramètres!$A$1:$I$89,3,0)*0.475*44/12</f>
        <v>1.9875993314854994E-21</v>
      </c>
      <c r="CN178" s="22">
        <f t="shared" si="172"/>
        <v>1.072477055633585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-4.9658410716801891E-14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268.31928207836495</v>
      </c>
      <c r="T179" s="59">
        <f t="shared" si="142"/>
        <v>277.61304526670204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0.11419217405473234</v>
      </c>
      <c r="AA179" s="21">
        <f>EXP(-LN(2)/25)*AA178+(1-EXP(-LN(2)/25))/(LN(2)/25)*Calculateur!V179*Calculateur!X179*VLOOKUP('Données projet'!$B$9,Paramètres!$A$1:$I$89,3,0)*0.475*44/12</f>
        <v>9.8316041873414042E-2</v>
      </c>
      <c r="AB179" s="21">
        <f>EXP(-LN(2)/2)*AB178+(1-EXP(-LN(2)/2))/(LN(2)/2)*V179*Y179*VLOOKUP('Données projet'!$B$9,Paramètres!$A$1:$I$89,3,0)*0.475*44/12</f>
        <v>8.6435543493071006E-22</v>
      </c>
      <c r="AC179" s="22">
        <f t="shared" si="163"/>
        <v>0.21250821592814639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-1.9065282685915009E-13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544.48194192356823</v>
      </c>
      <c r="AO179" s="59">
        <f t="shared" si="144"/>
        <v>668.20427590250733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0.40742740155840318</v>
      </c>
      <c r="AV179" s="21">
        <f>EXP(-LN(2)/25)*AV178+(1-EXP(-LN(2)/25))/(LN(2)/25)*Calculateur!AQ179*Calculateur!AS179*VLOOKUP('Données projet'!$B$10,Paramètres!$A$1:$I$89,3,0)*0.475*44/12</f>
        <v>0.62359607490420677</v>
      </c>
      <c r="AW179" s="21">
        <f>EXP(-LN(2)/2)*AW178+(1-EXP(-LN(2)/2))/(LN(2)/2)*AQ179*AT179*VLOOKUP('Données projet'!$B$10,Paramètres!$A$1:$I$89,3,0)*0.475*44/12</f>
        <v>1.6867259260838198E-21</v>
      </c>
      <c r="AX179" s="21">
        <f t="shared" si="166"/>
        <v>1.0310234764626101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162.86181551380446</v>
      </c>
      <c r="BJ179" s="59">
        <f t="shared" si="146"/>
        <v>184.96823352120742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0.21984946090780752</v>
      </c>
      <c r="BQ179" s="21">
        <f>EXP(-LN(2)/25)*BQ178+(1-EXP(-LN(2)/25))/(LN(2)/25)*Calculateur!BL179*Calculateur!BN179*VLOOKUP('Données projet'!$B$11,Paramètres!$A$1:$I$89,3,0)*0.475*44/12</f>
        <v>5.4602419523216261E-2</v>
      </c>
      <c r="BR179" s="21">
        <f>EXP(-LN(2)/2)*BR178+(1-EXP(-LN(2)/2))/(LN(2)/2)*BL179*BO179*VLOOKUP('Données projet'!$B$11,Paramètres!$A$1:$I$89,3,0)*0.475*44/12</f>
        <v>1.7675595918823999E-22</v>
      </c>
      <c r="BS179" s="22">
        <f t="shared" si="169"/>
        <v>0.27445188043102375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-3.1036506698001178E-14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207.02306964567629</v>
      </c>
      <c r="CE179" s="59">
        <f t="shared" si="148"/>
        <v>342.06887933351783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0.36659852453119746</v>
      </c>
      <c r="CL179" s="21">
        <f>EXP(-LN(2)/25)*CL178+(1-EXP(-LN(2)/25))/(LN(2)/25)*Calculateur!CG179*Calculateur!CI179*VLOOKUP('Données projet'!$B$12,Paramètres!$A$1:$I$89,3,0)*0.475*44/12</f>
        <v>0.67944419429932457</v>
      </c>
      <c r="CM179" s="21">
        <f>EXP(-LN(2)/2)*CM178+(1-EXP(-LN(2)/2))/(LN(2)/2)*CG179*CJ179*VLOOKUP('Données projet'!$B$12,Paramètres!$A$1:$I$89,3,0)*0.475*44/12</f>
        <v>1.4054449655752452E-21</v>
      </c>
      <c r="CN179" s="22">
        <f t="shared" si="172"/>
        <v>1.0460427188305221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-4.9658410716801891E-14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268.31928207836495</v>
      </c>
      <c r="T180" s="59">
        <f t="shared" si="142"/>
        <v>277.61304526670204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0.11195293517186782</v>
      </c>
      <c r="AA180" s="21">
        <f>EXP(-LN(2)/25)*AA179+(1-EXP(-LN(2)/25))/(LN(2)/25)*Calculateur!V180*Calculateur!X180*VLOOKUP('Données projet'!$B$9,Paramètres!$A$1:$I$89,3,0)*0.475*44/12</f>
        <v>9.5627584538169594E-2</v>
      </c>
      <c r="AB180" s="21">
        <f>EXP(-LN(2)/2)*AB179+(1-EXP(-LN(2)/2))/(LN(2)/2)*V180*Y180*VLOOKUP('Données projet'!$B$9,Paramètres!$A$1:$I$89,3,0)*0.475*44/12</f>
        <v>6.1119158939495272E-22</v>
      </c>
      <c r="AC180" s="22">
        <f t="shared" si="163"/>
        <v>0.20758051971003741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-1.9065282685915009E-13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544.48194192356823</v>
      </c>
      <c r="AO180" s="59">
        <f t="shared" si="144"/>
        <v>668.20427590250733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0.39943799872001989</v>
      </c>
      <c r="AV180" s="21">
        <f>EXP(-LN(2)/25)*AV179+(1-EXP(-LN(2)/25))/(LN(2)/25)*Calculateur!AQ180*Calculateur!AS180*VLOOKUP('Données projet'!$B$10,Paramètres!$A$1:$I$89,3,0)*0.475*44/12</f>
        <v>0.60654380744245895</v>
      </c>
      <c r="AW180" s="21">
        <f>EXP(-LN(2)/2)*AW179+(1-EXP(-LN(2)/2))/(LN(2)/2)*AQ180*AT180*VLOOKUP('Données projet'!$B$10,Paramètres!$A$1:$I$89,3,0)*0.475*44/12</f>
        <v>1.1926953403370285E-21</v>
      </c>
      <c r="AX180" s="21">
        <f t="shared" si="166"/>
        <v>1.0059818061624788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162.86181551380446</v>
      </c>
      <c r="BJ180" s="59">
        <f t="shared" si="146"/>
        <v>184.96823352120742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0.21553834707433581</v>
      </c>
      <c r="BQ180" s="21">
        <f>EXP(-LN(2)/25)*BQ179+(1-EXP(-LN(2)/25))/(LN(2)/25)*Calculateur!BL180*Calculateur!BN180*VLOOKUP('Données projet'!$B$11,Paramètres!$A$1:$I$89,3,0)*0.475*44/12</f>
        <v>5.3109313489937464E-2</v>
      </c>
      <c r="BR180" s="21">
        <f>EXP(-LN(2)/2)*BR179+(1-EXP(-LN(2)/2))/(LN(2)/2)*BL180*BO180*VLOOKUP('Données projet'!$B$11,Paramètres!$A$1:$I$89,3,0)*0.475*44/12</f>
        <v>1.2498533735713714E-22</v>
      </c>
      <c r="BS180" s="22">
        <f t="shared" si="169"/>
        <v>0.26864766056427325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-3.1036506698001178E-14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207.02306964567629</v>
      </c>
      <c r="CE180" s="59">
        <f t="shared" si="148"/>
        <v>342.06887933351783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0.3594097510681617</v>
      </c>
      <c r="CL180" s="21">
        <f>EXP(-LN(2)/25)*CL179+(1-EXP(-LN(2)/25))/(LN(2)/25)*Calculateur!CG180*Calculateur!CI180*VLOOKUP('Données projet'!$B$12,Paramètres!$A$1:$I$89,3,0)*0.475*44/12</f>
        <v>0.66086475707579229</v>
      </c>
      <c r="CM180" s="21">
        <f>EXP(-LN(2)/2)*CM179+(1-EXP(-LN(2)/2))/(LN(2)/2)*CG180*CJ180*VLOOKUP('Données projet'!$B$12,Paramètres!$A$1:$I$89,3,0)*0.475*44/12</f>
        <v>9.937996657427497E-22</v>
      </c>
      <c r="CN180" s="22">
        <f t="shared" si="172"/>
        <v>1.0202745081439539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-4.9658410716801891E-14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268.31928207836495</v>
      </c>
      <c r="T181" s="59">
        <f t="shared" si="142"/>
        <v>277.61304526670204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0.1097576063976954</v>
      </c>
      <c r="AA181" s="21">
        <f>EXP(-LN(2)/25)*AA180+(1-EXP(-LN(2)/25))/(LN(2)/25)*Calculateur!V181*Calculateur!X181*VLOOKUP('Données projet'!$B$9,Paramètres!$A$1:$I$89,3,0)*0.475*44/12</f>
        <v>9.3012643210137233E-2</v>
      </c>
      <c r="AB181" s="21">
        <f>EXP(-LN(2)/2)*AB180+(1-EXP(-LN(2)/2))/(LN(2)/2)*V181*Y181*VLOOKUP('Données projet'!$B$9,Paramètres!$A$1:$I$89,3,0)*0.475*44/12</f>
        <v>4.3217771746535503E-22</v>
      </c>
      <c r="AC181" s="22">
        <f t="shared" si="163"/>
        <v>0.20277024960783263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-1.9065282685915009E-13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544.48194192356823</v>
      </c>
      <c r="AO181" s="59">
        <f t="shared" si="144"/>
        <v>668.20427590250733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0.39160526319824274</v>
      </c>
      <c r="AV181" s="21">
        <f>EXP(-LN(2)/25)*AV180+(1-EXP(-LN(2)/25))/(LN(2)/25)*Calculateur!AQ181*Calculateur!AS181*VLOOKUP('Données projet'!$B$10,Paramètres!$A$1:$I$89,3,0)*0.475*44/12</f>
        <v>0.58995783513119238</v>
      </c>
      <c r="AW181" s="21">
        <f>EXP(-LN(2)/2)*AW180+(1-EXP(-LN(2)/2))/(LN(2)/2)*AQ181*AT181*VLOOKUP('Données projet'!$B$10,Paramètres!$A$1:$I$89,3,0)*0.475*44/12</f>
        <v>8.4336296304191011E-22</v>
      </c>
      <c r="AX181" s="21">
        <f t="shared" si="166"/>
        <v>0.98156309832943511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162.86181551380446</v>
      </c>
      <c r="BJ181" s="59">
        <f t="shared" si="146"/>
        <v>184.96823352120742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0.21131177155361866</v>
      </c>
      <c r="BQ181" s="21">
        <f>EXP(-LN(2)/25)*BQ180+(1-EXP(-LN(2)/25))/(LN(2)/25)*Calculateur!BL181*Calculateur!BN181*VLOOKUP('Données projet'!$B$11,Paramètres!$A$1:$I$89,3,0)*0.475*44/12</f>
        <v>5.1657036519657709E-2</v>
      </c>
      <c r="BR181" s="21">
        <f>EXP(-LN(2)/2)*BR180+(1-EXP(-LN(2)/2))/(LN(2)/2)*BL181*BO181*VLOOKUP('Données projet'!$B$11,Paramètres!$A$1:$I$89,3,0)*0.475*44/12</f>
        <v>8.8377979594119994E-23</v>
      </c>
      <c r="BS181" s="22">
        <f t="shared" si="169"/>
        <v>0.26296880807327638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-3.1036506698001178E-14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207.02306964567629</v>
      </c>
      <c r="CE181" s="59">
        <f t="shared" si="148"/>
        <v>342.06887933351783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0.35236194506801721</v>
      </c>
      <c r="CL181" s="21">
        <f>EXP(-LN(2)/25)*CL180+(1-EXP(-LN(2)/25))/(LN(2)/25)*Calculateur!CG181*Calculateur!CI181*VLOOKUP('Données projet'!$B$12,Paramètres!$A$1:$I$89,3,0)*0.475*44/12</f>
        <v>0.64279337554018756</v>
      </c>
      <c r="CM181" s="21">
        <f>EXP(-LN(2)/2)*CM180+(1-EXP(-LN(2)/2))/(LN(2)/2)*CG181*CJ181*VLOOKUP('Données projet'!$B$12,Paramètres!$A$1:$I$89,3,0)*0.475*44/12</f>
        <v>7.027224827876226E-22</v>
      </c>
      <c r="CN181" s="22">
        <f t="shared" si="172"/>
        <v>0.99515532060820477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-4.9658410716801891E-14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268.31928207836495</v>
      </c>
      <c r="T182" s="59">
        <f t="shared" si="142"/>
        <v>277.61304526670204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0.10760532668176617</v>
      </c>
      <c r="AA182" s="21">
        <f>EXP(-LN(2)/25)*AA181+(1-EXP(-LN(2)/25))/(LN(2)/25)*Calculateur!V182*Calculateur!X182*VLOOKUP('Données projet'!$B$9,Paramètres!$A$1:$I$89,3,0)*0.475*44/12</f>
        <v>9.0469207590233705E-2</v>
      </c>
      <c r="AB182" s="21">
        <f>EXP(-LN(2)/2)*AB181+(1-EXP(-LN(2)/2))/(LN(2)/2)*V182*Y182*VLOOKUP('Données projet'!$B$9,Paramètres!$A$1:$I$89,3,0)*0.475*44/12</f>
        <v>3.0559579469747636E-22</v>
      </c>
      <c r="AC182" s="22">
        <f t="shared" si="163"/>
        <v>0.19807453427199989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-1.9065282685915009E-13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544.48194192356823</v>
      </c>
      <c r="AO182" s="59">
        <f t="shared" si="144"/>
        <v>668.20427590250733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0.38392612284255073</v>
      </c>
      <c r="AV182" s="21">
        <f>EXP(-LN(2)/25)*AV181+(1-EXP(-LN(2)/25))/(LN(2)/25)*Calculateur!AQ182*Calculateur!AS182*VLOOKUP('Données projet'!$B$10,Paramètres!$A$1:$I$89,3,0)*0.475*44/12</f>
        <v>0.57382540710499574</v>
      </c>
      <c r="AW182" s="21">
        <f>EXP(-LN(2)/2)*AW181+(1-EXP(-LN(2)/2))/(LN(2)/2)*AQ182*AT182*VLOOKUP('Données projet'!$B$10,Paramètres!$A$1:$I$89,3,0)*0.475*44/12</f>
        <v>5.9634767016851434E-22</v>
      </c>
      <c r="AX182" s="21">
        <f t="shared" si="166"/>
        <v>0.95775152994754653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162.86181551380446</v>
      </c>
      <c r="BJ182" s="59">
        <f t="shared" si="146"/>
        <v>184.96823352120742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0.20716807660090628</v>
      </c>
      <c r="BQ182" s="21">
        <f>EXP(-LN(2)/25)*BQ181+(1-EXP(-LN(2)/25))/(LN(2)/25)*Calculateur!BL182*Calculateur!BN182*VLOOKUP('Données projet'!$B$11,Paramètres!$A$1:$I$89,3,0)*0.475*44/12</f>
        <v>5.0244472139502179E-2</v>
      </c>
      <c r="BR182" s="21">
        <f>EXP(-LN(2)/2)*BR181+(1-EXP(-LN(2)/2))/(LN(2)/2)*BL182*BO182*VLOOKUP('Données projet'!$B$11,Paramètres!$A$1:$I$89,3,0)*0.475*44/12</f>
        <v>6.2492668678568568E-23</v>
      </c>
      <c r="BS182" s="22">
        <f t="shared" si="169"/>
        <v>0.25741254874040848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-3.1036506698001178E-14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207.02306964567629</v>
      </c>
      <c r="CE182" s="59">
        <f t="shared" si="148"/>
        <v>342.06887933351783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0.34545234224479832</v>
      </c>
      <c r="CL182" s="21">
        <f>EXP(-LN(2)/25)*CL181+(1-EXP(-LN(2)/25))/(LN(2)/25)*Calculateur!CG182*Calculateur!CI182*VLOOKUP('Données projet'!$B$12,Paramètres!$A$1:$I$89,3,0)*0.475*44/12</f>
        <v>0.62521615688300669</v>
      </c>
      <c r="CM182" s="21">
        <f>EXP(-LN(2)/2)*CM181+(1-EXP(-LN(2)/2))/(LN(2)/2)*CG182*CJ182*VLOOKUP('Données projet'!$B$12,Paramètres!$A$1:$I$89,3,0)*0.475*44/12</f>
        <v>4.9689983287137485E-22</v>
      </c>
      <c r="CN182" s="22">
        <f t="shared" si="172"/>
        <v>0.97066849912780495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-4.9658410716801891E-14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268.31928207836495</v>
      </c>
      <c r="T183" s="59">
        <f t="shared" si="142"/>
        <v>277.61304526670204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0.10549525185830531</v>
      </c>
      <c r="AA183" s="21">
        <f>EXP(-LN(2)/25)*AA182+(1-EXP(-LN(2)/25))/(LN(2)/25)*Calculateur!V183*Calculateur!X183*VLOOKUP('Données projet'!$B$9,Paramètres!$A$1:$I$89,3,0)*0.475*44/12</f>
        <v>8.7995322351109906E-2</v>
      </c>
      <c r="AB183" s="21">
        <f>EXP(-LN(2)/2)*AB182+(1-EXP(-LN(2)/2))/(LN(2)/2)*V183*Y183*VLOOKUP('Données projet'!$B$9,Paramètres!$A$1:$I$89,3,0)*0.475*44/12</f>
        <v>2.1608885873267752E-22</v>
      </c>
      <c r="AC183" s="22">
        <f t="shared" si="163"/>
        <v>0.19349057420941523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-1.9065282685915009E-13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544.48194192356823</v>
      </c>
      <c r="AO183" s="59">
        <f t="shared" si="144"/>
        <v>668.20427590250733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0.37639756574542071</v>
      </c>
      <c r="AV183" s="21">
        <f>EXP(-LN(2)/25)*AV182+(1-EXP(-LN(2)/25))/(LN(2)/25)*Calculateur!AQ183*Calculateur!AS183*VLOOKUP('Données projet'!$B$10,Paramètres!$A$1:$I$89,3,0)*0.475*44/12</f>
        <v>0.55813412117154293</v>
      </c>
      <c r="AW183" s="21">
        <f>EXP(-LN(2)/2)*AW182+(1-EXP(-LN(2)/2))/(LN(2)/2)*AQ183*AT183*VLOOKUP('Données projet'!$B$10,Paramètres!$A$1:$I$89,3,0)*0.475*44/12</f>
        <v>4.216814815209551E-22</v>
      </c>
      <c r="AX183" s="21">
        <f t="shared" si="166"/>
        <v>0.93453168691696364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162.86181551380446</v>
      </c>
      <c r="BJ183" s="59">
        <f t="shared" si="146"/>
        <v>184.96823352120742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0.2031056369788122</v>
      </c>
      <c r="BQ183" s="21">
        <f>EXP(-LN(2)/25)*BQ182+(1-EXP(-LN(2)/25))/(LN(2)/25)*Calculateur!BL183*Calculateur!BN183*VLOOKUP('Données projet'!$B$11,Paramètres!$A$1:$I$89,3,0)*0.475*44/12</f>
        <v>4.8870534406605534E-2</v>
      </c>
      <c r="BR183" s="21">
        <f>EXP(-LN(2)/2)*BR182+(1-EXP(-LN(2)/2))/(LN(2)/2)*BL183*BO183*VLOOKUP('Données projet'!$B$11,Paramètres!$A$1:$I$89,3,0)*0.475*44/12</f>
        <v>4.4188989797059997E-23</v>
      </c>
      <c r="BS183" s="22">
        <f t="shared" si="169"/>
        <v>0.25197617138541772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-3.1036506698001178E-14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207.02306964567629</v>
      </c>
      <c r="CE183" s="59">
        <f t="shared" si="148"/>
        <v>342.06887933351783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0.33867823251850121</v>
      </c>
      <c r="CL183" s="21">
        <f>EXP(-LN(2)/25)*CL182+(1-EXP(-LN(2)/25))/(LN(2)/25)*Calculateur!CG183*Calculateur!CI183*VLOOKUP('Données projet'!$B$12,Paramètres!$A$1:$I$89,3,0)*0.475*44/12</f>
        <v>0.60811958819435208</v>
      </c>
      <c r="CM183" s="21">
        <f>EXP(-LN(2)/2)*CM182+(1-EXP(-LN(2)/2))/(LN(2)/2)*CG183*CJ183*VLOOKUP('Données projet'!$B$12,Paramètres!$A$1:$I$89,3,0)*0.475*44/12</f>
        <v>3.513612413938113E-22</v>
      </c>
      <c r="CN183" s="22">
        <f t="shared" si="172"/>
        <v>0.94679782071285334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-4.9658410716801891E-14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268.31928207836495</v>
      </c>
      <c r="T184" s="59">
        <f t="shared" si="142"/>
        <v>277.61304526670204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0.10342655431511397</v>
      </c>
      <c r="AA184" s="21">
        <f>EXP(-LN(2)/25)*AA183+(1-EXP(-LN(2)/25))/(LN(2)/25)*Calculateur!V184*Calculateur!X184*VLOOKUP('Données projet'!$B$9,Paramètres!$A$1:$I$89,3,0)*0.475*44/12</f>
        <v>8.5589085633945919E-2</v>
      </c>
      <c r="AB184" s="21">
        <f>EXP(-LN(2)/2)*AB183+(1-EXP(-LN(2)/2))/(LN(2)/2)*V184*Y184*VLOOKUP('Données projet'!$B$9,Paramètres!$A$1:$I$89,3,0)*0.475*44/12</f>
        <v>1.5279789734873818E-22</v>
      </c>
      <c r="AC184" s="22">
        <f t="shared" si="163"/>
        <v>0.1890156399490599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-1.9065282685915009E-13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544.48194192356823</v>
      </c>
      <c r="AO184" s="59">
        <f t="shared" si="144"/>
        <v>668.20427590250733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0.36901663906099902</v>
      </c>
      <c r="AV184" s="21">
        <f>EXP(-LN(2)/25)*AV183+(1-EXP(-LN(2)/25))/(LN(2)/25)*Calculateur!AQ184*Calculateur!AS184*VLOOKUP('Données projet'!$B$10,Paramètres!$A$1:$I$89,3,0)*0.475*44/12</f>
        <v>0.54287191427710924</v>
      </c>
      <c r="AW184" s="21">
        <f>EXP(-LN(2)/2)*AW183+(1-EXP(-LN(2)/2))/(LN(2)/2)*AQ184*AT184*VLOOKUP('Données projet'!$B$10,Paramètres!$A$1:$I$89,3,0)*0.475*44/12</f>
        <v>2.9817383508425721E-22</v>
      </c>
      <c r="AX184" s="21">
        <f t="shared" si="166"/>
        <v>0.91188855333810825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162.86181551380446</v>
      </c>
      <c r="BJ184" s="59">
        <f t="shared" si="146"/>
        <v>184.96823352120742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0.1991228593198639</v>
      </c>
      <c r="BQ184" s="21">
        <f>EXP(-LN(2)/25)*BQ183+(1-EXP(-LN(2)/25))/(LN(2)/25)*Calculateur!BL184*Calculateur!BN184*VLOOKUP('Données projet'!$B$11,Paramètres!$A$1:$I$89,3,0)*0.475*44/12</f>
        <v>4.7534167073267193E-2</v>
      </c>
      <c r="BR184" s="21">
        <f>EXP(-LN(2)/2)*BR183+(1-EXP(-LN(2)/2))/(LN(2)/2)*BL184*BO184*VLOOKUP('Données projet'!$B$11,Paramètres!$A$1:$I$89,3,0)*0.475*44/12</f>
        <v>3.1246334339284284E-23</v>
      </c>
      <c r="BS184" s="22">
        <f t="shared" si="169"/>
        <v>0.24665702639313108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-3.1036506698001178E-14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207.02306964567629</v>
      </c>
      <c r="CE184" s="59">
        <f t="shared" si="148"/>
        <v>342.06887933351783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0.33203695895213781</v>
      </c>
      <c r="CL184" s="21">
        <f>EXP(-LN(2)/25)*CL183+(1-EXP(-LN(2)/25))/(LN(2)/25)*Calculateur!CG184*Calculateur!CI184*VLOOKUP('Données projet'!$B$12,Paramètres!$A$1:$I$89,3,0)*0.475*44/12</f>
        <v>0.5914905260755583</v>
      </c>
      <c r="CM184" s="21">
        <f>EXP(-LN(2)/2)*CM183+(1-EXP(-LN(2)/2))/(LN(2)/2)*CG184*CJ184*VLOOKUP('Données projet'!$B$12,Paramètres!$A$1:$I$89,3,0)*0.475*44/12</f>
        <v>2.4844991643568742E-22</v>
      </c>
      <c r="CN184" s="22">
        <f t="shared" si="172"/>
        <v>0.9235274850276961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-4.9658410716801891E-14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268.31928207836495</v>
      </c>
      <c r="T185" s="59">
        <f t="shared" si="142"/>
        <v>277.61304526670204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0.10139842266896369</v>
      </c>
      <c r="AA185" s="21">
        <f>EXP(-LN(2)/25)*AA184+(1-EXP(-LN(2)/25))/(LN(2)/25)*Calculateur!V185*Calculateur!X185*VLOOKUP('Données projet'!$B$9,Paramètres!$A$1:$I$89,3,0)*0.475*44/12</f>
        <v>8.3248647586351268E-2</v>
      </c>
      <c r="AB185" s="21">
        <f>EXP(-LN(2)/2)*AB184+(1-EXP(-LN(2)/2))/(LN(2)/2)*V185*Y185*VLOOKUP('Données projet'!$B$9,Paramètres!$A$1:$I$89,3,0)*0.475*44/12</f>
        <v>1.0804442936633876E-22</v>
      </c>
      <c r="AC185" s="22">
        <f t="shared" si="163"/>
        <v>0.18464707025531496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-1.9065282685915009E-13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544.48194192356823</v>
      </c>
      <c r="AO185" s="59">
        <f t="shared" si="144"/>
        <v>668.20427590250733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0.36178044784693808</v>
      </c>
      <c r="AV185" s="21">
        <f>EXP(-LN(2)/25)*AV184+(1-EXP(-LN(2)/25))/(LN(2)/25)*Calculateur!AQ185*Calculateur!AS185*VLOOKUP('Données projet'!$B$10,Paramètres!$A$1:$I$89,3,0)*0.475*44/12</f>
        <v>0.52802705323280841</v>
      </c>
      <c r="AW185" s="21">
        <f>EXP(-LN(2)/2)*AW184+(1-EXP(-LN(2)/2))/(LN(2)/2)*AQ185*AT185*VLOOKUP('Données projet'!$B$10,Paramètres!$A$1:$I$89,3,0)*0.475*44/12</f>
        <v>2.108407407604776E-22</v>
      </c>
      <c r="AX185" s="21">
        <f t="shared" si="166"/>
        <v>0.88980750107974649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162.86181551380446</v>
      </c>
      <c r="BJ185" s="59">
        <f t="shared" si="146"/>
        <v>184.96823352120742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0.19521818150155307</v>
      </c>
      <c r="BQ185" s="21">
        <f>EXP(-LN(2)/25)*BQ184+(1-EXP(-LN(2)/25))/(LN(2)/25)*Calculateur!BL185*Calculateur!BN185*VLOOKUP('Données projet'!$B$11,Paramètres!$A$1:$I$89,3,0)*0.475*44/12</f>
        <v>4.6234342774935495E-2</v>
      </c>
      <c r="BR185" s="21">
        <f>EXP(-LN(2)/2)*BR184+(1-EXP(-LN(2)/2))/(LN(2)/2)*BL185*BO185*VLOOKUP('Données projet'!$B$11,Paramètres!$A$1:$I$89,3,0)*0.475*44/12</f>
        <v>2.2094494898529999E-23</v>
      </c>
      <c r="BS185" s="22">
        <f t="shared" si="169"/>
        <v>0.24145252427648856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-3.1036506698001178E-14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207.02306964567629</v>
      </c>
      <c r="CE185" s="59">
        <f t="shared" si="148"/>
        <v>342.06887933351783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0.32552591670963388</v>
      </c>
      <c r="CL185" s="21">
        <f>EXP(-LN(2)/25)*CL184+(1-EXP(-LN(2)/25))/(LN(2)/25)*Calculateur!CG185*Calculateur!CI185*VLOOKUP('Données projet'!$B$12,Paramètres!$A$1:$I$89,3,0)*0.475*44/12</f>
        <v>0.57531618653488725</v>
      </c>
      <c r="CM185" s="21">
        <f>EXP(-LN(2)/2)*CM184+(1-EXP(-LN(2)/2))/(LN(2)/2)*CG185*CJ185*VLOOKUP('Données projet'!$B$12,Paramètres!$A$1:$I$89,3,0)*0.475*44/12</f>
        <v>1.7568062069690565E-22</v>
      </c>
      <c r="CN185" s="22">
        <f t="shared" si="172"/>
        <v>0.90084210324452108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-4.9658410716801891E-14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268.31928207836495</v>
      </c>
      <c r="T186" s="59">
        <f t="shared" si="142"/>
        <v>277.61304526670204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9.9410061447356271E-2</v>
      </c>
      <c r="AA186" s="21">
        <f>EXP(-LN(2)/25)*AA185+(1-EXP(-LN(2)/25))/(LN(2)/25)*Calculateur!V186*Calculateur!X186*VLOOKUP('Données projet'!$B$9,Paramètres!$A$1:$I$89,3,0)*0.475*44/12</f>
        <v>8.0972208940246385E-2</v>
      </c>
      <c r="AB186" s="21">
        <f>EXP(-LN(2)/2)*AB185+(1-EXP(-LN(2)/2))/(LN(2)/2)*V186*Y186*VLOOKUP('Données projet'!$B$9,Paramètres!$A$1:$I$89,3,0)*0.475*44/12</f>
        <v>7.639894867436909E-23</v>
      </c>
      <c r="AC186" s="22">
        <f t="shared" si="163"/>
        <v>0.18038227038760266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-1.9065282685915009E-13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544.48194192356823</v>
      </c>
      <c r="AO186" s="59">
        <f t="shared" si="144"/>
        <v>668.20427590250733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0.35468615392894404</v>
      </c>
      <c r="AV186" s="21">
        <f>EXP(-LN(2)/25)*AV185+(1-EXP(-LN(2)/25))/(LN(2)/25)*Calculateur!AQ186*Calculateur!AS186*VLOOKUP('Données projet'!$B$10,Paramètres!$A$1:$I$89,3,0)*0.475*44/12</f>
        <v>0.51358812569442136</v>
      </c>
      <c r="AW186" s="21">
        <f>EXP(-LN(2)/2)*AW185+(1-EXP(-LN(2)/2))/(LN(2)/2)*AQ186*AT186*VLOOKUP('Données projet'!$B$10,Paramètres!$A$1:$I$89,3,0)*0.475*44/12</f>
        <v>1.4908691754212863E-22</v>
      </c>
      <c r="AX186" s="21">
        <f t="shared" si="166"/>
        <v>0.86827427962336534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162.86181551380446</v>
      </c>
      <c r="BJ186" s="59">
        <f t="shared" si="146"/>
        <v>184.96823352120742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0.191390072033641</v>
      </c>
      <c r="BQ186" s="21">
        <f>EXP(-LN(2)/25)*BQ185+(1-EXP(-LN(2)/25))/(LN(2)/25)*Calculateur!BL186*Calculateur!BN186*VLOOKUP('Données projet'!$B$11,Paramètres!$A$1:$I$89,3,0)*0.475*44/12</f>
        <v>4.4970062240396465E-2</v>
      </c>
      <c r="BR186" s="21">
        <f>EXP(-LN(2)/2)*BR185+(1-EXP(-LN(2)/2))/(LN(2)/2)*BL186*BO186*VLOOKUP('Données projet'!$B$11,Paramètres!$A$1:$I$89,3,0)*0.475*44/12</f>
        <v>1.5623167169642142E-23</v>
      </c>
      <c r="BS186" s="22">
        <f t="shared" si="169"/>
        <v>0.23636013427403746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-3.1036506698001178E-14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207.02306964567629</v>
      </c>
      <c r="CE186" s="59">
        <f t="shared" si="148"/>
        <v>342.06887933351783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0.31914255203416186</v>
      </c>
      <c r="CL186" s="21">
        <f>EXP(-LN(2)/25)*CL185+(1-EXP(-LN(2)/25))/(LN(2)/25)*Calculateur!CG186*Calculateur!CI186*VLOOKUP('Données projet'!$B$12,Paramètres!$A$1:$I$89,3,0)*0.475*44/12</f>
        <v>0.55958413515952743</v>
      </c>
      <c r="CM186" s="21">
        <f>EXP(-LN(2)/2)*CM185+(1-EXP(-LN(2)/2))/(LN(2)/2)*CG186*CJ186*VLOOKUP('Données projet'!$B$12,Paramètres!$A$1:$I$89,3,0)*0.475*44/12</f>
        <v>1.2422495821784371E-22</v>
      </c>
      <c r="CN186" s="22">
        <f t="shared" si="172"/>
        <v>0.87872668719368929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-4.9658410716801891E-14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268.31928207836495</v>
      </c>
      <c r="T187" s="59">
        <f t="shared" si="142"/>
        <v>277.61304526670204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9.7460690776523973E-2</v>
      </c>
      <c r="AA187" s="21">
        <f>EXP(-LN(2)/25)*AA186+(1-EXP(-LN(2)/25))/(LN(2)/25)*Calculateur!V187*Calculateur!X187*VLOOKUP('Données projet'!$B$9,Paramètres!$A$1:$I$89,3,0)*0.475*44/12</f>
        <v>7.8758019628631937E-2</v>
      </c>
      <c r="AB187" s="21">
        <f>EXP(-LN(2)/2)*AB186+(1-EXP(-LN(2)/2))/(LN(2)/2)*V187*Y187*VLOOKUP('Données projet'!$B$9,Paramètres!$A$1:$I$89,3,0)*0.475*44/12</f>
        <v>5.4022214683169379E-23</v>
      </c>
      <c r="AC187" s="22">
        <f t="shared" si="163"/>
        <v>0.17621871040515591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-1.9065282685915009E-13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544.48194192356823</v>
      </c>
      <c r="AO187" s="59">
        <f t="shared" si="144"/>
        <v>668.20427590250733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0.3477309747875898</v>
      </c>
      <c r="AV187" s="21">
        <f>EXP(-LN(2)/25)*AV186+(1-EXP(-LN(2)/25))/(LN(2)/25)*Calculateur!AQ187*Calculateur!AS187*VLOOKUP('Données projet'!$B$10,Paramètres!$A$1:$I$89,3,0)*0.475*44/12</f>
        <v>0.4995440313888817</v>
      </c>
      <c r="AW187" s="21">
        <f>EXP(-LN(2)/2)*AW186+(1-EXP(-LN(2)/2))/(LN(2)/2)*AQ187*AT187*VLOOKUP('Données projet'!$B$10,Paramètres!$A$1:$I$89,3,0)*0.475*44/12</f>
        <v>1.0542037038023881E-22</v>
      </c>
      <c r="AX187" s="21">
        <f t="shared" si="166"/>
        <v>0.84727500617647156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162.86181551380446</v>
      </c>
      <c r="BJ187" s="59">
        <f t="shared" si="146"/>
        <v>184.96823352120742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0.18763702945747848</v>
      </c>
      <c r="BQ187" s="21">
        <f>EXP(-LN(2)/25)*BQ186+(1-EXP(-LN(2)/25))/(LN(2)/25)*Calculateur!BL187*Calculateur!BN187*VLOOKUP('Données projet'!$B$11,Paramètres!$A$1:$I$89,3,0)*0.475*44/12</f>
        <v>4.3740353523560031E-2</v>
      </c>
      <c r="BR187" s="21">
        <f>EXP(-LN(2)/2)*BR186+(1-EXP(-LN(2)/2))/(LN(2)/2)*BL187*BO187*VLOOKUP('Données projet'!$B$11,Paramètres!$A$1:$I$89,3,0)*0.475*44/12</f>
        <v>1.1047247449264999E-23</v>
      </c>
      <c r="BS187" s="22">
        <f t="shared" si="169"/>
        <v>0.23137738298103852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-3.1036506698001178E-14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207.02306964567629</v>
      </c>
      <c r="CE187" s="59">
        <f t="shared" si="148"/>
        <v>342.06887933351783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0.31288436124650781</v>
      </c>
      <c r="CL187" s="21">
        <f>EXP(-LN(2)/25)*CL186+(1-EXP(-LN(2)/25))/(LN(2)/25)*Calculateur!CG187*Calculateur!CI187*VLOOKUP('Données projet'!$B$12,Paramètres!$A$1:$I$89,3,0)*0.475*44/12</f>
        <v>0.5442822775563394</v>
      </c>
      <c r="CM187" s="21">
        <f>EXP(-LN(2)/2)*CM186+(1-EXP(-LN(2)/2))/(LN(2)/2)*CG187*CJ187*VLOOKUP('Données projet'!$B$12,Paramètres!$A$1:$I$89,3,0)*0.475*44/12</f>
        <v>8.7840310348452824E-23</v>
      </c>
      <c r="CN187" s="22">
        <f t="shared" si="172"/>
        <v>0.85716663880284716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-4.9658410716801891E-14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268.31928207836495</v>
      </c>
      <c r="T188" s="59">
        <f t="shared" si="142"/>
        <v>277.61304526670204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9.5549546075547984E-2</v>
      </c>
      <c r="AA188" s="21">
        <f>EXP(-LN(2)/25)*AA187+(1-EXP(-LN(2)/25))/(LN(2)/25)*Calculateur!V188*Calculateur!X188*VLOOKUP('Données projet'!$B$9,Paramètres!$A$1:$I$89,3,0)*0.475*44/12</f>
        <v>7.6604377440182753E-2</v>
      </c>
      <c r="AB188" s="21">
        <f>EXP(-LN(2)/2)*AB187+(1-EXP(-LN(2)/2))/(LN(2)/2)*V188*Y188*VLOOKUP('Données projet'!$B$9,Paramètres!$A$1:$I$89,3,0)*0.475*44/12</f>
        <v>3.8199474337184545E-23</v>
      </c>
      <c r="AC188" s="22">
        <f t="shared" si="163"/>
        <v>0.17215392351573072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-1.9065282685915009E-13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544.48194192356823</v>
      </c>
      <c r="AO188" s="59">
        <f t="shared" si="144"/>
        <v>668.20427590250733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0.34091218246695715</v>
      </c>
      <c r="AV188" s="21">
        <f>EXP(-LN(2)/25)*AV187+(1-EXP(-LN(2)/25))/(LN(2)/25)*Calculateur!AQ188*Calculateur!AS188*VLOOKUP('Données projet'!$B$10,Paramètres!$A$1:$I$89,3,0)*0.475*44/12</f>
        <v>0.48588397358067387</v>
      </c>
      <c r="AW188" s="21">
        <f>EXP(-LN(2)/2)*AW187+(1-EXP(-LN(2)/2))/(LN(2)/2)*AQ188*AT188*VLOOKUP('Données projet'!$B$10,Paramètres!$A$1:$I$89,3,0)*0.475*44/12</f>
        <v>7.4543458771064327E-23</v>
      </c>
      <c r="AX188" s="21">
        <f t="shared" si="166"/>
        <v>0.82679615604763101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162.86181551380446</v>
      </c>
      <c r="BJ188" s="59">
        <f t="shared" si="146"/>
        <v>184.96823352120742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0.18395758175710455</v>
      </c>
      <c r="BQ188" s="21">
        <f>EXP(-LN(2)/25)*BQ187+(1-EXP(-LN(2)/25))/(LN(2)/25)*Calculateur!BL188*Calculateur!BN188*VLOOKUP('Données projet'!$B$11,Paramètres!$A$1:$I$89,3,0)*0.475*44/12</f>
        <v>4.2544271256253062E-2</v>
      </c>
      <c r="BR188" s="21">
        <f>EXP(-LN(2)/2)*BR187+(1-EXP(-LN(2)/2))/(LN(2)/2)*BL188*BO188*VLOOKUP('Données projet'!$B$11,Paramètres!$A$1:$I$89,3,0)*0.475*44/12</f>
        <v>7.811583584821071E-24</v>
      </c>
      <c r="BS188" s="22">
        <f t="shared" si="169"/>
        <v>0.22650185301335762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-3.1036506698001178E-14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207.02306964567629</v>
      </c>
      <c r="CE188" s="59">
        <f t="shared" si="148"/>
        <v>342.06887933351783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0.30674888976308023</v>
      </c>
      <c r="CL188" s="21">
        <f>EXP(-LN(2)/25)*CL187+(1-EXP(-LN(2)/25))/(LN(2)/25)*Calculateur!CG188*Calculateur!CI188*VLOOKUP('Données projet'!$B$12,Paramètres!$A$1:$I$89,3,0)*0.475*44/12</f>
        <v>0.52939885005400034</v>
      </c>
      <c r="CM188" s="21">
        <f>EXP(-LN(2)/2)*CM187+(1-EXP(-LN(2)/2))/(LN(2)/2)*CG188*CJ188*VLOOKUP('Données projet'!$B$12,Paramètres!$A$1:$I$89,3,0)*0.475*44/12</f>
        <v>6.2112479108921856E-23</v>
      </c>
      <c r="CN188" s="22">
        <f t="shared" si="172"/>
        <v>0.83614773981708057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-4.9658410716801891E-14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268.31928207836495</v>
      </c>
      <c r="T189" s="59">
        <f t="shared" si="142"/>
        <v>277.61304526670204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9.3675877756474971E-2</v>
      </c>
      <c r="AA189" s="21">
        <f>EXP(-LN(2)/25)*AA188+(1-EXP(-LN(2)/25))/(LN(2)/25)*Calculateur!V189*Calculateur!X189*VLOOKUP('Données projet'!$B$9,Paramètres!$A$1:$I$89,3,0)*0.475*44/12</f>
        <v>7.4509626710631827E-2</v>
      </c>
      <c r="AB189" s="21">
        <f>EXP(-LN(2)/2)*AB188+(1-EXP(-LN(2)/2))/(LN(2)/2)*V189*Y189*VLOOKUP('Données projet'!$B$9,Paramètres!$A$1:$I$89,3,0)*0.475*44/12</f>
        <v>2.7011107341584689E-23</v>
      </c>
      <c r="AC189" s="22">
        <f t="shared" si="163"/>
        <v>0.16818550446710678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-1.9065282685915009E-13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544.48194192356823</v>
      </c>
      <c r="AO189" s="59">
        <f t="shared" si="144"/>
        <v>668.20427590250733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0.33422710250467946</v>
      </c>
      <c r="AV189" s="21">
        <f>EXP(-LN(2)/25)*AV188+(1-EXP(-LN(2)/25))/(LN(2)/25)*Calculateur!AQ189*Calculateur!AS189*VLOOKUP('Données projet'!$B$10,Paramètres!$A$1:$I$89,3,0)*0.475*44/12</f>
        <v>0.47259745077158266</v>
      </c>
      <c r="AW189" s="21">
        <f>EXP(-LN(2)/2)*AW188+(1-EXP(-LN(2)/2))/(LN(2)/2)*AQ189*AT189*VLOOKUP('Données projet'!$B$10,Paramètres!$A$1:$I$89,3,0)*0.475*44/12</f>
        <v>5.2710185190119411E-23</v>
      </c>
      <c r="AX189" s="21">
        <f t="shared" si="166"/>
        <v>0.80682455327626212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162.86181551380446</v>
      </c>
      <c r="BJ189" s="59">
        <f t="shared" si="146"/>
        <v>184.96823352120742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0.18035028578189347</v>
      </c>
      <c r="BQ189" s="21">
        <f>EXP(-LN(2)/25)*BQ188+(1-EXP(-LN(2)/25))/(LN(2)/25)*Calculateur!BL189*Calculateur!BN189*VLOOKUP('Données projet'!$B$11,Paramètres!$A$1:$I$89,3,0)*0.475*44/12</f>
        <v>4.1380895921444831E-2</v>
      </c>
      <c r="BR189" s="21">
        <f>EXP(-LN(2)/2)*BR188+(1-EXP(-LN(2)/2))/(LN(2)/2)*BL189*BO189*VLOOKUP('Données projet'!$B$11,Paramètres!$A$1:$I$89,3,0)*0.475*44/12</f>
        <v>5.5236237246324996E-24</v>
      </c>
      <c r="BS189" s="22">
        <f t="shared" si="169"/>
        <v>0.2217311817033383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-3.1036506698001178E-14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207.02306964567629</v>
      </c>
      <c r="CE189" s="59">
        <f t="shared" si="148"/>
        <v>342.06887933351783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0.30073373113317459</v>
      </c>
      <c r="CL189" s="21">
        <f>EXP(-LN(2)/25)*CL188+(1-EXP(-LN(2)/25))/(LN(2)/25)*Calculateur!CG189*Calculateur!CI189*VLOOKUP('Données projet'!$B$12,Paramètres!$A$1:$I$89,3,0)*0.475*44/12</f>
        <v>0.51492241065939814</v>
      </c>
      <c r="CM189" s="21">
        <f>EXP(-LN(2)/2)*CM188+(1-EXP(-LN(2)/2))/(LN(2)/2)*CG189*CJ189*VLOOKUP('Données projet'!$B$12,Paramètres!$A$1:$I$89,3,0)*0.475*44/12</f>
        <v>4.3920155174226412E-23</v>
      </c>
      <c r="CN189" s="22">
        <f t="shared" si="172"/>
        <v>0.81565614179257273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-4.9658410716801891E-14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268.31928207836495</v>
      </c>
      <c r="T190" s="59">
        <f t="shared" si="142"/>
        <v>277.61304526670204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9.1838950930314148E-2</v>
      </c>
      <c r="AA190" s="21">
        <f>EXP(-LN(2)/25)*AA189+(1-EXP(-LN(2)/25))/(LN(2)/25)*Calculateur!V190*Calculateur!X190*VLOOKUP('Données projet'!$B$9,Paramètres!$A$1:$I$89,3,0)*0.475*44/12</f>
        <v>7.2472157049938618E-2</v>
      </c>
      <c r="AB190" s="21">
        <f>EXP(-LN(2)/2)*AB189+(1-EXP(-LN(2)/2))/(LN(2)/2)*V190*Y190*VLOOKUP('Données projet'!$B$9,Paramètres!$A$1:$I$89,3,0)*0.475*44/12</f>
        <v>1.9099737168592273E-23</v>
      </c>
      <c r="AC190" s="22">
        <f t="shared" si="163"/>
        <v>0.16431110798025278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-1.9065282685915009E-13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544.48194192356823</v>
      </c>
      <c r="AO190" s="59">
        <f t="shared" si="144"/>
        <v>668.20427590250733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0.32767311288296586</v>
      </c>
      <c r="AV190" s="21">
        <f>EXP(-LN(2)/25)*AV189+(1-EXP(-LN(2)/25))/(LN(2)/25)*Calculateur!AQ190*Calculateur!AS190*VLOOKUP('Données projet'!$B$10,Paramètres!$A$1:$I$89,3,0)*0.475*44/12</f>
        <v>0.45967424862741391</v>
      </c>
      <c r="AW190" s="21">
        <f>EXP(-LN(2)/2)*AW189+(1-EXP(-LN(2)/2))/(LN(2)/2)*AQ190*AT190*VLOOKUP('Données projet'!$B$10,Paramètres!$A$1:$I$89,3,0)*0.475*44/12</f>
        <v>3.727172938553217E-23</v>
      </c>
      <c r="AX190" s="21">
        <f t="shared" si="166"/>
        <v>0.78734736151037976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162.86181551380446</v>
      </c>
      <c r="BJ190" s="59">
        <f t="shared" si="146"/>
        <v>184.96823352120742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0.17681372668052298</v>
      </c>
      <c r="BQ190" s="21">
        <f>EXP(-LN(2)/25)*BQ189+(1-EXP(-LN(2)/25))/(LN(2)/25)*Calculateur!BL190*Calculateur!BN190*VLOOKUP('Données projet'!$B$11,Paramètres!$A$1:$I$89,3,0)*0.475*44/12</f>
        <v>4.0249333146346183E-2</v>
      </c>
      <c r="BR190" s="21">
        <f>EXP(-LN(2)/2)*BR189+(1-EXP(-LN(2)/2))/(LN(2)/2)*BL190*BO190*VLOOKUP('Données projet'!$B$11,Paramètres!$A$1:$I$89,3,0)*0.475*44/12</f>
        <v>3.9057917924105355E-24</v>
      </c>
      <c r="BS190" s="22">
        <f t="shared" si="169"/>
        <v>0.21706305982686916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-3.1036506698001178E-14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207.02306964567629</v>
      </c>
      <c r="CE190" s="59">
        <f t="shared" si="148"/>
        <v>342.06887933351783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0.29483652609511685</v>
      </c>
      <c r="CL190" s="21">
        <f>EXP(-LN(2)/25)*CL189+(1-EXP(-LN(2)/25))/(LN(2)/25)*Calculateur!CG190*Calculateur!CI190*VLOOKUP('Données projet'!$B$12,Paramètres!$A$1:$I$89,3,0)*0.475*44/12</f>
        <v>0.50084183026132423</v>
      </c>
      <c r="CM190" s="21">
        <f>EXP(-LN(2)/2)*CM189+(1-EXP(-LN(2)/2))/(LN(2)/2)*CG190*CJ190*VLOOKUP('Données projet'!$B$12,Paramètres!$A$1:$I$89,3,0)*0.475*44/12</f>
        <v>3.1056239554460928E-23</v>
      </c>
      <c r="CN190" s="22">
        <f t="shared" si="172"/>
        <v>0.79567835635644113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-4.9658410716801891E-14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268.31928207836495</v>
      </c>
      <c r="T191" s="59">
        <f t="shared" si="142"/>
        <v>277.61304526670204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9.0038045118799606E-2</v>
      </c>
      <c r="AA191" s="21">
        <f>EXP(-LN(2)/25)*AA190+(1-EXP(-LN(2)/25))/(LN(2)/25)*Calculateur!V191*Calculateur!X191*VLOOKUP('Données projet'!$B$9,Paramètres!$A$1:$I$89,3,0)*0.475*44/12</f>
        <v>7.0490402104262939E-2</v>
      </c>
      <c r="AB191" s="21">
        <f>EXP(-LN(2)/2)*AB190+(1-EXP(-LN(2)/2))/(LN(2)/2)*V191*Y191*VLOOKUP('Données projet'!$B$9,Paramètres!$A$1:$I$89,3,0)*0.475*44/12</f>
        <v>1.3505553670792345E-23</v>
      </c>
      <c r="AC191" s="22">
        <f t="shared" si="163"/>
        <v>0.16052844722306253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-1.9065282685915009E-13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544.48194192356823</v>
      </c>
      <c r="AO191" s="59">
        <f t="shared" si="144"/>
        <v>668.20427590250733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0.32124764300019515</v>
      </c>
      <c r="AV191" s="21">
        <f>EXP(-LN(2)/25)*AV190+(1-EXP(-LN(2)/25))/(LN(2)/25)*Calculateur!AQ191*Calculateur!AS191*VLOOKUP('Données projet'!$B$10,Paramètres!$A$1:$I$89,3,0)*0.475*44/12</f>
        <v>0.44710443212547912</v>
      </c>
      <c r="AW191" s="21">
        <f>EXP(-LN(2)/2)*AW190+(1-EXP(-LN(2)/2))/(LN(2)/2)*AQ191*AT191*VLOOKUP('Données projet'!$B$10,Paramètres!$A$1:$I$89,3,0)*0.475*44/12</f>
        <v>2.6355092595059711E-23</v>
      </c>
      <c r="AX191" s="21">
        <f t="shared" si="166"/>
        <v>0.76835207512567427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162.86181551380446</v>
      </c>
      <c r="BJ191" s="59">
        <f t="shared" si="146"/>
        <v>184.96823352120742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0.17334651734604231</v>
      </c>
      <c r="BQ191" s="21">
        <f>EXP(-LN(2)/25)*BQ190+(1-EXP(-LN(2)/25))/(LN(2)/25)*Calculateur!BL191*Calculateur!BN191*VLOOKUP('Données projet'!$B$11,Paramètres!$A$1:$I$89,3,0)*0.475*44/12</f>
        <v>3.914871301483891E-2</v>
      </c>
      <c r="BR191" s="21">
        <f>EXP(-LN(2)/2)*BR190+(1-EXP(-LN(2)/2))/(LN(2)/2)*BL191*BO191*VLOOKUP('Données projet'!$B$11,Paramètres!$A$1:$I$89,3,0)*0.475*44/12</f>
        <v>2.7618118623162498E-24</v>
      </c>
      <c r="BS191" s="22">
        <f t="shared" si="169"/>
        <v>0.21249523036088122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-3.1036506698001178E-14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207.02306964567629</v>
      </c>
      <c r="CE191" s="59">
        <f t="shared" si="148"/>
        <v>342.06887933351783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0.28905496165091554</v>
      </c>
      <c r="CL191" s="21">
        <f>EXP(-LN(2)/25)*CL190+(1-EXP(-LN(2)/25))/(LN(2)/25)*Calculateur!CG191*Calculateur!CI191*VLOOKUP('Données projet'!$B$12,Paramètres!$A$1:$I$89,3,0)*0.475*44/12</f>
        <v>0.48714628407470117</v>
      </c>
      <c r="CM191" s="21">
        <f>EXP(-LN(2)/2)*CM190+(1-EXP(-LN(2)/2))/(LN(2)/2)*CG191*CJ191*VLOOKUP('Données projet'!$B$12,Paramètres!$A$1:$I$89,3,0)*0.475*44/12</f>
        <v>2.1960077587113206E-23</v>
      </c>
      <c r="CN191" s="22">
        <f t="shared" si="172"/>
        <v>0.77620124572561666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-4.9658410716801891E-14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268.31928207836495</v>
      </c>
      <c r="T192" s="59">
        <f t="shared" si="142"/>
        <v>277.61304526670204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8.827245397180479E-2</v>
      </c>
      <c r="AA192" s="21">
        <f>EXP(-LN(2)/25)*AA191+(1-EXP(-LN(2)/25))/(LN(2)/25)*Calculateur!V192*Calculateur!X192*VLOOKUP('Données projet'!$B$9,Paramètres!$A$1:$I$89,3,0)*0.475*44/12</f>
        <v>6.8562838351792735E-2</v>
      </c>
      <c r="AB192" s="21">
        <f>EXP(-LN(2)/2)*AB191+(1-EXP(-LN(2)/2))/(LN(2)/2)*V192*Y192*VLOOKUP('Données projet'!$B$9,Paramètres!$A$1:$I$89,3,0)*0.475*44/12</f>
        <v>9.5498685842961363E-24</v>
      </c>
      <c r="AC192" s="22">
        <f t="shared" si="163"/>
        <v>0.15683529232359752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-1.9065282685915009E-13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544.48194192356823</v>
      </c>
      <c r="AO192" s="59">
        <f t="shared" si="144"/>
        <v>668.20427590250733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0.31494817266267594</v>
      </c>
      <c r="AV192" s="21">
        <f>EXP(-LN(2)/25)*AV191+(1-EXP(-LN(2)/25))/(LN(2)/25)*Calculateur!AQ192*Calculateur!AS192*VLOOKUP('Données projet'!$B$10,Paramètres!$A$1:$I$89,3,0)*0.475*44/12</f>
        <v>0.43487833791680769</v>
      </c>
      <c r="AW192" s="21">
        <f>EXP(-LN(2)/2)*AW191+(1-EXP(-LN(2)/2))/(LN(2)/2)*AQ192*AT192*VLOOKUP('Données projet'!$B$10,Paramètres!$A$1:$I$89,3,0)*0.475*44/12</f>
        <v>1.8635864692766088E-23</v>
      </c>
      <c r="AX192" s="21">
        <f t="shared" si="166"/>
        <v>0.74982651057948368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162.86181551380446</v>
      </c>
      <c r="BJ192" s="59">
        <f t="shared" si="146"/>
        <v>184.96823352120742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0.16994729787182195</v>
      </c>
      <c r="BQ192" s="21">
        <f>EXP(-LN(2)/25)*BQ191+(1-EXP(-LN(2)/25))/(LN(2)/25)*Calculateur!BL192*Calculateur!BN192*VLOOKUP('Données projet'!$B$11,Paramètres!$A$1:$I$89,3,0)*0.475*44/12</f>
        <v>3.8078189398706795E-2</v>
      </c>
      <c r="BR192" s="21">
        <f>EXP(-LN(2)/2)*BR191+(1-EXP(-LN(2)/2))/(LN(2)/2)*BL192*BO192*VLOOKUP('Données projet'!$B$11,Paramètres!$A$1:$I$89,3,0)*0.475*44/12</f>
        <v>1.9528958962052677E-24</v>
      </c>
      <c r="BS192" s="22">
        <f t="shared" si="169"/>
        <v>0.20802548727052875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-3.1036506698001178E-14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207.02306964567629</v>
      </c>
      <c r="CE192" s="59">
        <f t="shared" si="148"/>
        <v>342.06887933351783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0.28338677015905889</v>
      </c>
      <c r="CL192" s="21">
        <f>EXP(-LN(2)/25)*CL191+(1-EXP(-LN(2)/25))/(LN(2)/25)*Calculateur!CG192*Calculateur!CI192*VLOOKUP('Données projet'!$B$12,Paramètres!$A$1:$I$89,3,0)*0.475*44/12</f>
        <v>0.4738252433187688</v>
      </c>
      <c r="CM192" s="21">
        <f>EXP(-LN(2)/2)*CM191+(1-EXP(-LN(2)/2))/(LN(2)/2)*CG192*CJ192*VLOOKUP('Données projet'!$B$12,Paramètres!$A$1:$I$89,3,0)*0.475*44/12</f>
        <v>1.5528119777230464E-23</v>
      </c>
      <c r="CN192" s="22">
        <f t="shared" si="172"/>
        <v>0.75721201347782774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-4.9658410716801891E-14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268.31928207836495</v>
      </c>
      <c r="T193" s="59">
        <f t="shared" si="142"/>
        <v>277.61304526670204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8.6541484990298276E-2</v>
      </c>
      <c r="AA193" s="21">
        <f>EXP(-LN(2)/25)*AA192+(1-EXP(-LN(2)/25))/(LN(2)/25)*Calculateur!V193*Calculateur!X193*VLOOKUP('Données projet'!$B$9,Paramètres!$A$1:$I$89,3,0)*0.475*44/12</f>
        <v>6.6687983931499994E-2</v>
      </c>
      <c r="AB193" s="21">
        <f>EXP(-LN(2)/2)*AB192+(1-EXP(-LN(2)/2))/(LN(2)/2)*V193*Y193*VLOOKUP('Données projet'!$B$9,Paramètres!$A$1:$I$89,3,0)*0.475*44/12</f>
        <v>6.7527768353961724E-24</v>
      </c>
      <c r="AC193" s="22">
        <f t="shared" si="163"/>
        <v>0.15322946892179828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-1.9065282685915009E-13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544.48194192356823</v>
      </c>
      <c r="AO193" s="59">
        <f t="shared" si="144"/>
        <v>668.20427590250733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0.30877223109617796</v>
      </c>
      <c r="AV193" s="21">
        <f>EXP(-LN(2)/25)*AV192+(1-EXP(-LN(2)/25))/(LN(2)/25)*Calculateur!AQ193*Calculateur!AS193*VLOOKUP('Données projet'!$B$10,Paramètres!$A$1:$I$89,3,0)*0.475*44/12</f>
        <v>0.4229865668972147</v>
      </c>
      <c r="AW193" s="21">
        <f>EXP(-LN(2)/2)*AW192+(1-EXP(-LN(2)/2))/(LN(2)/2)*AQ193*AT193*VLOOKUP('Données projet'!$B$10,Paramètres!$A$1:$I$89,3,0)*0.475*44/12</f>
        <v>1.3177546297529857E-23</v>
      </c>
      <c r="AX193" s="21">
        <f t="shared" si="166"/>
        <v>0.73175879799339261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162.86181551380446</v>
      </c>
      <c r="BJ193" s="59">
        <f t="shared" si="146"/>
        <v>184.96823352120742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0.16661473501817187</v>
      </c>
      <c r="BQ193" s="21">
        <f>EXP(-LN(2)/25)*BQ192+(1-EXP(-LN(2)/25))/(LN(2)/25)*Calculateur!BL193*Calculateur!BN193*VLOOKUP('Données projet'!$B$11,Paramètres!$A$1:$I$89,3,0)*0.475*44/12</f>
        <v>3.703693930715421E-2</v>
      </c>
      <c r="BR193" s="21">
        <f>EXP(-LN(2)/2)*BR192+(1-EXP(-LN(2)/2))/(LN(2)/2)*BL193*BO193*VLOOKUP('Données projet'!$B$11,Paramètres!$A$1:$I$89,3,0)*0.475*44/12</f>
        <v>1.3809059311581249E-24</v>
      </c>
      <c r="BS193" s="22">
        <f t="shared" si="169"/>
        <v>0.20365167432532608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-3.1036506698001178E-14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207.02306964567629</v>
      </c>
      <c r="CE193" s="59">
        <f t="shared" si="148"/>
        <v>342.06887933351783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0.27782972844510212</v>
      </c>
      <c r="CL193" s="21">
        <f>EXP(-LN(2)/25)*CL192+(1-EXP(-LN(2)/25))/(LN(2)/25)*Calculateur!CG193*Calculateur!CI193*VLOOKUP('Données projet'!$B$12,Paramètres!$A$1:$I$89,3,0)*0.475*44/12</f>
        <v>0.46086846712283047</v>
      </c>
      <c r="CM193" s="21">
        <f>EXP(-LN(2)/2)*CM192+(1-EXP(-LN(2)/2))/(LN(2)/2)*CG193*CJ193*VLOOKUP('Données projet'!$B$12,Paramètres!$A$1:$I$89,3,0)*0.475*44/12</f>
        <v>1.0980038793556603E-23</v>
      </c>
      <c r="CN193" s="22">
        <f t="shared" si="172"/>
        <v>0.73869819556793259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-4.9658410716801891E-14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268.31928207836495</v>
      </c>
      <c r="T194" s="59">
        <f t="shared" si="142"/>
        <v>277.61304526670204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8.4844459254732274E-2</v>
      </c>
      <c r="AA194" s="21">
        <f>EXP(-LN(2)/25)*AA193+(1-EXP(-LN(2)/25))/(LN(2)/25)*Calculateur!V194*Calculateur!X194*VLOOKUP('Données projet'!$B$9,Paramètres!$A$1:$I$89,3,0)*0.475*44/12</f>
        <v>6.4864397503924476E-2</v>
      </c>
      <c r="AB194" s="21">
        <f>EXP(-LN(2)/2)*AB193+(1-EXP(-LN(2)/2))/(LN(2)/2)*V194*Y194*VLOOKUP('Données projet'!$B$9,Paramètres!$A$1:$I$89,3,0)*0.475*44/12</f>
        <v>4.7749342921480681E-24</v>
      </c>
      <c r="AC194" s="22">
        <f t="shared" si="163"/>
        <v>0.14970885675865675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-1.9065282685915009E-13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544.48194192356823</v>
      </c>
      <c r="AO194" s="59">
        <f t="shared" si="144"/>
        <v>668.20427590250733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0.3027173959768466</v>
      </c>
      <c r="AV194" s="21">
        <f>EXP(-LN(2)/25)*AV193+(1-EXP(-LN(2)/25))/(LN(2)/25)*Calculateur!AQ194*Calculateur!AS194*VLOOKUP('Données projet'!$B$10,Paramètres!$A$1:$I$89,3,0)*0.475*44/12</f>
        <v>0.41141997698151356</v>
      </c>
      <c r="AW194" s="21">
        <f>EXP(-LN(2)/2)*AW193+(1-EXP(-LN(2)/2))/(LN(2)/2)*AQ194*AT194*VLOOKUP('Données projet'!$B$10,Paramètres!$A$1:$I$89,3,0)*0.475*44/12</f>
        <v>9.3179323463830453E-24</v>
      </c>
      <c r="AX194" s="21">
        <f t="shared" si="166"/>
        <v>0.71413737295836022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162.86181551380446</v>
      </c>
      <c r="BJ194" s="59">
        <f t="shared" si="146"/>
        <v>184.96823352120742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0.16334752168941924</v>
      </c>
      <c r="BQ194" s="21">
        <f>EXP(-LN(2)/25)*BQ193+(1-EXP(-LN(2)/25))/(LN(2)/25)*Calculateur!BL194*Calculateur!BN194*VLOOKUP('Données projet'!$B$11,Paramètres!$A$1:$I$89,3,0)*0.475*44/12</f>
        <v>3.6024162254112091E-2</v>
      </c>
      <c r="BR194" s="21">
        <f>EXP(-LN(2)/2)*BR193+(1-EXP(-LN(2)/2))/(LN(2)/2)*BL194*BO194*VLOOKUP('Données projet'!$B$11,Paramètres!$A$1:$I$89,3,0)*0.475*44/12</f>
        <v>9.7644794810263387E-25</v>
      </c>
      <c r="BS194" s="22">
        <f t="shared" si="169"/>
        <v>0.19937168394353133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-3.1036506698001178E-14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207.02306964567629</v>
      </c>
      <c r="CE194" s="59">
        <f t="shared" si="148"/>
        <v>342.06887933351783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0.27238165692969529</v>
      </c>
      <c r="CL194" s="21">
        <f>EXP(-LN(2)/25)*CL193+(1-EXP(-LN(2)/25))/(LN(2)/25)*Calculateur!CG194*Calculateur!CI194*VLOOKUP('Données projet'!$B$12,Paramètres!$A$1:$I$89,3,0)*0.475*44/12</f>
        <v>0.44826599465333733</v>
      </c>
      <c r="CM194" s="21">
        <f>EXP(-LN(2)/2)*CM193+(1-EXP(-LN(2)/2))/(LN(2)/2)*CG194*CJ194*VLOOKUP('Données projet'!$B$12,Paramètres!$A$1:$I$89,3,0)*0.475*44/12</f>
        <v>7.764059888615232E-24</v>
      </c>
      <c r="CN194" s="22">
        <f t="shared" si="172"/>
        <v>0.72064765158303268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-4.9658410716801891E-14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268.31928207836495</v>
      </c>
      <c r="T195" s="59">
        <f t="shared" si="142"/>
        <v>277.61304526670204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8.3180711158757234E-2</v>
      </c>
      <c r="AA195" s="21">
        <f>EXP(-LN(2)/25)*AA194+(1-EXP(-LN(2)/25))/(LN(2)/25)*Calculateur!V195*Calculateur!X195*VLOOKUP('Données projet'!$B$9,Paramètres!$A$1:$I$89,3,0)*0.475*44/12</f>
        <v>6.3090677143109244E-2</v>
      </c>
      <c r="AB195" s="21">
        <f>EXP(-LN(2)/2)*AB194+(1-EXP(-LN(2)/2))/(LN(2)/2)*V195*Y195*VLOOKUP('Données projet'!$B$9,Paramètres!$A$1:$I$89,3,0)*0.475*44/12</f>
        <v>3.3763884176980862E-24</v>
      </c>
      <c r="AC195" s="22">
        <f t="shared" si="163"/>
        <v>0.14627138830186648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-1.9065282685915009E-13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544.48194192356823</v>
      </c>
      <c r="AO195" s="59">
        <f t="shared" si="144"/>
        <v>668.20427590250733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0.29678129248112056</v>
      </c>
      <c r="AV195" s="21">
        <f>EXP(-LN(2)/25)*AV194+(1-EXP(-LN(2)/25))/(LN(2)/25)*Calculateur!AQ195*Calculateur!AS195*VLOOKUP('Données projet'!$B$10,Paramètres!$A$1:$I$89,3,0)*0.475*44/12</f>
        <v>0.40016967607531778</v>
      </c>
      <c r="AW195" s="21">
        <f>EXP(-LN(2)/2)*AW194+(1-EXP(-LN(2)/2))/(LN(2)/2)*AQ195*AT195*VLOOKUP('Données projet'!$B$10,Paramètres!$A$1:$I$89,3,0)*0.475*44/12</f>
        <v>6.5887731487649301E-24</v>
      </c>
      <c r="AX195" s="21">
        <f t="shared" si="166"/>
        <v>0.69695096855643834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162.86181551380446</v>
      </c>
      <c r="BJ195" s="59">
        <f t="shared" si="146"/>
        <v>184.96823352120742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0.1601443764212401</v>
      </c>
      <c r="BQ195" s="21">
        <f>EXP(-LN(2)/25)*BQ194+(1-EXP(-LN(2)/25))/(LN(2)/25)*Calculateur!BL195*Calculateur!BN195*VLOOKUP('Données projet'!$B$11,Paramètres!$A$1:$I$89,3,0)*0.475*44/12</f>
        <v>3.5039079642845035E-2</v>
      </c>
      <c r="BR195" s="21">
        <f>EXP(-LN(2)/2)*BR194+(1-EXP(-LN(2)/2))/(LN(2)/2)*BL195*BO195*VLOOKUP('Données projet'!$B$11,Paramètres!$A$1:$I$89,3,0)*0.475*44/12</f>
        <v>6.9045296557906245E-25</v>
      </c>
      <c r="BS195" s="22">
        <f t="shared" si="169"/>
        <v>0.19518345606408513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-3.1036506698001178E-14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207.02306964567629</v>
      </c>
      <c r="CE195" s="59">
        <f t="shared" si="148"/>
        <v>342.06887933351783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0.2670404187737101</v>
      </c>
      <c r="CL195" s="21">
        <f>EXP(-LN(2)/25)*CL194+(1-EXP(-LN(2)/25))/(LN(2)/25)*Calculateur!CG195*Calculateur!CI195*VLOOKUP('Données projet'!$B$12,Paramètres!$A$1:$I$89,3,0)*0.475*44/12</f>
        <v>0.43600813745625766</v>
      </c>
      <c r="CM195" s="21">
        <f>EXP(-LN(2)/2)*CM194+(1-EXP(-LN(2)/2))/(LN(2)/2)*CG195*CJ195*VLOOKUP('Données projet'!$B$12,Paramètres!$A$1:$I$89,3,0)*0.475*44/12</f>
        <v>5.4900193967783015E-24</v>
      </c>
      <c r="CN195" s="22">
        <f t="shared" si="172"/>
        <v>0.70304855622996776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-4.9658410716801891E-14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268.31928207836495</v>
      </c>
      <c r="T196" s="59">
        <f t="shared" si="142"/>
        <v>277.61304526670204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8.1549588148158131E-2</v>
      </c>
      <c r="AA196" s="21">
        <f>EXP(-LN(2)/25)*AA195+(1-EXP(-LN(2)/25))/(LN(2)/25)*Calculateur!V196*Calculateur!X196*VLOOKUP('Données projet'!$B$9,Paramètres!$A$1:$I$89,3,0)*0.475*44/12</f>
        <v>6.1365459258836408E-2</v>
      </c>
      <c r="AB196" s="21">
        <f>EXP(-LN(2)/2)*AB195+(1-EXP(-LN(2)/2))/(LN(2)/2)*V196*Y196*VLOOKUP('Données projet'!$B$9,Paramètres!$A$1:$I$89,3,0)*0.475*44/12</f>
        <v>2.3874671460740341E-24</v>
      </c>
      <c r="AC196" s="22">
        <f t="shared" si="163"/>
        <v>0.14291504740699454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-1.9065282685915009E-13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544.48194192356823</v>
      </c>
      <c r="AO196" s="59">
        <f t="shared" si="144"/>
        <v>668.20427590250733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0.2909615923542801</v>
      </c>
      <c r="AV196" s="21">
        <f>EXP(-LN(2)/25)*AV195+(1-EXP(-LN(2)/25))/(LN(2)/25)*Calculateur!AQ196*Calculateur!AS196*VLOOKUP('Données projet'!$B$10,Paramètres!$A$1:$I$89,3,0)*0.475*44/12</f>
        <v>0.38922701523902953</v>
      </c>
      <c r="AW196" s="21">
        <f>EXP(-LN(2)/2)*AW195+(1-EXP(-LN(2)/2))/(LN(2)/2)*AQ196*AT196*VLOOKUP('Données projet'!$B$10,Paramètres!$A$1:$I$89,3,0)*0.475*44/12</f>
        <v>4.6589661731915234E-24</v>
      </c>
      <c r="AX196" s="21">
        <f t="shared" si="166"/>
        <v>0.68018860759330968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162.86181551380446</v>
      </c>
      <c r="BJ196" s="59">
        <f t="shared" si="146"/>
        <v>184.96823352120742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0.15700404287804426</v>
      </c>
      <c r="BQ196" s="21">
        <f>EXP(-LN(2)/25)*BQ195+(1-EXP(-LN(2)/25))/(LN(2)/25)*Calculateur!BL196*Calculateur!BN196*VLOOKUP('Données projet'!$B$11,Paramètres!$A$1:$I$89,3,0)*0.475*44/12</f>
        <v>3.408093416738632E-2</v>
      </c>
      <c r="BR196" s="21">
        <f>EXP(-LN(2)/2)*BR195+(1-EXP(-LN(2)/2))/(LN(2)/2)*BL196*BO196*VLOOKUP('Données projet'!$B$11,Paramètres!$A$1:$I$89,3,0)*0.475*44/12</f>
        <v>4.8822397405131694E-25</v>
      </c>
      <c r="BS196" s="22">
        <f t="shared" si="169"/>
        <v>0.19108497704543059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-3.1036506698001178E-14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207.02306964567629</v>
      </c>
      <c r="CE196" s="59">
        <f t="shared" si="148"/>
        <v>342.06887933351783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0.26180391904013017</v>
      </c>
      <c r="CL196" s="21">
        <f>EXP(-LN(2)/25)*CL195+(1-EXP(-LN(2)/25))/(LN(2)/25)*Calculateur!CG196*Calculateur!CI196*VLOOKUP('Données projet'!$B$12,Paramètres!$A$1:$I$89,3,0)*0.475*44/12</f>
        <v>0.42408547200884483</v>
      </c>
      <c r="CM196" s="21">
        <f>EXP(-LN(2)/2)*CM195+(1-EXP(-LN(2)/2))/(LN(2)/2)*CG196*CJ196*VLOOKUP('Données projet'!$B$12,Paramètres!$A$1:$I$89,3,0)*0.475*44/12</f>
        <v>3.882029944307616E-24</v>
      </c>
      <c r="CN196" s="22">
        <f t="shared" si="172"/>
        <v>0.68588939104897495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-4.9658410716801891E-14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268.31928207836495</v>
      </c>
      <c r="T197" s="59">
        <f t="shared" ref="T197:T203" si="204">$T$3</f>
        <v>277.61304526670204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7.9950450464910075E-2</v>
      </c>
      <c r="AA197" s="21">
        <f>EXP(-LN(2)/25)*AA196+(1-EXP(-LN(2)/25))/(LN(2)/25)*Calculateur!V197*Calculateur!X197*VLOOKUP('Données projet'!$B$9,Paramètres!$A$1:$I$89,3,0)*0.475*44/12</f>
        <v>5.9687417548334273E-2</v>
      </c>
      <c r="AB197" s="21">
        <f>EXP(-LN(2)/2)*AB196+(1-EXP(-LN(2)/2))/(LN(2)/2)*V197*Y197*VLOOKUP('Données projet'!$B$9,Paramètres!$A$1:$I$89,3,0)*0.475*44/12</f>
        <v>1.6881942088490431E-24</v>
      </c>
      <c r="AC197" s="22">
        <f t="shared" si="163"/>
        <v>0.13963786801324435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-1.9065282685915009E-13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544.48194192356823</v>
      </c>
      <c r="AO197" s="59">
        <f t="shared" ref="AO197:AO203" si="205">$AO$3</f>
        <v>668.20427590250733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0.28525601299726039</v>
      </c>
      <c r="AV197" s="21">
        <f>EXP(-LN(2)/25)*AV196+(1-EXP(-LN(2)/25))/(LN(2)/25)*Calculateur!AQ197*Calculateur!AS197*VLOOKUP('Données projet'!$B$10,Paramètres!$A$1:$I$89,3,0)*0.475*44/12</f>
        <v>0.37858358203875914</v>
      </c>
      <c r="AW197" s="21">
        <f>EXP(-LN(2)/2)*AW196+(1-EXP(-LN(2)/2))/(LN(2)/2)*AQ197*AT197*VLOOKUP('Données projet'!$B$10,Paramètres!$A$1:$I$89,3,0)*0.475*44/12</f>
        <v>3.2943865743824654E-24</v>
      </c>
      <c r="AX197" s="21">
        <f t="shared" si="166"/>
        <v>0.66383959503601953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162.86181551380446</v>
      </c>
      <c r="BJ197" s="59">
        <f t="shared" ref="BJ197:BJ203" si="206">$BJ$3</f>
        <v>184.96823352120742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0.15392528936021616</v>
      </c>
      <c r="BQ197" s="21">
        <f>EXP(-LN(2)/25)*BQ196+(1-EXP(-LN(2)/25))/(LN(2)/25)*Calculateur!BL197*Calculateur!BN197*VLOOKUP('Données projet'!$B$11,Paramètres!$A$1:$I$89,3,0)*0.475*44/12</f>
        <v>3.3148989230340709E-2</v>
      </c>
      <c r="BR197" s="21">
        <f>EXP(-LN(2)/2)*BR196+(1-EXP(-LN(2)/2))/(LN(2)/2)*BL197*BO197*VLOOKUP('Données projet'!$B$11,Paramètres!$A$1:$I$89,3,0)*0.475*44/12</f>
        <v>3.4522648278953123E-25</v>
      </c>
      <c r="BS197" s="22">
        <f t="shared" si="169"/>
        <v>0.18707427859055686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-3.1036506698001178E-14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207.02306964567629</v>
      </c>
      <c r="CE197" s="59">
        <f t="shared" ref="CE197:CE203" si="207">$CE$3</f>
        <v>342.06887933351783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0.25667010387237627</v>
      </c>
      <c r="CL197" s="21">
        <f>EXP(-LN(2)/25)*CL196+(1-EXP(-LN(2)/25))/(LN(2)/25)*Calculateur!CG197*Calculateur!CI197*VLOOKUP('Données projet'!$B$12,Paramètres!$A$1:$I$89,3,0)*0.475*44/12</f>
        <v>0.41248883247507728</v>
      </c>
      <c r="CM197" s="21">
        <f>EXP(-LN(2)/2)*CM196+(1-EXP(-LN(2)/2))/(LN(2)/2)*CG197*CJ197*VLOOKUP('Données projet'!$B$12,Paramètres!$A$1:$I$89,3,0)*0.475*44/12</f>
        <v>2.7450096983891508E-24</v>
      </c>
      <c r="CN197" s="22">
        <f t="shared" si="172"/>
        <v>0.66915893634745349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-4.9658410716801891E-14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268.31928207836495</v>
      </c>
      <c r="T198" s="59">
        <f t="shared" si="204"/>
        <v>277.61304526670204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7.8382670896252837E-2</v>
      </c>
      <c r="AA198" s="21">
        <f>EXP(-LN(2)/25)*AA197+(1-EXP(-LN(2)/25))/(LN(2)/25)*Calculateur!V198*Calculateur!X198*VLOOKUP('Données projet'!$B$9,Paramètres!$A$1:$I$89,3,0)*0.475*44/12</f>
        <v>5.8055261976650202E-2</v>
      </c>
      <c r="AB198" s="21">
        <f>EXP(-LN(2)/2)*AB197+(1-EXP(-LN(2)/2))/(LN(2)/2)*V198*Y198*VLOOKUP('Données projet'!$B$9,Paramètres!$A$1:$I$89,3,0)*0.475*44/12</f>
        <v>1.193733573037017E-24</v>
      </c>
      <c r="AC198" s="22">
        <f t="shared" si="163"/>
        <v>0.13643793287290304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-1.9065282685915009E-13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544.48194192356823</v>
      </c>
      <c r="AO198" s="59">
        <f t="shared" si="205"/>
        <v>668.20427590250733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0.27966231657137208</v>
      </c>
      <c r="AV198" s="21">
        <f>EXP(-LN(2)/25)*AV197+(1-EXP(-LN(2)/25))/(LN(2)/25)*Calculateur!AQ198*Calculateur!AS198*VLOOKUP('Données projet'!$B$10,Paramètres!$A$1:$I$89,3,0)*0.475*44/12</f>
        <v>0.36823119407906396</v>
      </c>
      <c r="AW198" s="21">
        <f>EXP(-LN(2)/2)*AW197+(1-EXP(-LN(2)/2))/(LN(2)/2)*AQ198*AT198*VLOOKUP('Données projet'!$B$10,Paramètres!$A$1:$I$89,3,0)*0.475*44/12</f>
        <v>2.3294830865957621E-24</v>
      </c>
      <c r="AX198" s="21">
        <f t="shared" si="166"/>
        <v>0.64789351065043599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162.86181551380446</v>
      </c>
      <c r="BJ198" s="59">
        <f t="shared" si="206"/>
        <v>184.96823352120742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0.15090690832101844</v>
      </c>
      <c r="BQ198" s="21">
        <f>EXP(-LN(2)/25)*BQ197+(1-EXP(-LN(2)/25))/(LN(2)/25)*Calculateur!BL198*Calculateur!BN198*VLOOKUP('Données projet'!$B$11,Paramètres!$A$1:$I$89,3,0)*0.475*44/12</f>
        <v>3.224252837660746E-2</v>
      </c>
      <c r="BR198" s="21">
        <f>EXP(-LN(2)/2)*BR197+(1-EXP(-LN(2)/2))/(LN(2)/2)*BL198*BO198*VLOOKUP('Données projet'!$B$11,Paramètres!$A$1:$I$89,3,0)*0.475*44/12</f>
        <v>2.4411198702565847E-25</v>
      </c>
      <c r="BS198" s="22">
        <f t="shared" si="169"/>
        <v>0.1831494366976259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-3.1036506698001178E-14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207.02306964567629</v>
      </c>
      <c r="CE198" s="59">
        <f t="shared" si="207"/>
        <v>342.06887933351783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0.251636959688744</v>
      </c>
      <c r="CL198" s="21">
        <f>EXP(-LN(2)/25)*CL197+(1-EXP(-LN(2)/25))/(LN(2)/25)*Calculateur!CG198*Calculateur!CI198*VLOOKUP('Données projet'!$B$12,Paramètres!$A$1:$I$89,3,0)*0.475*44/12</f>
        <v>0.40120930365920138</v>
      </c>
      <c r="CM198" s="21">
        <f>EXP(-LN(2)/2)*CM197+(1-EXP(-LN(2)/2))/(LN(2)/2)*CG198*CJ198*VLOOKUP('Données projet'!$B$12,Paramètres!$A$1:$I$89,3,0)*0.475*44/12</f>
        <v>1.941014972153808E-24</v>
      </c>
      <c r="CN198" s="22">
        <f t="shared" si="172"/>
        <v>0.65284626334794538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-4.9658410716801891E-14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268.31928207836495</v>
      </c>
      <c r="T199" s="59">
        <f t="shared" si="204"/>
        <v>277.61304526670204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7.6845634528685855E-2</v>
      </c>
      <c r="AA199" s="21">
        <f>EXP(-LN(2)/25)*AA198+(1-EXP(-LN(2)/25))/(LN(2)/25)*Calculateur!V199*Calculateur!X199*VLOOKUP('Données projet'!$B$9,Paramètres!$A$1:$I$89,3,0)*0.475*44/12</f>
        <v>5.6467737784905159E-2</v>
      </c>
      <c r="AB199" s="21">
        <f>EXP(-LN(2)/2)*AB198+(1-EXP(-LN(2)/2))/(LN(2)/2)*V199*Y199*VLOOKUP('Données projet'!$B$9,Paramètres!$A$1:$I$89,3,0)*0.475*44/12</f>
        <v>8.4409710442452154E-25</v>
      </c>
      <c r="AC199" s="22">
        <f t="shared" si="163"/>
        <v>0.13331337231359103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-1.9065282685915009E-13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544.48194192356823</v>
      </c>
      <c r="AO199" s="59">
        <f t="shared" si="205"/>
        <v>668.20427590250733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0.2741783091205775</v>
      </c>
      <c r="AV199" s="21">
        <f>EXP(-LN(2)/25)*AV198+(1-EXP(-LN(2)/25))/(LN(2)/25)*Calculateur!AQ199*Calculateur!AS199*VLOOKUP('Données projet'!$B$10,Paramètres!$A$1:$I$89,3,0)*0.475*44/12</f>
        <v>0.35816189271253507</v>
      </c>
      <c r="AW199" s="21">
        <f>EXP(-LN(2)/2)*AW198+(1-EXP(-LN(2)/2))/(LN(2)/2)*AQ199*AT199*VLOOKUP('Données projet'!$B$10,Paramètres!$A$1:$I$89,3,0)*0.475*44/12</f>
        <v>1.6471932871912331E-24</v>
      </c>
      <c r="AX199" s="21">
        <f t="shared" si="166"/>
        <v>0.63234020183311257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162.86181551380446</v>
      </c>
      <c r="BJ199" s="59">
        <f t="shared" si="206"/>
        <v>184.96823352120742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0.14794771589296873</v>
      </c>
      <c r="BQ199" s="21">
        <f>EXP(-LN(2)/25)*BQ198+(1-EXP(-LN(2)/25))/(LN(2)/25)*Calculateur!BL199*Calculateur!BN199*VLOOKUP('Données projet'!$B$11,Paramètres!$A$1:$I$89,3,0)*0.475*44/12</f>
        <v>3.1360854742588255E-2</v>
      </c>
      <c r="BR199" s="21">
        <f>EXP(-LN(2)/2)*BR198+(1-EXP(-LN(2)/2))/(LN(2)/2)*BL199*BO199*VLOOKUP('Données projet'!$B$11,Paramètres!$A$1:$I$89,3,0)*0.475*44/12</f>
        <v>1.7261324139476561E-25</v>
      </c>
      <c r="BS199" s="22">
        <f t="shared" si="169"/>
        <v>0.179308570635557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-3.1036506698001178E-14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207.02306964567629</v>
      </c>
      <c r="CE199" s="59">
        <f t="shared" si="207"/>
        <v>342.06887933351783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0.24670251239263791</v>
      </c>
      <c r="CL199" s="21">
        <f>EXP(-LN(2)/25)*CL198+(1-EXP(-LN(2)/25))/(LN(2)/25)*Calculateur!CG199*Calculateur!CI199*VLOOKUP('Données projet'!$B$12,Paramètres!$A$1:$I$89,3,0)*0.475*44/12</f>
        <v>0.39023821415196019</v>
      </c>
      <c r="CM199" s="21">
        <f>EXP(-LN(2)/2)*CM198+(1-EXP(-LN(2)/2))/(LN(2)/2)*CG199*CJ199*VLOOKUP('Données projet'!$B$12,Paramètres!$A$1:$I$89,3,0)*0.475*44/12</f>
        <v>1.3725048491945754E-24</v>
      </c>
      <c r="CN199" s="22">
        <f t="shared" si="172"/>
        <v>0.6369407265445981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-4.9658410716801891E-14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268.31928207836495</v>
      </c>
      <c r="T200" s="59">
        <f t="shared" si="204"/>
        <v>277.61304526670204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7.5338738506787239E-2</v>
      </c>
      <c r="AA200" s="21">
        <f>EXP(-LN(2)/25)*AA199+(1-EXP(-LN(2)/25))/(LN(2)/25)*Calculateur!V200*Calculateur!X200*VLOOKUP('Données projet'!$B$9,Paramètres!$A$1:$I$89,3,0)*0.475*44/12</f>
        <v>5.4923624525667653E-2</v>
      </c>
      <c r="AB200" s="21">
        <f>EXP(-LN(2)/2)*AB199+(1-EXP(-LN(2)/2))/(LN(2)/2)*V200*Y200*VLOOKUP('Données projet'!$B$9,Paramètres!$A$1:$I$89,3,0)*0.475*44/12</f>
        <v>5.9686678651850852E-25</v>
      </c>
      <c r="AC200" s="22">
        <f t="shared" si="163"/>
        <v>0.13026236303245489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-1.9065282685915009E-13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544.48194192356823</v>
      </c>
      <c r="AO200" s="59">
        <f t="shared" si="205"/>
        <v>668.20427590250733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0.26880183971097871</v>
      </c>
      <c r="AV200" s="21">
        <f>EXP(-LN(2)/25)*AV199+(1-EXP(-LN(2)/25))/(LN(2)/25)*Calculateur!AQ200*Calculateur!AS200*VLOOKUP('Données projet'!$B$10,Paramètres!$A$1:$I$89,3,0)*0.475*44/12</f>
        <v>0.34836793692139545</v>
      </c>
      <c r="AW200" s="21">
        <f>EXP(-LN(2)/2)*AW199+(1-EXP(-LN(2)/2))/(LN(2)/2)*AQ200*AT200*VLOOKUP('Données projet'!$B$10,Paramètres!$A$1:$I$89,3,0)*0.475*44/12</f>
        <v>1.1647415432978812E-24</v>
      </c>
      <c r="AX200" s="21">
        <f t="shared" si="166"/>
        <v>0.61716977663237416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162.86181551380446</v>
      </c>
      <c r="BJ200" s="59">
        <f t="shared" si="206"/>
        <v>184.96823352120742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0.14504655142350392</v>
      </c>
      <c r="BQ200" s="21">
        <f>EXP(-LN(2)/25)*BQ199+(1-EXP(-LN(2)/25))/(LN(2)/25)*Calculateur!BL200*Calculateur!BN200*VLOOKUP('Données projet'!$B$11,Paramètres!$A$1:$I$89,3,0)*0.475*44/12</f>
        <v>3.0503290520456503E-2</v>
      </c>
      <c r="BR200" s="21">
        <f>EXP(-LN(2)/2)*BR199+(1-EXP(-LN(2)/2))/(LN(2)/2)*BL200*BO200*VLOOKUP('Données projet'!$B$11,Paramètres!$A$1:$I$89,3,0)*0.475*44/12</f>
        <v>1.2205599351282923E-25</v>
      </c>
      <c r="BS200" s="22">
        <f t="shared" si="169"/>
        <v>0.17554984194396042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-3.1036506698001178E-14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207.02306964567629</v>
      </c>
      <c r="CE200" s="59">
        <f t="shared" si="207"/>
        <v>342.06887933351783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0.24186482659829281</v>
      </c>
      <c r="CL200" s="21">
        <f>EXP(-LN(2)/25)*CL199+(1-EXP(-LN(2)/25))/(LN(2)/25)*Calculateur!CG200*Calculateur!CI200*VLOOKUP('Données projet'!$B$12,Paramètres!$A$1:$I$89,3,0)*0.475*44/12</f>
        <v>0.37956712966423906</v>
      </c>
      <c r="CM200" s="21">
        <f>EXP(-LN(2)/2)*CM199+(1-EXP(-LN(2)/2))/(LN(2)/2)*CG200*CJ200*VLOOKUP('Données projet'!$B$12,Paramètres!$A$1:$I$89,3,0)*0.475*44/12</f>
        <v>9.70507486076904E-25</v>
      </c>
      <c r="CN200" s="22">
        <f t="shared" si="172"/>
        <v>0.62143195626253189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-4.9658410716801891E-14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268.31928207836495</v>
      </c>
      <c r="T201" s="59">
        <f t="shared" si="204"/>
        <v>277.61304526670204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7.3861391796762238E-2</v>
      </c>
      <c r="AA201" s="21">
        <f>EXP(-LN(2)/25)*AA200+(1-EXP(-LN(2)/25))/(LN(2)/25)*Calculateur!V201*Calculateur!X201*VLOOKUP('Données projet'!$B$9,Paramètres!$A$1:$I$89,3,0)*0.475*44/12</f>
        <v>5.342173512470539E-2</v>
      </c>
      <c r="AB201" s="21">
        <f>EXP(-LN(2)/2)*AB200+(1-EXP(-LN(2)/2))/(LN(2)/2)*V201*Y201*VLOOKUP('Données projet'!$B$9,Paramètres!$A$1:$I$89,3,0)*0.475*44/12</f>
        <v>4.2204855221226077E-25</v>
      </c>
      <c r="AC201" s="22">
        <f t="shared" si="163"/>
        <v>0.12728312692146762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-1.9065282685915009E-13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544.48194192356823</v>
      </c>
      <c r="AO201" s="59">
        <f t="shared" si="205"/>
        <v>668.20427590250733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0.26353079958717962</v>
      </c>
      <c r="AV201" s="21">
        <f>EXP(-LN(2)/25)*AV200+(1-EXP(-LN(2)/25))/(LN(2)/25)*Calculateur!AQ201*Calculateur!AS201*VLOOKUP('Données projet'!$B$10,Paramètres!$A$1:$I$89,3,0)*0.475*44/12</f>
        <v>0.33884179736640629</v>
      </c>
      <c r="AW201" s="21">
        <f>EXP(-LN(2)/2)*AW200+(1-EXP(-LN(2)/2))/(LN(2)/2)*AQ201*AT201*VLOOKUP('Données projet'!$B$10,Paramètres!$A$1:$I$89,3,0)*0.475*44/12</f>
        <v>8.2359664359561663E-25</v>
      </c>
      <c r="AX201" s="21">
        <f t="shared" si="166"/>
        <v>0.60237259695358591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162.86181551380446</v>
      </c>
      <c r="BJ201" s="59">
        <f t="shared" si="206"/>
        <v>184.96823352120742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0.14220227701974972</v>
      </c>
      <c r="BQ201" s="21">
        <f>EXP(-LN(2)/25)*BQ200+(1-EXP(-LN(2)/25))/(LN(2)/25)*Calculateur!BL201*Calculateur!BN201*VLOOKUP('Données projet'!$B$11,Paramètres!$A$1:$I$89,3,0)*0.475*44/12</f>
        <v>2.9669176437076287E-2</v>
      </c>
      <c r="BR201" s="21">
        <f>EXP(-LN(2)/2)*BR200+(1-EXP(-LN(2)/2))/(LN(2)/2)*BL201*BO201*VLOOKUP('Données projet'!$B$11,Paramètres!$A$1:$I$89,3,0)*0.475*44/12</f>
        <v>8.6306620697382807E-26</v>
      </c>
      <c r="BS201" s="22">
        <f t="shared" si="169"/>
        <v>0.171871453456826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-3.1036506698001178E-14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207.02306964567629</v>
      </c>
      <c r="CE201" s="59">
        <f t="shared" si="207"/>
        <v>342.06887933351783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0.23712200487167784</v>
      </c>
      <c r="CL201" s="21">
        <f>EXP(-LN(2)/25)*CL200+(1-EXP(-LN(2)/25))/(LN(2)/25)*Calculateur!CG201*Calculateur!CI201*VLOOKUP('Données projet'!$B$12,Paramètres!$A$1:$I$89,3,0)*0.475*44/12</f>
        <v>0.36918784654300263</v>
      </c>
      <c r="CM201" s="21">
        <f>EXP(-LN(2)/2)*CM200+(1-EXP(-LN(2)/2))/(LN(2)/2)*CG201*CJ201*VLOOKUP('Données projet'!$B$12,Paramètres!$A$1:$I$89,3,0)*0.475*44/12</f>
        <v>6.8625242459728769E-25</v>
      </c>
      <c r="CN201" s="22">
        <f t="shared" si="172"/>
        <v>0.60630985141468052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-4.9658410716801891E-14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268.31928207836495</v>
      </c>
      <c r="T202" s="59">
        <f t="shared" si="204"/>
        <v>277.61304526670204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7.2413014954628305E-2</v>
      </c>
      <c r="AA202" s="21">
        <f>EXP(-LN(2)/25)*AA201+(1-EXP(-LN(2)/25))/(LN(2)/25)*Calculateur!V202*Calculateur!X202*VLOOKUP('Données projet'!$B$9,Paramètres!$A$1:$I$89,3,0)*0.475*44/12</f>
        <v>5.1960914968393369E-2</v>
      </c>
      <c r="AB202" s="21">
        <f>EXP(-LN(2)/2)*AB201+(1-EXP(-LN(2)/2))/(LN(2)/2)*V202*Y202*VLOOKUP('Données projet'!$B$9,Paramètres!$A$1:$I$89,3,0)*0.475*44/12</f>
        <v>2.9843339325925426E-25</v>
      </c>
      <c r="AC202" s="22">
        <f t="shared" si="163"/>
        <v>0.12437392992302168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-1.9065282685915009E-13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544.48194192356823</v>
      </c>
      <c r="AO202" s="59">
        <f t="shared" si="205"/>
        <v>668.20427590250733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0.25836312134519124</v>
      </c>
      <c r="AV202" s="21">
        <f>EXP(-LN(2)/25)*AV201+(1-EXP(-LN(2)/25))/(LN(2)/25)*Calculateur!AQ202*Calculateur!AS202*VLOOKUP('Données projet'!$B$10,Paramètres!$A$1:$I$89,3,0)*0.475*44/12</f>
        <v>0.3295761505985062</v>
      </c>
      <c r="AW202" s="21">
        <f>EXP(-LN(2)/2)*AW201+(1-EXP(-LN(2)/2))/(LN(2)/2)*AQ202*AT202*VLOOKUP('Données projet'!$B$10,Paramètres!$A$1:$I$89,3,0)*0.475*44/12</f>
        <v>5.823707716489407E-25</v>
      </c>
      <c r="AX202" s="21">
        <f t="shared" si="166"/>
        <v>0.58793927194369744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162.86181551380446</v>
      </c>
      <c r="BJ202" s="59">
        <f t="shared" si="206"/>
        <v>184.96823352120742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0.13941377710221706</v>
      </c>
      <c r="BQ202" s="21">
        <f>EXP(-LN(2)/25)*BQ201+(1-EXP(-LN(2)/25))/(LN(2)/25)*Calculateur!BL202*Calculateur!BN202*VLOOKUP('Données projet'!$B$11,Paramètres!$A$1:$I$89,3,0)*0.475*44/12</f>
        <v>2.8857871247170257E-2</v>
      </c>
      <c r="BR202" s="21">
        <f>EXP(-LN(2)/2)*BR201+(1-EXP(-LN(2)/2))/(LN(2)/2)*BL202*BO202*VLOOKUP('Données projet'!$B$11,Paramètres!$A$1:$I$89,3,0)*0.475*44/12</f>
        <v>6.1027996756414617E-26</v>
      </c>
      <c r="BS202" s="22">
        <f t="shared" si="169"/>
        <v>0.16827164834938732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-3.1036506698001178E-14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207.02306964567629</v>
      </c>
      <c r="CE202" s="59">
        <f t="shared" si="207"/>
        <v>342.06887933351783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0.23247218698628616</v>
      </c>
      <c r="CL202" s="21">
        <f>EXP(-LN(2)/25)*CL201+(1-EXP(-LN(2)/25))/(LN(2)/25)*Calculateur!CG202*Calculateur!CI202*VLOOKUP('Données projet'!$B$12,Paramètres!$A$1:$I$89,3,0)*0.475*44/12</f>
        <v>0.35909238546453914</v>
      </c>
      <c r="CM202" s="21">
        <f>EXP(-LN(2)/2)*CM201+(1-EXP(-LN(2)/2))/(LN(2)/2)*CG202*CJ202*VLOOKUP('Données projet'!$B$12,Paramètres!$A$1:$I$89,3,0)*0.475*44/12</f>
        <v>4.85253743038452E-25</v>
      </c>
      <c r="CN202" s="22">
        <f t="shared" si="172"/>
        <v>0.59156457245082528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-4.9658410716801891E-14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268.31928207836495</v>
      </c>
      <c r="T203" s="59">
        <f t="shared" si="204"/>
        <v>277.61304526670204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7.0993039898945981E-2</v>
      </c>
      <c r="AA203" s="21">
        <f>EXP(-LN(2)/25)*AA202+(1-EXP(-LN(2)/25))/(LN(2)/25)*Calculateur!V203*Calculateur!X203*VLOOKUP('Données projet'!$B$9,Paramètres!$A$1:$I$89,3,0)*0.475*44/12</f>
        <v>5.0540041016076891E-2</v>
      </c>
      <c r="AB203" s="21">
        <f>EXP(-LN(2)/2)*AB202+(1-EXP(-LN(2)/2))/(LN(2)/2)*V203*Y203*VLOOKUP('Données projet'!$B$9,Paramètres!$A$1:$I$89,3,0)*0.475*44/12</f>
        <v>2.1102427610613039E-25</v>
      </c>
      <c r="AC203" s="22">
        <f t="shared" si="163"/>
        <v>0.12153308091502288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-1.9065282685915009E-13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544.48194192356823</v>
      </c>
      <c r="AO203" s="59">
        <f t="shared" si="205"/>
        <v>668.20427590250733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0.25329677812155577</v>
      </c>
      <c r="AV203" s="21">
        <f>EXP(-LN(2)/25)*AV202+(1-EXP(-LN(2)/25))/(LN(2)/25)*Calculateur!AQ203*Calculateur!AS203*VLOOKUP('Données projet'!$B$10,Paramètres!$A$1:$I$89,3,0)*0.475*44/12</f>
        <v>0.32056387342873355</v>
      </c>
      <c r="AW203" s="21">
        <f>EXP(-LN(2)/2)*AW202+(1-EXP(-LN(2)/2))/(LN(2)/2)*AQ203*AT203*VLOOKUP('Données projet'!$B$10,Paramètres!$A$1:$I$89,3,0)*0.475*44/12</f>
        <v>4.1179832179780836E-25</v>
      </c>
      <c r="AX203" s="21">
        <f t="shared" si="166"/>
        <v>0.57386065155028931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162.86181551380446</v>
      </c>
      <c r="BJ203" s="59">
        <f t="shared" si="206"/>
        <v>184.96823352120742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0.13667995796725022</v>
      </c>
      <c r="BQ203" s="21">
        <f>EXP(-LN(2)/25)*BQ202+(1-EXP(-LN(2)/25))/(LN(2)/25)*Calculateur!BL203*Calculateur!BN203*VLOOKUP('Données projet'!$B$11,Paramètres!$A$1:$I$89,3,0)*0.475*44/12</f>
        <v>2.8068751240346891E-2</v>
      </c>
      <c r="BR203" s="21">
        <f>EXP(-LN(2)/2)*BR202+(1-EXP(-LN(2)/2))/(LN(2)/2)*BL203*BO203*VLOOKUP('Données projet'!$B$11,Paramètres!$A$1:$I$89,3,0)*0.475*44/12</f>
        <v>4.3153310348691403E-26</v>
      </c>
      <c r="BS203" s="22">
        <f t="shared" si="169"/>
        <v>0.1647487092075971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-3.1036506698001178E-14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207.02306964567629</v>
      </c>
      <c r="CE203" s="59">
        <f t="shared" si="207"/>
        <v>342.06887933351783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0.22791354919351817</v>
      </c>
      <c r="CL203" s="21">
        <f>EXP(-LN(2)/25)*CL202+(1-EXP(-LN(2)/25))/(LN(2)/25)*Calculateur!CG203*Calculateur!CI203*VLOOKUP('Données projet'!$B$12,Paramètres!$A$1:$I$89,3,0)*0.475*44/12</f>
        <v>0.34927298530016349</v>
      </c>
      <c r="CM203" s="21">
        <f>EXP(-LN(2)/2)*CM202+(1-EXP(-LN(2)/2))/(LN(2)/2)*CG203*CJ203*VLOOKUP('Données projet'!$B$12,Paramètres!$A$1:$I$89,3,0)*0.475*44/12</f>
        <v>3.4312621229864385E-25</v>
      </c>
      <c r="CN203" s="22">
        <f t="shared" si="172"/>
        <v>0.57718653449368162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1.2441746677543575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1.3306754098332192</v>
      </c>
      <c r="BA205" s="82">
        <f>EXP(LN('Données projet'!B88)/'Données projet'!A88)</f>
        <v>1.2592986838463873</v>
      </c>
      <c r="BV205" s="82">
        <f>EXP(LN('Données projet'!B114)/'Données projet'!A114)</f>
        <v>1.4860662319460807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rouge d'Amérique</v>
      </c>
      <c r="B6" s="146">
        <f>'Données projet'!D9</f>
        <v>1.2013</v>
      </c>
      <c r="C6" s="147">
        <f ca="1">IF(OR('Données projet'!B9="",'Données projet'!C9="",'Données projet'!C9=0%),0,Calculateur!S3)</f>
        <v>268.31928207836495</v>
      </c>
      <c r="D6" s="147">
        <f>IF(OR('Données projet'!B9="",'Données projet'!C9="",'Données projet'!C9=0%),0,Calculateur!T3)</f>
        <v>277.61304526670204</v>
      </c>
      <c r="E6" s="147">
        <f ca="1">MIN(C6,D6)</f>
        <v>268.31928207836495</v>
      </c>
      <c r="F6" s="147">
        <f ca="1">E6*B6</f>
        <v>322.33195356073981</v>
      </c>
      <c r="G6" s="147">
        <f ca="1">F6*(100%-'Données projet'!$C$24)*(100%-'Données projet'!$C$25)*(100%-'Données projet'!$C$26)*(100%-'Données projet'!$C$27)</f>
        <v>290.09875820466584</v>
      </c>
      <c r="H6" s="148">
        <f>IF(OR('Données projet'!B9="",'Données projet'!C9="",'Données projet'!C9=0%),0,AVERAGE(Calculateur!$AC$3:$AC$33)*B6)</f>
        <v>3.2830322118426096</v>
      </c>
      <c r="I6" s="149">
        <f>H6*(100%-'Données projet'!$C$24)*(100%-'Données projet'!$C$25)*(100%-'Données projet'!$C$26)*(100%-'Données projet'!$C$27)</f>
        <v>2.9547289906583489</v>
      </c>
      <c r="J6" s="150">
        <f>IF(OR('Données projet'!B9="",'Données projet'!C9="",'Données projet'!C9=0%),0,SUM(Calculateur!$V$3:$V$33)*VLOOKUP('Données projet'!$B$9,Paramètres!$A$1:$I$89,9,0)*B6)</f>
        <v>20.722425000000001</v>
      </c>
      <c r="K6" s="151">
        <f>J6*(100%-'Données projet'!$C$24)*(100%-'Données projet'!$C$25)*(100%-'Données projet'!$C$26)*(100%-'Données projet'!$C$27)</f>
        <v>18.650182500000003</v>
      </c>
      <c r="L6" s="152">
        <f ca="1">G6+I6+K6</f>
        <v>311.70366969532421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Douglas</v>
      </c>
      <c r="B7" s="154">
        <f>'Données projet'!D10</f>
        <v>0.79110000000000014</v>
      </c>
      <c r="C7" s="147">
        <f ca="1">IF(OR('Données projet'!B10="",'Données projet'!C10="",'Données projet'!C10=0%),0,Calculateur!AN3)</f>
        <v>544.48194192356823</v>
      </c>
      <c r="D7" s="147">
        <f>IF(OR('Données projet'!B10="",'Données projet'!C10="",'Données projet'!C10=0%),0,Calculateur!AO3)</f>
        <v>668.20427590250733</v>
      </c>
      <c r="E7" s="147">
        <f t="shared" ref="E7:E15" ca="1" si="0">MIN(C7,D7)</f>
        <v>544.48194192356823</v>
      </c>
      <c r="F7" s="147">
        <f t="shared" ref="F7:F15" ca="1" si="1">E7*B7</f>
        <v>430.73966425573491</v>
      </c>
      <c r="G7" s="147">
        <f ca="1">F7*(100%-'Données projet'!$C$24)*(100%-'Données projet'!$C$25)*(100%-'Données projet'!$C$26)*(100%-'Données projet'!$C$27)</f>
        <v>387.66569783016143</v>
      </c>
      <c r="H7" s="155">
        <f>IF(OR('Données projet'!B10="",'Données projet'!C10="",'Données projet'!C10=0%),0,AVERAGE(Calculateur!$AX$3:$AX$33)*B7)</f>
        <v>7.2748655232188622</v>
      </c>
      <c r="I7" s="149">
        <f>H7*(100%-'Données projet'!$C$24)*(100%-'Données projet'!$C$25)*(100%-'Données projet'!$C$26)*(100%-'Données projet'!$C$27)</f>
        <v>6.5473789708969763</v>
      </c>
      <c r="J7" s="150">
        <f>IF(OR('Données projet'!B10="",'Données projet'!C10="",'Données projet'!C10=0%),0,SUM(Calculateur!$AQ$3:$AQ$33)*VLOOKUP('Données projet'!$B$10,Paramètres!$A$1:$I$89,9,0)*B7)</f>
        <v>65.653389000000004</v>
      </c>
      <c r="K7" s="151">
        <f>J7*(100%-'Données projet'!$C$24)*(100%-'Données projet'!$C$25)*(100%-'Données projet'!$C$26)*(100%-'Données projet'!$C$27)</f>
        <v>59.088050100000004</v>
      </c>
      <c r="L7" s="152">
        <f t="shared" ref="L7:L15" ca="1" si="2">G7+I7+K7</f>
        <v>453.30112690105841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0.55670000000000008</v>
      </c>
      <c r="C8" s="147">
        <f ca="1">IF(OR('Données projet'!B11="",'Données projet'!C11="",'Données projet'!C11=0%),0,Calculateur!BI3)</f>
        <v>162.86181551380446</v>
      </c>
      <c r="D8" s="147">
        <f>IF(OR('Données projet'!B11="",'Données projet'!C11="",'Données projet'!C11=0%),0,Calculateur!BJ3)</f>
        <v>184.96823352120742</v>
      </c>
      <c r="E8" s="147">
        <f t="shared" ca="1" si="0"/>
        <v>162.86181551380446</v>
      </c>
      <c r="F8" s="147">
        <f t="shared" ca="1" si="1"/>
        <v>90.665172696534952</v>
      </c>
      <c r="G8" s="147">
        <f ca="1">F8*(100%-'Données projet'!$C$24)*(100%-'Données projet'!$C$25)*(100%-'Données projet'!$C$26)*(100%-'Données projet'!$C$27)</f>
        <v>81.598655426881464</v>
      </c>
      <c r="H8" s="155">
        <f>IF(OR('Données projet'!B11="",'Données projet'!C11="",'Données projet'!C11=0%),0,AVERAGE(Calculateur!$BS$3:$BS$33)*B8)</f>
        <v>1.2725786970517936</v>
      </c>
      <c r="I8" s="149">
        <f>H8*(100%-'Données projet'!$C$24)*(100%-'Données projet'!$C$25)*(100%-'Données projet'!$C$26)*(100%-'Données projet'!$C$27)</f>
        <v>1.1453208273466142</v>
      </c>
      <c r="J8" s="150">
        <f>IF(OR('Données projet'!B11="",'Données projet'!C11="",'Données projet'!C11=0%),0,SUM(Calculateur!$BL$3:$BL$33)*VLOOKUP('Données projet'!$B$11,Paramètres!$A$1:$I$89,9,0)*B8)</f>
        <v>11.167402000000001</v>
      </c>
      <c r="K8" s="151">
        <f>J8*(100%-'Données projet'!$C$24)*(100%-'Données projet'!$C$25)*(100%-'Données projet'!$C$26)*(100%-'Données projet'!$C$27)</f>
        <v>10.0506618</v>
      </c>
      <c r="L8" s="152">
        <f t="shared" ca="1" si="2"/>
        <v>92.794638054228074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Mélèze hybride</v>
      </c>
      <c r="B9" s="154">
        <f>'Données projet'!D12</f>
        <v>0.38090000000000002</v>
      </c>
      <c r="C9" s="147">
        <f ca="1">IF(OR('Données projet'!B12="",'Données projet'!C12="",'Données projet'!C12=0%),0,Calculateur!CD3)</f>
        <v>207.02306964567629</v>
      </c>
      <c r="D9" s="147">
        <f>IF(OR('Données projet'!B12="",'Données projet'!C12="",'Données projet'!C12=0%),0,Calculateur!CE3)</f>
        <v>342.06887933351783</v>
      </c>
      <c r="E9" s="147">
        <f t="shared" ca="1" si="0"/>
        <v>207.02306964567629</v>
      </c>
      <c r="F9" s="147">
        <f t="shared" ca="1" si="1"/>
        <v>78.855087228038101</v>
      </c>
      <c r="G9" s="147">
        <f ca="1">F9*(100%-'Données projet'!$C$24)*(100%-'Données projet'!$C$25)*(100%-'Données projet'!$C$26)*(100%-'Données projet'!$C$27)</f>
        <v>70.969578505234296</v>
      </c>
      <c r="H9" s="155">
        <f>IF(OR('Données projet'!B12="",'Données projet'!C12="",'Données projet'!C12=0%),0,AVERAGE(Calculateur!$CN$3:$CN$33)*B9)</f>
        <v>6.0570709810387262</v>
      </c>
      <c r="I9" s="149">
        <f>H9*(100%-'Données projet'!$C$24)*(100%-'Données projet'!$C$25)*(100%-'Données projet'!$C$26)*(100%-'Données projet'!$C$27)</f>
        <v>5.4513638829348539</v>
      </c>
      <c r="J9" s="150">
        <f>IF(OR('Données projet'!B12="",'Données projet'!C12="",'Données projet'!C12=0%),0,SUM(Calculateur!$CG$3:$CG$33)*VLOOKUP('Données projet'!$B$12,Paramètres!$A$1:$I$89,9,0)*B9)</f>
        <v>47.334443</v>
      </c>
      <c r="K9" s="151">
        <f>J9*(100%-'Données projet'!$C$24)*(100%-'Données projet'!$C$25)*(100%-'Données projet'!$C$26)*(100%-'Données projet'!$C$27)</f>
        <v>42.600998699999998</v>
      </c>
      <c r="L9" s="152">
        <f t="shared" ca="1" si="2"/>
        <v>119.02194108816914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922.59187774104771</v>
      </c>
      <c r="G16" s="166">
        <f t="shared" ca="1" si="3"/>
        <v>830.33268996694301</v>
      </c>
      <c r="H16" s="167">
        <f t="shared" si="3"/>
        <v>17.887547413151992</v>
      </c>
      <c r="I16" s="167">
        <f t="shared" si="3"/>
        <v>16.098792671836794</v>
      </c>
      <c r="J16" s="168">
        <f t="shared" si="3"/>
        <v>144.87765899999999</v>
      </c>
      <c r="K16" s="168">
        <f t="shared" si="3"/>
        <v>130.38989309999999</v>
      </c>
      <c r="L16" s="169">
        <f t="shared" ca="1" si="3"/>
        <v>976.82137573877981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0" zoomScaleNormal="80" workbookViewId="0">
      <selection activeCell="S31" sqref="S3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-951.47861949217463</v>
      </c>
      <c r="U10" s="178">
        <f>'Données projet'!D9</f>
        <v>1.2013</v>
      </c>
      <c r="V10" s="177">
        <f>U10*T10</f>
        <v>-1143.0112655959495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3440.9917422244353</v>
      </c>
      <c r="U11" s="178">
        <f>'Données projet'!D10</f>
        <v>0.79110000000000014</v>
      </c>
      <c r="V11" s="177">
        <f t="shared" ref="V11" si="0">U11*T11</f>
        <v>2722.1685672737513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-432.05096514452293</v>
      </c>
      <c r="U12" s="178">
        <f>'Données projet'!D11</f>
        <v>0.55670000000000008</v>
      </c>
      <c r="V12" s="177">
        <f t="shared" ref="V12:V19" si="1">U12*T12</f>
        <v>-240.52277229595595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1432.4082581893886</v>
      </c>
      <c r="U13" s="178">
        <f>'Données projet'!D12</f>
        <v>0.38090000000000002</v>
      </c>
      <c r="V13" s="177">
        <f t="shared" si="1"/>
        <v>545.6043055443381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1300*(0.6+0.79)</f>
        <v>1807.0000000000002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(1120+1200)/1.2+(885+1255+691)/2.93</f>
        <v>2899.5449374288964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360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360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17</v>
      </c>
      <c r="C23" s="193">
        <v>2</v>
      </c>
      <c r="D23" s="182">
        <f>B23*C23</f>
        <v>34</v>
      </c>
      <c r="E23" s="193"/>
      <c r="F23" s="230"/>
      <c r="H23" s="190">
        <v>3</v>
      </c>
      <c r="I23" s="191">
        <v>360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-9511.0354326934121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26</v>
      </c>
      <c r="C24" s="193">
        <v>2</v>
      </c>
      <c r="D24" s="182">
        <f t="shared" ref="D24:D42" si="2">B24*C24</f>
        <v>52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26</v>
      </c>
      <c r="C25" s="193">
        <v>10</v>
      </c>
      <c r="D25" s="182">
        <f t="shared" si="2"/>
        <v>260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-9511.0354326934121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25</v>
      </c>
      <c r="C26" s="193">
        <v>10</v>
      </c>
      <c r="D26" s="182">
        <f t="shared" si="2"/>
        <v>250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23</v>
      </c>
      <c r="C27" s="193">
        <v>25</v>
      </c>
      <c r="D27" s="182">
        <f t="shared" si="2"/>
        <v>575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21</v>
      </c>
      <c r="C28" s="193">
        <v>25</v>
      </c>
      <c r="D28" s="182">
        <f t="shared" si="2"/>
        <v>525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19</v>
      </c>
      <c r="C29" s="193">
        <v>30</v>
      </c>
      <c r="D29" s="182">
        <f t="shared" si="2"/>
        <v>570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18</v>
      </c>
      <c r="C30" s="193">
        <v>30</v>
      </c>
      <c r="D30" s="182">
        <f t="shared" si="2"/>
        <v>540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16</v>
      </c>
      <c r="C31" s="193">
        <v>40</v>
      </c>
      <c r="D31" s="182">
        <f t="shared" si="2"/>
        <v>640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14</v>
      </c>
      <c r="C32" s="193">
        <v>40</v>
      </c>
      <c r="D32" s="182">
        <f t="shared" si="2"/>
        <v>560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12</v>
      </c>
      <c r="C33" s="193">
        <v>40</v>
      </c>
      <c r="D33" s="182">
        <f t="shared" si="2"/>
        <v>480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11</v>
      </c>
      <c r="C34" s="193">
        <v>40</v>
      </c>
      <c r="D34" s="182">
        <f t="shared" si="2"/>
        <v>440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9</v>
      </c>
      <c r="C35" s="193">
        <v>60</v>
      </c>
      <c r="D35" s="182">
        <f t="shared" si="2"/>
        <v>540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8</v>
      </c>
      <c r="C36" s="193">
        <v>60</v>
      </c>
      <c r="D36" s="182">
        <f t="shared" si="2"/>
        <v>480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193</v>
      </c>
      <c r="C37" s="193">
        <v>75</v>
      </c>
      <c r="D37" s="182">
        <f t="shared" si="2"/>
        <v>14475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1300*(0.6+0.58)</f>
        <v>1534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43</v>
      </c>
      <c r="C54" s="191">
        <v>1.95</v>
      </c>
      <c r="D54" s="179">
        <f>B54*C54</f>
        <v>83.85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60</v>
      </c>
      <c r="C55" s="191">
        <v>1.95</v>
      </c>
      <c r="D55" s="179">
        <f t="shared" ref="D55:D73" si="4">B55*C55</f>
        <v>117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90</v>
      </c>
      <c r="C56" s="191">
        <v>4.4800000000000004</v>
      </c>
      <c r="D56" s="179">
        <f t="shared" si="4"/>
        <v>403.20000000000005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72</v>
      </c>
      <c r="C57" s="191">
        <v>4.4800000000000004</v>
      </c>
      <c r="D57" s="179">
        <f t="shared" si="4"/>
        <v>322.56000000000006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77</v>
      </c>
      <c r="C58" s="191">
        <v>32.799999999999997</v>
      </c>
      <c r="D58" s="179">
        <f t="shared" si="4"/>
        <v>2525.6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64</v>
      </c>
      <c r="C59" s="191">
        <v>32.799999999999997</v>
      </c>
      <c r="D59" s="179">
        <f t="shared" si="4"/>
        <v>2099.1999999999998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62</v>
      </c>
      <c r="C60" s="191">
        <v>55.11</v>
      </c>
      <c r="D60" s="179">
        <f t="shared" si="4"/>
        <v>3416.82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55</v>
      </c>
      <c r="B61" s="181">
        <f>'Données projet'!D69</f>
        <v>46</v>
      </c>
      <c r="C61" s="191">
        <v>55</v>
      </c>
      <c r="D61" s="179">
        <f>B61*C61</f>
        <v>2530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60</v>
      </c>
      <c r="B62" s="181">
        <f>'Données projet'!D70</f>
        <v>35</v>
      </c>
      <c r="C62" s="191">
        <v>55</v>
      </c>
      <c r="D62" s="179">
        <f>B62*C62</f>
        <v>1925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65</v>
      </c>
      <c r="B63" s="181">
        <f>'Données projet'!D71</f>
        <v>769</v>
      </c>
      <c r="C63" s="191">
        <v>75</v>
      </c>
      <c r="D63" s="179">
        <f t="shared" si="4"/>
        <v>57675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1300*(0.6+0.45)</f>
        <v>1365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16</v>
      </c>
      <c r="B85" s="181">
        <f>'Données projet'!D88</f>
        <v>4</v>
      </c>
      <c r="C85" s="191">
        <v>1.95</v>
      </c>
      <c r="D85" s="179">
        <f>B85*C85</f>
        <v>7.8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5</v>
      </c>
      <c r="C86" s="191">
        <v>1.95</v>
      </c>
      <c r="D86" s="179">
        <f t="shared" ref="D86:D104" si="6">B86*C86</f>
        <v>9.75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24</v>
      </c>
      <c r="B87" s="181">
        <f>'Données projet'!D90</f>
        <v>12</v>
      </c>
      <c r="C87" s="191">
        <v>4.4800000000000004</v>
      </c>
      <c r="D87" s="179">
        <f t="shared" si="6"/>
        <v>53.760000000000005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28</v>
      </c>
      <c r="B88" s="181">
        <f>'Données projet'!D91</f>
        <v>13</v>
      </c>
      <c r="C88" s="191">
        <v>4.4800000000000004</v>
      </c>
      <c r="D88" s="179">
        <f t="shared" si="6"/>
        <v>58.240000000000009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34</v>
      </c>
      <c r="B89" s="181">
        <f>'Données projet'!D92</f>
        <v>25</v>
      </c>
      <c r="C89" s="191">
        <v>4.8</v>
      </c>
      <c r="D89" s="179">
        <f t="shared" si="6"/>
        <v>120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23</v>
      </c>
      <c r="C90" s="191">
        <v>4.8</v>
      </c>
      <c r="D90" s="179">
        <f t="shared" si="6"/>
        <v>110.39999999999999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46</v>
      </c>
      <c r="B91" s="181">
        <f>'Données projet'!D94</f>
        <v>19</v>
      </c>
      <c r="C91" s="191">
        <v>27</v>
      </c>
      <c r="D91" s="179">
        <f t="shared" si="6"/>
        <v>513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54</v>
      </c>
      <c r="B92" s="181">
        <f>'Données projet'!D95</f>
        <v>16</v>
      </c>
      <c r="C92" s="191">
        <v>45</v>
      </c>
      <c r="D92" s="179">
        <f t="shared" si="6"/>
        <v>720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62</v>
      </c>
      <c r="B93" s="181">
        <f>'Données projet'!D96</f>
        <v>181</v>
      </c>
      <c r="C93" s="191">
        <v>60</v>
      </c>
      <c r="D93" s="179">
        <f t="shared" si="6"/>
        <v>10860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1300*(0.6+0.96)</f>
        <v>2028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12</v>
      </c>
      <c r="B116" s="181">
        <f>'Données projet'!D114</f>
        <v>21</v>
      </c>
      <c r="C116" s="191">
        <v>2</v>
      </c>
      <c r="D116" s="179">
        <f>B116*C116</f>
        <v>42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15</v>
      </c>
      <c r="B117" s="181">
        <f>'Données projet'!D115</f>
        <v>47</v>
      </c>
      <c r="C117" s="191">
        <v>2</v>
      </c>
      <c r="D117" s="179">
        <f t="shared" ref="D117:D135" si="8">B117*C117</f>
        <v>94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18</v>
      </c>
      <c r="B118" s="181">
        <f>'Données projet'!D116</f>
        <v>61</v>
      </c>
      <c r="C118" s="191">
        <v>2</v>
      </c>
      <c r="D118" s="179">
        <f t="shared" si="8"/>
        <v>122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24</v>
      </c>
      <c r="B119" s="181">
        <f>'Données projet'!D117</f>
        <v>84</v>
      </c>
      <c r="C119" s="191">
        <v>4.4800000000000004</v>
      </c>
      <c r="D119" s="179">
        <f t="shared" si="8"/>
        <v>376.32000000000005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30</v>
      </c>
      <c r="B120" s="181">
        <f>'Données projet'!D118</f>
        <v>76</v>
      </c>
      <c r="C120" s="191">
        <v>26.7</v>
      </c>
      <c r="D120" s="179">
        <f t="shared" si="8"/>
        <v>2029.2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36</v>
      </c>
      <c r="B121" s="181">
        <f>'Données projet'!D119</f>
        <v>75</v>
      </c>
      <c r="C121" s="191">
        <v>42</v>
      </c>
      <c r="D121" s="179">
        <f t="shared" si="8"/>
        <v>3150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42</v>
      </c>
      <c r="B122" s="181">
        <f>'Données projet'!D120</f>
        <v>278</v>
      </c>
      <c r="C122" s="191">
        <v>46</v>
      </c>
      <c r="D122" s="179">
        <f t="shared" si="8"/>
        <v>12788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2023-12-11T14:32:11Z</dcterms:modified>
</cp:coreProperties>
</file>