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72_Conflans\Dossier LBC - Conflans-sur-Anille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1" l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D202" i="1" l="1"/>
  <c r="B202" i="1"/>
  <c r="B201" i="1"/>
  <c r="D200" i="1"/>
  <c r="B200" i="1"/>
  <c r="B199" i="1"/>
  <c r="D198" i="1"/>
  <c r="B198" i="1"/>
  <c r="B197" i="1"/>
  <c r="D196" i="1"/>
  <c r="B196" i="1"/>
  <c r="B195" i="1"/>
  <c r="D194" i="1"/>
  <c r="B194" i="1"/>
  <c r="B193" i="1"/>
  <c r="B192" i="1"/>
  <c r="D55" i="1"/>
  <c r="D54" i="1"/>
  <c r="D48" i="1"/>
  <c r="D46" i="1"/>
  <c r="D44" i="1"/>
  <c r="D42" i="1"/>
  <c r="D40" i="1"/>
  <c r="D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X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A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A161" i="2"/>
  <c r="EB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B162" i="2"/>
  <c r="EW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FS164" i="2"/>
  <c r="EX164" i="2"/>
  <c r="EV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EW172" i="2"/>
  <c r="EV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S178" i="2"/>
  <c r="FQ178" i="2"/>
  <c r="EW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A179" i="2" l="1"/>
  <c r="EV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A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W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EA193" i="2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Y194" i="2" l="1"/>
  <c r="FQ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FS199" i="2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Y200" i="2" l="1"/>
  <c r="ED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W202" i="2"/>
  <c r="EY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EI106" i="2" l="1" a="1"/>
  <c r="EI106" i="2" s="1"/>
  <c r="EI139" i="2" a="1"/>
  <c r="EI139" i="2" s="1"/>
  <c r="EI16" i="2" a="1"/>
  <c r="EI16" i="2" s="1"/>
  <c r="EI35" i="2" a="1"/>
  <c r="EI35" i="2" s="1"/>
  <c r="EI153" i="2" a="1"/>
  <c r="EI153" i="2" s="1"/>
  <c r="EI113" i="2" a="1"/>
  <c r="EI113" i="2" s="1"/>
  <c r="EI165" i="2" a="1"/>
  <c r="EI165" i="2" s="1"/>
  <c r="EI34" i="2" a="1"/>
  <c r="EI34" i="2" s="1"/>
  <c r="EI37" i="2" a="1"/>
  <c r="EI37" i="2" s="1"/>
  <c r="EY202" i="2"/>
  <c r="EI20" i="2" a="1"/>
  <c r="EI20" i="2" s="1"/>
  <c r="EI38" i="2" a="1"/>
  <c r="EI38" i="2" s="1"/>
  <c r="EI145" i="2" a="1"/>
  <c r="EI145" i="2" s="1"/>
  <c r="EI67" i="2" a="1"/>
  <c r="EI67" i="2" s="1"/>
  <c r="EI71" i="2" a="1"/>
  <c r="EI71" i="2" s="1"/>
  <c r="EI195" i="2" a="1"/>
  <c r="EI195" i="2" s="1"/>
  <c r="EI166" i="2" a="1"/>
  <c r="EI166" i="2" s="1"/>
  <c r="EI170" i="2" a="1"/>
  <c r="EI170" i="2" s="1"/>
  <c r="EI57" i="2" a="1"/>
  <c r="EI57" i="2" s="1"/>
  <c r="EI36" i="2" a="1"/>
  <c r="EI36" i="2" s="1"/>
  <c r="EI87" i="2" a="1"/>
  <c r="EI87" i="2" s="1"/>
  <c r="EI142" i="2" a="1"/>
  <c r="EI142" i="2" s="1"/>
  <c r="EI128" i="2" a="1"/>
  <c r="EI128" i="2" s="1"/>
  <c r="EI109" i="2" a="1"/>
  <c r="EI109" i="2" s="1"/>
  <c r="EI178" i="2" a="1"/>
  <c r="EI178" i="2" s="1"/>
  <c r="EI198" i="2" a="1"/>
  <c r="EI198" i="2" s="1"/>
  <c r="EI162" i="2" a="1"/>
  <c r="EI162" i="2" s="1"/>
  <c r="EI150" i="2" a="1"/>
  <c r="EI150" i="2" s="1"/>
  <c r="EI29" i="2" a="1"/>
  <c r="EI2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37" i="2" l="1"/>
  <c r="CY71" i="2"/>
  <c r="CY95" i="2"/>
  <c r="CY139" i="2"/>
  <c r="CY51" i="2"/>
  <c r="CY151" i="2"/>
  <c r="CY93" i="2"/>
  <c r="CY83" i="2"/>
  <c r="CY16" i="2"/>
  <c r="CY108" i="2"/>
  <c r="CY76" i="2"/>
  <c r="CY64" i="2"/>
  <c r="CY160" i="2"/>
  <c r="CY9" i="2"/>
  <c r="CY46" i="2"/>
  <c r="CY171" i="2"/>
  <c r="CY44" i="2"/>
  <c r="CY197" i="2"/>
  <c r="CY147" i="2"/>
  <c r="CY114" i="2"/>
  <c r="CY187" i="2"/>
  <c r="CY142" i="2"/>
  <c r="CY190" i="2"/>
  <c r="CY135" i="2"/>
  <c r="CY110" i="2"/>
  <c r="CY133" i="2"/>
  <c r="CY60" i="2"/>
  <c r="CY118" i="2"/>
  <c r="CY141" i="2"/>
  <c r="CY106" i="2"/>
  <c r="CY55" i="2"/>
  <c r="CY35" i="2"/>
  <c r="CY22" i="2"/>
  <c r="CY45" i="2"/>
  <c r="CY5" i="2"/>
  <c r="CY78" i="2"/>
  <c r="CY126" i="2"/>
  <c r="CY105" i="2"/>
  <c r="CY39" i="2"/>
  <c r="CY115" i="2"/>
  <c r="CY140" i="2"/>
  <c r="CY175" i="2"/>
  <c r="CY92" i="2"/>
  <c r="CY178" i="2"/>
  <c r="CY63" i="2"/>
  <c r="CY32" i="2"/>
  <c r="CY146" i="2"/>
  <c r="CY62" i="2"/>
  <c r="CY49" i="2"/>
  <c r="CY143" i="2"/>
  <c r="CY88" i="2"/>
  <c r="CY174" i="2"/>
  <c r="CY195" i="2"/>
  <c r="CY58" i="2"/>
  <c r="CY122" i="2"/>
  <c r="CY194" i="2"/>
  <c r="CY150" i="2"/>
  <c r="CY176" i="2"/>
  <c r="CY47" i="2"/>
  <c r="CY86" i="2"/>
  <c r="CY182" i="2"/>
  <c r="CY18" i="2"/>
  <c r="CY42" i="2"/>
  <c r="CY200" i="2"/>
  <c r="CY61" i="2"/>
  <c r="CY25" i="2"/>
  <c r="CY72" i="2"/>
  <c r="CY73" i="2"/>
  <c r="CY103" i="2"/>
  <c r="CY13" i="2"/>
  <c r="CY10" i="2"/>
  <c r="CY41" i="2"/>
  <c r="CY121" i="2"/>
  <c r="CY199" i="2"/>
  <c r="CY127" i="2"/>
  <c r="CY48" i="2"/>
  <c r="CY53" i="2"/>
  <c r="CY75" i="2"/>
  <c r="CY112" i="2"/>
  <c r="CY136" i="2"/>
  <c r="CY107" i="2"/>
  <c r="CY168" i="2"/>
  <c r="CY36" i="2"/>
  <c r="CY185" i="2"/>
  <c r="CY17" i="2"/>
  <c r="CY165" i="2"/>
  <c r="CY97" i="2"/>
  <c r="CY202" i="2"/>
  <c r="CY20" i="2"/>
  <c r="CY203" i="2"/>
  <c r="CY56" i="2"/>
  <c r="CY77" i="2"/>
  <c r="CY198" i="2"/>
  <c r="CY130" i="2"/>
  <c r="CY163" i="2"/>
  <c r="CY87" i="2"/>
  <c r="CY65" i="2"/>
  <c r="CY153" i="2"/>
  <c r="CY11" i="2"/>
  <c r="CY67" i="2"/>
  <c r="CY166" i="2"/>
  <c r="CY164" i="2"/>
  <c r="CY21" i="2"/>
  <c r="CY129" i="2"/>
  <c r="CY89" i="2"/>
  <c r="CY74" i="2"/>
  <c r="CY80" i="2"/>
  <c r="CY98" i="2"/>
  <c r="CY138" i="2"/>
  <c r="CY170" i="2"/>
  <c r="CY152" i="2"/>
  <c r="CY90" i="2"/>
  <c r="CY149" i="2"/>
  <c r="CY26" i="2"/>
  <c r="CY181" i="2"/>
  <c r="CY177" i="2"/>
  <c r="CY34" i="2"/>
  <c r="CY116" i="2"/>
  <c r="CY117" i="2"/>
  <c r="CY132" i="2"/>
  <c r="CY124" i="2"/>
  <c r="CY156" i="2"/>
  <c r="CY162" i="2"/>
  <c r="CY85" i="2"/>
  <c r="CY91" i="2"/>
  <c r="CY169" i="2"/>
  <c r="CY27" i="2"/>
  <c r="CY30" i="2"/>
  <c r="CY120" i="2"/>
  <c r="CY111" i="2"/>
  <c r="CY104" i="2"/>
  <c r="CY180" i="2"/>
  <c r="CY50" i="2"/>
  <c r="CY3" i="2"/>
  <c r="C10" i="4" s="1"/>
  <c r="E10" i="4" s="1"/>
  <c r="F10" i="4" s="1"/>
  <c r="G10" i="4" s="1"/>
  <c r="L10" i="4" s="1"/>
  <c r="CY184" i="2"/>
  <c r="CY29" i="2"/>
  <c r="CY69" i="2"/>
  <c r="CY113" i="2"/>
  <c r="CY172" i="2"/>
  <c r="CY33" i="2"/>
  <c r="CY8" i="2"/>
  <c r="CY186" i="2"/>
  <c r="CY189" i="2"/>
  <c r="CY4" i="2"/>
  <c r="CY196" i="2"/>
  <c r="CY137" i="2"/>
  <c r="CY193" i="2"/>
  <c r="CY96" i="2"/>
  <c r="CY19" i="2"/>
  <c r="CY57" i="2"/>
  <c r="CY167" i="2"/>
  <c r="CY201" i="2"/>
  <c r="CY54" i="2"/>
  <c r="CY40" i="2"/>
  <c r="CY145" i="2"/>
  <c r="CY134" i="2"/>
  <c r="CY68" i="2"/>
  <c r="CY28" i="2"/>
  <c r="CY99" i="2"/>
  <c r="CY119" i="2"/>
  <c r="CY94" i="2"/>
  <c r="CY157" i="2"/>
  <c r="CY23" i="2"/>
  <c r="CY159" i="2"/>
  <c r="CY173" i="2"/>
  <c r="CY125" i="2"/>
  <c r="CY24" i="2"/>
  <c r="CY144" i="2"/>
  <c r="CY84" i="2"/>
  <c r="CY38" i="2"/>
  <c r="CY14" i="2"/>
  <c r="CY101" i="2"/>
  <c r="CY128" i="2"/>
  <c r="CY31" i="2"/>
  <c r="CY66" i="2"/>
  <c r="CY6" i="2"/>
  <c r="CY191" i="2"/>
  <c r="CY179" i="2"/>
  <c r="CY43" i="2"/>
  <c r="CY12" i="2"/>
  <c r="CY131" i="2"/>
  <c r="CY123" i="2"/>
  <c r="CY158" i="2"/>
  <c r="CY192" i="2"/>
  <c r="CY183" i="2"/>
  <c r="CY82" i="2"/>
  <c r="CY7" i="2"/>
  <c r="CY161" i="2"/>
  <c r="CY15" i="2"/>
  <c r="CY102" i="2"/>
  <c r="CY155" i="2"/>
  <c r="CY70" i="2"/>
  <c r="CY81" i="2"/>
  <c r="CY188" i="2"/>
  <c r="CY109" i="2"/>
  <c r="CY100" i="2"/>
  <c r="CY79" i="2"/>
  <c r="CY154" i="2"/>
  <c r="CY148" i="2"/>
  <c r="CY59" i="2"/>
  <c r="CY52" i="2"/>
  <c r="DT26" i="2"/>
  <c r="DT134" i="2"/>
  <c r="DT8" i="2"/>
  <c r="DT65" i="2"/>
  <c r="DT63" i="2"/>
  <c r="DT85" i="2"/>
  <c r="DT79" i="2"/>
  <c r="DT33" i="2"/>
  <c r="DT162" i="2"/>
  <c r="DT45" i="2"/>
  <c r="DT102" i="2"/>
  <c r="DT50" i="2"/>
  <c r="DT151" i="2"/>
  <c r="DT172" i="2"/>
  <c r="DT195" i="2"/>
  <c r="DT54" i="2"/>
  <c r="DT17" i="2"/>
  <c r="DT163" i="2"/>
  <c r="DT37" i="2"/>
  <c r="DT200" i="2"/>
  <c r="DT192" i="2"/>
  <c r="DT68" i="2"/>
  <c r="DT186" i="2"/>
  <c r="DT164" i="2"/>
  <c r="DT39" i="2"/>
  <c r="DT73" i="2"/>
  <c r="DT202" i="2"/>
  <c r="DT44" i="2"/>
  <c r="DT95" i="2"/>
  <c r="DT25" i="2"/>
  <c r="DT180" i="2"/>
  <c r="DT123" i="2"/>
  <c r="DT155" i="2"/>
  <c r="DT15" i="2"/>
  <c r="DT198" i="2"/>
  <c r="DT173" i="2"/>
  <c r="DT43" i="2"/>
  <c r="DT147" i="2"/>
  <c r="DT152" i="2"/>
  <c r="DT119" i="2"/>
  <c r="DT142" i="2"/>
  <c r="DT105" i="2"/>
  <c r="DT6" i="2"/>
  <c r="DT64" i="2"/>
  <c r="DT132" i="2"/>
  <c r="DT178" i="2"/>
  <c r="DT182" i="2"/>
  <c r="DT35" i="2"/>
  <c r="DT96" i="2"/>
  <c r="DT125" i="2"/>
  <c r="DT30" i="2"/>
  <c r="DT72" i="2"/>
  <c r="DT42" i="2"/>
  <c r="DT88" i="2"/>
  <c r="DT148" i="2"/>
  <c r="DT184" i="2"/>
  <c r="DT97" i="2"/>
  <c r="DT100" i="2"/>
  <c r="DT78" i="2"/>
  <c r="DT159" i="2"/>
  <c r="DT196" i="2"/>
  <c r="DT199" i="2"/>
  <c r="DT160" i="2"/>
  <c r="DT89" i="2"/>
  <c r="DT154" i="2"/>
  <c r="DT175" i="2"/>
  <c r="DT120" i="2"/>
  <c r="DT124" i="2"/>
  <c r="DT66" i="2"/>
  <c r="DT136" i="2"/>
  <c r="DT137" i="2"/>
  <c r="DT91" i="2"/>
  <c r="DT121" i="2"/>
  <c r="DT141" i="2"/>
  <c r="DT46" i="2"/>
  <c r="DT156" i="2"/>
  <c r="DT92" i="2"/>
  <c r="DT74" i="2"/>
  <c r="DT87" i="2"/>
  <c r="DT47" i="2"/>
  <c r="DT138" i="2"/>
  <c r="DT11" i="2"/>
  <c r="DT179" i="2"/>
  <c r="DT20" i="2"/>
  <c r="DT112" i="2"/>
  <c r="DT122" i="2"/>
  <c r="DT93" i="2"/>
  <c r="DT13" i="2"/>
  <c r="DT7" i="2"/>
  <c r="DT158" i="2"/>
  <c r="DT174" i="2"/>
  <c r="DT40" i="2"/>
  <c r="DT149" i="2"/>
  <c r="DT16" i="2"/>
  <c r="DT111" i="2"/>
  <c r="DT140" i="2"/>
  <c r="DT131" i="2"/>
  <c r="DT170" i="2"/>
  <c r="DT108" i="2"/>
  <c r="DT197" i="2"/>
  <c r="DT98" i="2"/>
  <c r="DT146" i="2"/>
  <c r="DT176" i="2"/>
  <c r="DT9" i="2"/>
  <c r="DT22" i="2"/>
  <c r="DT75" i="2"/>
  <c r="DT114" i="2"/>
  <c r="DT67" i="2"/>
  <c r="DT49" i="2"/>
  <c r="DT70" i="2"/>
  <c r="DT150" i="2"/>
  <c r="DT14" i="2"/>
  <c r="DT135" i="2"/>
  <c r="DT177" i="2"/>
  <c r="DT190" i="2"/>
  <c r="DT5" i="2"/>
  <c r="DT203" i="2"/>
  <c r="DT29" i="2"/>
  <c r="DT18" i="2"/>
  <c r="DT103" i="2"/>
  <c r="DT3" i="2"/>
  <c r="C11" i="4" s="1"/>
  <c r="E11" i="4" s="1"/>
  <c r="F11" i="4" s="1"/>
  <c r="G11" i="4" s="1"/>
  <c r="L11" i="4" s="1"/>
  <c r="DT157" i="2"/>
  <c r="DT130" i="2"/>
  <c r="DT52" i="2"/>
  <c r="DT84" i="2"/>
  <c r="DT126" i="2"/>
  <c r="DT118" i="2"/>
  <c r="DT62" i="2"/>
  <c r="DT145" i="2"/>
  <c r="DT41" i="2"/>
  <c r="DT60" i="2"/>
  <c r="DT107" i="2"/>
  <c r="DT23" i="2"/>
  <c r="DT167" i="2"/>
  <c r="DT193" i="2"/>
  <c r="DT191" i="2"/>
  <c r="DT71" i="2"/>
  <c r="DT27" i="2"/>
  <c r="DT58" i="2"/>
  <c r="DT166" i="2"/>
  <c r="DT77" i="2"/>
  <c r="DT12" i="2"/>
  <c r="DT183" i="2"/>
  <c r="DT48" i="2"/>
  <c r="DT139" i="2"/>
  <c r="DT99" i="2"/>
  <c r="DT32" i="2"/>
  <c r="DT201" i="2"/>
  <c r="DT127" i="2"/>
  <c r="DT53" i="2"/>
  <c r="DT181" i="2"/>
  <c r="DT116" i="2"/>
  <c r="DT76" i="2"/>
  <c r="DT185" i="2"/>
  <c r="DT86" i="2"/>
  <c r="DT55" i="2"/>
  <c r="DT81" i="2"/>
  <c r="DT144" i="2"/>
  <c r="DT187" i="2"/>
  <c r="DT117" i="2"/>
  <c r="DT31" i="2"/>
  <c r="DT10" i="2"/>
  <c r="DT94" i="2"/>
  <c r="DT165" i="2"/>
  <c r="DT28" i="2"/>
  <c r="DT59" i="2"/>
  <c r="DT34" i="2"/>
  <c r="DT106" i="2"/>
  <c r="DT38" i="2"/>
  <c r="DT168" i="2"/>
  <c r="DT80" i="2"/>
  <c r="DT56" i="2"/>
  <c r="DT104" i="2"/>
  <c r="DT115" i="2"/>
  <c r="DT21" i="2"/>
  <c r="DT69" i="2"/>
  <c r="DT51" i="2"/>
  <c r="DT189" i="2"/>
  <c r="DT19" i="2"/>
  <c r="DT129" i="2"/>
  <c r="DT113" i="2"/>
  <c r="DT128" i="2"/>
  <c r="DT161" i="2"/>
  <c r="DT101" i="2"/>
  <c r="DT169" i="2"/>
  <c r="DT83" i="2"/>
  <c r="DT24" i="2"/>
  <c r="DT90" i="2"/>
  <c r="DT109" i="2"/>
  <c r="DT110" i="2"/>
  <c r="DT188" i="2"/>
  <c r="DT171" i="2"/>
  <c r="DT61" i="2"/>
  <c r="DT153" i="2"/>
  <c r="DT4" i="2"/>
  <c r="DT82" i="2"/>
  <c r="DT133" i="2"/>
  <c r="DT194" i="2"/>
  <c r="DT57" i="2"/>
  <c r="DT143" i="2"/>
  <c r="DT36" i="2"/>
  <c r="CD147" i="2"/>
  <c r="CD17" i="2"/>
  <c r="CD60" i="2"/>
  <c r="CD127" i="2"/>
  <c r="CD5" i="2"/>
  <c r="CD179" i="2"/>
  <c r="CD16" i="2"/>
  <c r="CD158" i="2"/>
  <c r="CD148" i="2"/>
  <c r="CD126" i="2"/>
  <c r="CD121" i="2"/>
  <c r="CD175" i="2"/>
  <c r="CD75" i="2"/>
  <c r="CD117" i="2"/>
  <c r="CD6" i="2"/>
  <c r="CD57" i="2"/>
  <c r="CD152" i="2"/>
  <c r="CD25" i="2"/>
  <c r="CD38" i="2"/>
  <c r="CD47" i="2"/>
  <c r="CD61" i="2"/>
  <c r="CD162" i="2"/>
  <c r="CD107" i="2"/>
  <c r="CD153" i="2"/>
  <c r="CD76" i="2"/>
  <c r="CD23" i="2"/>
  <c r="CD58" i="2"/>
  <c r="CD154" i="2"/>
  <c r="CD177" i="2"/>
  <c r="CD35" i="2"/>
  <c r="CD96" i="2"/>
  <c r="CD169" i="2"/>
  <c r="CD71" i="2"/>
  <c r="CD99" i="2"/>
  <c r="CD34" i="2"/>
  <c r="CD202" i="2"/>
  <c r="CD200" i="2"/>
  <c r="CD86" i="2"/>
  <c r="CD8" i="2"/>
  <c r="CD190" i="2"/>
  <c r="CD133" i="2"/>
  <c r="CD54" i="2"/>
  <c r="CD41" i="2"/>
  <c r="CD40" i="2"/>
  <c r="CD184" i="2"/>
  <c r="CD125" i="2"/>
  <c r="CD13" i="2"/>
  <c r="CD135" i="2"/>
  <c r="CD188" i="2"/>
  <c r="CD149" i="2"/>
  <c r="CD198" i="2"/>
  <c r="CD62" i="2"/>
  <c r="CD136" i="2"/>
  <c r="CD168" i="2"/>
  <c r="CD186" i="2"/>
  <c r="CD89" i="2"/>
  <c r="CD159" i="2"/>
  <c r="CD85" i="2"/>
  <c r="CD109" i="2"/>
  <c r="CD180" i="2"/>
  <c r="CD172" i="2"/>
  <c r="CD192" i="2"/>
  <c r="CD33" i="2"/>
  <c r="CD27" i="2"/>
  <c r="CD77" i="2"/>
  <c r="CD3" i="2"/>
  <c r="C9" i="4" s="1"/>
  <c r="E9" i="4" s="1"/>
  <c r="F9" i="4" s="1"/>
  <c r="G9" i="4" s="1"/>
  <c r="L9" i="4" s="1"/>
  <c r="CD171" i="2"/>
  <c r="CD139" i="2"/>
  <c r="CD28" i="2"/>
  <c r="CD197" i="2"/>
  <c r="CD181" i="2"/>
  <c r="CD88" i="2"/>
  <c r="CD114" i="2"/>
  <c r="CD201" i="2"/>
  <c r="CD87" i="2"/>
  <c r="CD103" i="2"/>
  <c r="CD134" i="2"/>
  <c r="CD82" i="2"/>
  <c r="CD195" i="2"/>
  <c r="CD115" i="2"/>
  <c r="CD78" i="2"/>
  <c r="CD69" i="2"/>
  <c r="CD65" i="2"/>
  <c r="CD63" i="2"/>
  <c r="CD12" i="2"/>
  <c r="CD22" i="2"/>
  <c r="CD173" i="2"/>
  <c r="CD92" i="2"/>
  <c r="CD37" i="2"/>
  <c r="CD193" i="2"/>
  <c r="CD67" i="2"/>
  <c r="CD56" i="2"/>
  <c r="CD164" i="2"/>
  <c r="CD161" i="2"/>
  <c r="CD95" i="2"/>
  <c r="CD163" i="2"/>
  <c r="CD84" i="2"/>
  <c r="CD9" i="2"/>
  <c r="CD29" i="2"/>
  <c r="CD66" i="2"/>
  <c r="CD104" i="2"/>
  <c r="CD4" i="2"/>
  <c r="CD122" i="2"/>
  <c r="CD183" i="2"/>
  <c r="CD36" i="2"/>
  <c r="CD144" i="2"/>
  <c r="CD106" i="2"/>
  <c r="CD203" i="2"/>
  <c r="CD157" i="2"/>
  <c r="CD52" i="2"/>
  <c r="CD199" i="2"/>
  <c r="CD26" i="2"/>
  <c r="CD73" i="2"/>
  <c r="CD81" i="2"/>
  <c r="CD55" i="2"/>
  <c r="CD140" i="2"/>
  <c r="CD59" i="2"/>
  <c r="CD118" i="2"/>
  <c r="CD112" i="2"/>
  <c r="CD7" i="2"/>
  <c r="CD189" i="2"/>
  <c r="CD42" i="2"/>
  <c r="CD68" i="2"/>
  <c r="CD191" i="2"/>
  <c r="CD116" i="2"/>
  <c r="CD143" i="2"/>
  <c r="CD166" i="2"/>
  <c r="CD160" i="2"/>
  <c r="CD119" i="2"/>
  <c r="CD131" i="2"/>
  <c r="CD101" i="2"/>
  <c r="CD44" i="2"/>
  <c r="CD167" i="2"/>
  <c r="CD18" i="2"/>
  <c r="CD130" i="2"/>
  <c r="CD10" i="2"/>
  <c r="CD15" i="2"/>
  <c r="CD123" i="2"/>
  <c r="CD110" i="2"/>
  <c r="CD51" i="2"/>
  <c r="CD53" i="2"/>
  <c r="CD50" i="2"/>
  <c r="CD146" i="2"/>
  <c r="CD151" i="2"/>
  <c r="CD128" i="2"/>
  <c r="CD102" i="2"/>
  <c r="CD178" i="2"/>
  <c r="CD155" i="2"/>
  <c r="CD91" i="2"/>
  <c r="CD132" i="2"/>
  <c r="CD194" i="2"/>
  <c r="CD187" i="2"/>
  <c r="CD83" i="2"/>
  <c r="CD100" i="2"/>
  <c r="CD142" i="2"/>
  <c r="CD14" i="2"/>
  <c r="CD45" i="2"/>
  <c r="CD31" i="2"/>
  <c r="CD170" i="2"/>
  <c r="CD165" i="2"/>
  <c r="CD105" i="2"/>
  <c r="CD19" i="2"/>
  <c r="CD93" i="2"/>
  <c r="CD111" i="2"/>
  <c r="CD129" i="2"/>
  <c r="CD74" i="2"/>
  <c r="CD20" i="2"/>
  <c r="CD196" i="2"/>
  <c r="CD156" i="2"/>
  <c r="CD79" i="2"/>
  <c r="CD120" i="2"/>
  <c r="CD30" i="2"/>
  <c r="CD141" i="2"/>
  <c r="CD108" i="2"/>
  <c r="CD72" i="2"/>
  <c r="CD145" i="2"/>
  <c r="CD94" i="2"/>
  <c r="CD138" i="2"/>
  <c r="CD70" i="2"/>
  <c r="CD185" i="2"/>
  <c r="CD124" i="2"/>
  <c r="CD90" i="2"/>
  <c r="CD176" i="2"/>
  <c r="CD21" i="2"/>
  <c r="CD150" i="2"/>
  <c r="CD46" i="2"/>
  <c r="CD11" i="2"/>
  <c r="CD24" i="2"/>
  <c r="CD32" i="2"/>
  <c r="CD39" i="2"/>
  <c r="CD174" i="2"/>
  <c r="CD64" i="2"/>
  <c r="CD98" i="2"/>
  <c r="CD48" i="2"/>
  <c r="CD97" i="2"/>
  <c r="CD137" i="2"/>
  <c r="CD182" i="2"/>
  <c r="CD80" i="2"/>
  <c r="CD49" i="2"/>
  <c r="CD43" i="2"/>
  <c r="CD11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34" i="2"/>
  <c r="BI132" i="2"/>
  <c r="BI42" i="2"/>
  <c r="BI41" i="2"/>
  <c r="BI23" i="2"/>
  <c r="BI13" i="2"/>
  <c r="BI31" i="2"/>
  <c r="BI168" i="2"/>
  <c r="BI158" i="2"/>
  <c r="BI58" i="2"/>
  <c r="BI164" i="2"/>
  <c r="BI135" i="2"/>
  <c r="BI98" i="2"/>
  <c r="BI144" i="2"/>
  <c r="BI189" i="2"/>
  <c r="BI154" i="2"/>
  <c r="BI84" i="2"/>
  <c r="BI66" i="2"/>
  <c r="BI39" i="2"/>
  <c r="BI111" i="2"/>
  <c r="BI176" i="2"/>
  <c r="BI4" i="2"/>
  <c r="BI29" i="2"/>
  <c r="BI126" i="2"/>
  <c r="BI180" i="2"/>
  <c r="BI139" i="2"/>
  <c r="BI105" i="2"/>
  <c r="BI175" i="2"/>
  <c r="BI92" i="2"/>
  <c r="BI112" i="2"/>
  <c r="BI124" i="2"/>
  <c r="BI199" i="2"/>
  <c r="BI137" i="2"/>
  <c r="BI75" i="2"/>
  <c r="BI60" i="2"/>
  <c r="BI89" i="2"/>
  <c r="BI80" i="2"/>
  <c r="BI73" i="2"/>
  <c r="BI53" i="2"/>
  <c r="BI14" i="2"/>
  <c r="BI155" i="2"/>
  <c r="BI163" i="2"/>
  <c r="BI153" i="2"/>
  <c r="BI57" i="2"/>
  <c r="BI8" i="2"/>
  <c r="BI91" i="2"/>
  <c r="BI19" i="2"/>
  <c r="BI11" i="2"/>
  <c r="BI9" i="2"/>
  <c r="BI37" i="2"/>
  <c r="BI118" i="2"/>
  <c r="BI146" i="2"/>
  <c r="BI96" i="2"/>
  <c r="BI197" i="2"/>
  <c r="BI76" i="2"/>
  <c r="BI10" i="2"/>
  <c r="BI77" i="2"/>
  <c r="BI71" i="2"/>
  <c r="BI79" i="2"/>
  <c r="BI200" i="2"/>
  <c r="BI108" i="2"/>
  <c r="BI148" i="2"/>
  <c r="BI65" i="2"/>
  <c r="BI90" i="2"/>
  <c r="BI123" i="2"/>
  <c r="BI174" i="2"/>
  <c r="BI186" i="2"/>
  <c r="BI159" i="2"/>
  <c r="BI34" i="2"/>
  <c r="BI143" i="2"/>
  <c r="BI62" i="2"/>
  <c r="BI115" i="2"/>
  <c r="BI45" i="2"/>
  <c r="BI38" i="2"/>
  <c r="BI198" i="2"/>
  <c r="BI63" i="2"/>
  <c r="BI74" i="2"/>
  <c r="BI172" i="2"/>
  <c r="BI48" i="2"/>
  <c r="BI51" i="2"/>
  <c r="BI191" i="2"/>
  <c r="BI110" i="2"/>
  <c r="BI181" i="2"/>
  <c r="BI44" i="2"/>
  <c r="BI85" i="2"/>
  <c r="BI20" i="2"/>
  <c r="BI56" i="2"/>
  <c r="BI120" i="2"/>
  <c r="BI6" i="2"/>
  <c r="BI30" i="2"/>
  <c r="BI173" i="2"/>
  <c r="BI97" i="2"/>
  <c r="BI121" i="2"/>
  <c r="BI171" i="2"/>
  <c r="BI149" i="2"/>
  <c r="BI101" i="2"/>
  <c r="BI81" i="2"/>
  <c r="BI138" i="2"/>
  <c r="BI178" i="2"/>
  <c r="BI70" i="2"/>
  <c r="BI64" i="2"/>
  <c r="BI131" i="2"/>
  <c r="BI170" i="2"/>
  <c r="BI94" i="2"/>
  <c r="BI106" i="2"/>
  <c r="BI201" i="2"/>
  <c r="BI193" i="2"/>
  <c r="BI22" i="2"/>
  <c r="BI160" i="2"/>
  <c r="BI27" i="2"/>
  <c r="BI125" i="2"/>
  <c r="BI151" i="2"/>
  <c r="BI78" i="2"/>
  <c r="BI114" i="2"/>
  <c r="BI133" i="2"/>
  <c r="BI192" i="2"/>
  <c r="BI141" i="2"/>
  <c r="BI136" i="2"/>
  <c r="BI69" i="2"/>
  <c r="BI119" i="2"/>
  <c r="BI16" i="2"/>
  <c r="BI127" i="2"/>
  <c r="BI184" i="2"/>
  <c r="BI46" i="2"/>
  <c r="BI150" i="2"/>
  <c r="BI129" i="2"/>
  <c r="BI43" i="2"/>
  <c r="BI147" i="2"/>
  <c r="BI166" i="2"/>
  <c r="BI28" i="2"/>
  <c r="BI100" i="2"/>
  <c r="BI187" i="2"/>
  <c r="BI183" i="2"/>
  <c r="BI179" i="2"/>
  <c r="BI82" i="2"/>
  <c r="BI156" i="2"/>
  <c r="BI202" i="2"/>
  <c r="BI103" i="2"/>
  <c r="BI21" i="2"/>
  <c r="BI130" i="2"/>
  <c r="BI182" i="2"/>
  <c r="BI152" i="2"/>
  <c r="BI109" i="2"/>
  <c r="BI54" i="2"/>
  <c r="BI188" i="2"/>
  <c r="BI185" i="2"/>
  <c r="BI140" i="2"/>
  <c r="BI3" i="2"/>
  <c r="C8" i="4" s="1"/>
  <c r="E8" i="4" s="1"/>
  <c r="F8" i="4" s="1"/>
  <c r="G8" i="4" s="1"/>
  <c r="L8" i="4" s="1"/>
  <c r="BI18" i="2"/>
  <c r="BI99" i="2"/>
  <c r="BI128" i="2"/>
  <c r="BI32" i="2"/>
  <c r="BI72" i="2"/>
  <c r="BI55" i="2"/>
  <c r="BI157" i="2"/>
  <c r="BI203" i="2"/>
  <c r="BI52" i="2"/>
  <c r="BI35" i="2"/>
  <c r="BI161" i="2"/>
  <c r="BI162" i="2"/>
  <c r="BI59" i="2"/>
  <c r="BI165" i="2"/>
  <c r="BI36" i="2"/>
  <c r="BI25" i="2"/>
  <c r="BI142" i="2"/>
  <c r="BI87" i="2"/>
  <c r="BI88" i="2"/>
  <c r="BI68" i="2"/>
  <c r="BI67" i="2"/>
  <c r="BI190" i="2"/>
  <c r="BI107" i="2"/>
  <c r="BI17" i="2"/>
  <c r="BI83" i="2"/>
  <c r="BI117" i="2"/>
  <c r="BI7" i="2"/>
  <c r="BI102" i="2"/>
  <c r="BI177" i="2"/>
  <c r="BI104" i="2"/>
  <c r="BI61" i="2"/>
  <c r="BI40" i="2"/>
  <c r="BI196" i="2"/>
  <c r="BI33" i="2"/>
  <c r="BI194" i="2"/>
  <c r="BI167" i="2"/>
  <c r="BI50" i="2"/>
  <c r="BI24" i="2"/>
  <c r="BI122" i="2"/>
  <c r="BI26" i="2"/>
  <c r="BI86" i="2"/>
  <c r="BI15" i="2"/>
  <c r="BI5" i="2"/>
  <c r="BI116" i="2"/>
  <c r="BI93" i="2"/>
  <c r="BI113" i="2"/>
  <c r="BI49" i="2"/>
  <c r="BI95" i="2"/>
  <c r="BI145" i="2"/>
  <c r="BI195" i="2"/>
  <c r="BI12" i="2"/>
  <c r="BI16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<sst xmlns="http://schemas.openxmlformats.org/spreadsheetml/2006/main" count="1177" uniqueCount="324">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</sst>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3.0420346989866704</c:v>
                </c:pt>
                <c:pt idx="2">
                  <c:v>3.8157728974545706</c:v>
                </c:pt>
                <c:pt idx="3">
                  <c:v>4.7870700055510769</c:v>
                </c:pt>
                <c:pt idx="4">
                  <c:v>6.0065514344902446</c:v>
                </c:pt>
                <c:pt idx="5">
                  <c:v>7.5378593378781131</c:v>
                </c:pt>
                <c:pt idx="6">
                  <c:v>9.4610098992627645</c:v>
                </c:pt>
                <c:pt idx="7">
                  <c:v>11.876619016734798</c:v>
                </c:pt>
                <c:pt idx="8">
                  <c:v>14.911221593210763</c:v>
                </c:pt>
                <c:pt idx="9">
                  <c:v>18.723968185473154</c:v>
                </c:pt>
                <c:pt idx="10">
                  <c:v>23.515056561317763</c:v>
                </c:pt>
                <c:pt idx="11">
                  <c:v>29.536348743362321</c:v>
                </c:pt>
                <c:pt idx="12">
                  <c:v>37.104741402260892</c:v>
                </c:pt>
                <c:pt idx="13">
                  <c:v>46.619005336897253</c:v>
                </c:pt>
                <c:pt idx="14">
                  <c:v>58.580996237948476</c:v>
                </c:pt>
                <c:pt idx="15">
                  <c:v>73.622374059447182</c:v>
                </c:pt>
                <c:pt idx="16">
                  <c:v>86.027026900724209</c:v>
                </c:pt>
                <c:pt idx="17">
                  <c:v>98.386606823813551</c:v>
                </c:pt>
                <c:pt idx="18">
                  <c:v>110.70758759686305</c:v>
                </c:pt>
                <c:pt idx="19">
                  <c:v>122.99487803223985</c:v>
                </c:pt>
                <c:pt idx="20">
                  <c:v>135.25232276388536</c:v>
                </c:pt>
                <c:pt idx="21">
                  <c:v>148.01421375954016</c:v>
                </c:pt>
                <c:pt idx="22">
                  <c:v>160.74983504965459</c:v>
                </c:pt>
                <c:pt idx="23">
                  <c:v>173.46156278083515</c:v>
                </c:pt>
                <c:pt idx="24">
                  <c:v>186.1513958594079</c:v>
                </c:pt>
                <c:pt idx="25">
                  <c:v>198.82103804994404</c:v>
                </c:pt>
                <c:pt idx="26">
                  <c:v>156.24214880368183</c:v>
                </c:pt>
                <c:pt idx="27">
                  <c:v>169.22684490502496</c:v>
                </c:pt>
                <c:pt idx="28">
                  <c:v>182.18806689822361</c:v>
                </c:pt>
                <c:pt idx="29">
                  <c:v>195.12772108945578</c:v>
                </c:pt>
                <c:pt idx="30">
                  <c:v>208.04744001071947</c:v>
                </c:pt>
                <c:pt idx="31">
                  <c:v>220.68552368043743</c:v>
                </c:pt>
                <c:pt idx="32">
                  <c:v>233.30699569911027</c:v>
                </c:pt>
                <c:pt idx="33">
                  <c:v>245.9128817487364</c:v>
                </c:pt>
                <c:pt idx="34">
                  <c:v>258.50409369643472</c:v>
                </c:pt>
                <c:pt idx="35">
                  <c:v>271.0814472717563</c:v>
                </c:pt>
                <c:pt idx="36">
                  <c:v>229.1016182515626</c:v>
                </c:pt>
                <c:pt idx="37">
                  <c:v>240.92485492099104</c:v>
                </c:pt>
                <c:pt idx="38">
                  <c:v>252.73488898992335</c:v>
                </c:pt>
                <c:pt idx="39">
                  <c:v>264.53242465514222</c:v>
                </c:pt>
                <c:pt idx="40">
                  <c:v>276.31809813367369</c:v>
                </c:pt>
                <c:pt idx="41">
                  <c:v>287.83095256623977</c:v>
                </c:pt>
                <c:pt idx="42">
                  <c:v>299.33351098507438</c:v>
                </c:pt>
                <c:pt idx="43">
                  <c:v>310.8262249693355</c:v>
                </c:pt>
                <c:pt idx="44">
                  <c:v>322.30950996229876</c:v>
                </c:pt>
                <c:pt idx="45">
                  <c:v>333.78374937501832</c:v>
                </c:pt>
                <c:pt idx="46">
                  <c:v>287.04631762262659</c:v>
                </c:pt>
                <c:pt idx="47">
                  <c:v>297.76556965124479</c:v>
                </c:pt>
                <c:pt idx="48">
                  <c:v>308.47622271912411</c:v>
                </c:pt>
                <c:pt idx="49">
                  <c:v>319.17861763286845</c:v>
                </c:pt>
                <c:pt idx="50">
                  <c:v>329.87307046604047</c:v>
                </c:pt>
                <c:pt idx="51">
                  <c:v>339.7781670611667</c:v>
                </c:pt>
                <c:pt idx="52">
                  <c:v>349.67691259476118</c:v>
                </c:pt>
                <c:pt idx="53">
                  <c:v>359.56951229543256</c:v>
                </c:pt>
                <c:pt idx="54">
                  <c:v>369.45615917184494</c:v>
                </c:pt>
                <c:pt idx="55">
                  <c:v>379.33703505493219</c:v>
                </c:pt>
                <c:pt idx="56">
                  <c:v>331.69818048501043</c:v>
                </c:pt>
                <c:pt idx="57">
                  <c:v>341.34154369544399</c:v>
                </c:pt>
                <c:pt idx="58">
                  <c:v>350.97891730211518</c:v>
                </c:pt>
                <c:pt idx="59">
                  <c:v>360.61048905039712</c:v>
                </c:pt>
                <c:pt idx="60">
                  <c:v>370.23643583282006</c:v>
                </c:pt>
                <c:pt idx="61">
                  <c:v>379.3370350549323</c:v>
                </c:pt>
                <c:pt idx="62">
                  <c:v>388.4328841840873</c:v>
                </c:pt>
                <c:pt idx="63">
                  <c:v>397.52411019447635</c:v>
                </c:pt>
                <c:pt idx="64">
                  <c:v>406.61083377583185</c:v>
                </c:pt>
                <c:pt idx="65">
                  <c:v>415.69316978100875</c:v>
                </c:pt>
                <c:pt idx="66">
                  <c:v>367.37524535104586</c:v>
                </c:pt>
                <c:pt idx="67">
                  <c:v>376.21737131771482</c:v>
                </c:pt>
                <c:pt idx="68">
                  <c:v>385.05497224896385</c:v>
                </c:pt>
                <c:pt idx="69">
                  <c:v>393.88816670507435</c:v>
                </c:pt>
                <c:pt idx="70">
                  <c:v>402.7170674919883</c:v>
                </c:pt>
                <c:pt idx="71">
                  <c:v>410.76329650784623</c:v>
                </c:pt>
                <c:pt idx="72">
                  <c:v>418.80612334095326</c:v>
                </c:pt>
                <c:pt idx="73">
                  <c:v>426.84562257899665</c:v>
                </c:pt>
                <c:pt idx="74">
                  <c:v>434.88186576924096</c:v>
                </c:pt>
                <c:pt idx="75">
                  <c:v>442.91492159758701</c:v>
                </c:pt>
                <c:pt idx="76">
                  <c:v>396.22564203021716</c:v>
                </c:pt>
                <c:pt idx="77">
                  <c:v>404.01507966776506</c:v>
                </c:pt>
                <c:pt idx="78">
                  <c:v>411.80127018050945</c:v>
                </c:pt>
                <c:pt idx="79">
                  <c:v>419.58428366133921</c:v>
                </c:pt>
                <c:pt idx="80">
                  <c:v>427.3641873890769</c:v>
                </c:pt>
                <c:pt idx="81">
                  <c:v>434.88186576924096</c:v>
                </c:pt>
                <c:pt idx="82">
                  <c:v>442.39675481769376</c:v>
                </c:pt>
                <c:pt idx="83">
                  <c:v>449.90890862564248</c:v>
                </c:pt>
                <c:pt idx="84">
                  <c:v>457.41837932963108</c:v>
                </c:pt>
                <c:pt idx="85">
                  <c:v>464.92521721380871</c:v>
                </c:pt>
                <c:pt idx="86">
                  <c:v>420.36241288637984</c:v>
                </c:pt>
                <c:pt idx="87">
                  <c:v>427.62346471808149</c:v>
                </c:pt>
                <c:pt idx="88">
                  <c:v>434.88186576924096</c:v>
                </c:pt>
                <c:pt idx="89">
                  <c:v>442.13766655057469</c:v>
                </c:pt>
                <c:pt idx="90">
                  <c:v>449.39091577872478</c:v>
                </c:pt>
                <c:pt idx="91">
                  <c:v>456.12383221540227</c:v>
                </c:pt>
                <c:pt idx="92">
                  <c:v>462.85462553575684</c:v>
                </c:pt>
                <c:pt idx="93">
                  <c:v>469.58333098744288</c:v>
                </c:pt>
                <c:pt idx="94">
                  <c:v>476.30998272499346</c:v>
                </c:pt>
                <c:pt idx="95">
                  <c:v>483.03461385901966</c:v>
                </c:pt>
                <c:pt idx="96">
                  <c:v>441.61948025110092</c:v>
                </c:pt>
                <c:pt idx="97">
                  <c:v>448.095877722669</c:v>
                </c:pt>
                <c:pt idx="98">
                  <c:v>454.57027201710929</c:v>
                </c:pt>
                <c:pt idx="99">
                  <c:v>461.04269570891194</c:v>
                </c:pt>
                <c:pt idx="100">
                  <c:v>467.51318038276719</c:v>
                </c:pt>
                <c:pt idx="101">
                  <c:v>473.72304989047893</c:v>
                </c:pt>
                <c:pt idx="102">
                  <c:v>479.93118696287434</c:v>
                </c:pt>
                <c:pt idx="103">
                  <c:v>486.13761718470818</c:v>
                </c:pt>
                <c:pt idx="104">
                  <c:v>492.34236543378728</c:v>
                </c:pt>
                <c:pt idx="105">
                  <c:v>498.54545590936368</c:v>
                </c:pt>
                <c:pt idx="106">
                  <c:v>504.7469121590421</c:v>
                </c:pt>
                <c:pt idx="107">
                  <c:v>510.94675710429465</c:v>
                </c:pt>
                <c:pt idx="108">
                  <c:v>517.14501306467344</c:v>
                </c:pt>
                <c:pt idx="109">
                  <c:v>523.34170178080001</c:v>
                </c:pt>
                <c:pt idx="110">
                  <c:v>529.5368444362108</c:v>
                </c:pt>
                <c:pt idx="111">
                  <c:v>467.90134847617452</c:v>
                </c:pt>
                <c:pt idx="112">
                  <c:v>473.46434009613796</c:v>
                </c:pt>
                <c:pt idx="113">
                  <c:v>479.02594054825886</c:v>
                </c:pt>
                <c:pt idx="114">
                  <c:v>484.58616827417518</c:v>
                </c:pt>
                <c:pt idx="115">
                  <c:v>490.14504125750909</c:v>
                </c:pt>
                <c:pt idx="116">
                  <c:v>495.70257704042325</c:v>
                </c:pt>
                <c:pt idx="117">
                  <c:v>501.2587927393958</c:v>
                </c:pt>
                <c:pt idx="118">
                  <c:v>506.81370506025837</c:v>
                </c:pt>
                <c:pt idx="119">
                  <c:v>512.36733031254118</c:v>
                </c:pt>
                <c:pt idx="120">
                  <c:v>517.91968442316272</c:v>
                </c:pt>
                <c:pt idx="121">
                  <c:v>23.007566490539954</c:v>
                </c:pt>
                <c:pt idx="122">
                  <c:v>23.007566490539954</c:v>
                </c:pt>
                <c:pt idx="123">
                  <c:v>23.007566490539954</c:v>
                </c:pt>
                <c:pt idx="124">
                  <c:v>23.007566490539954</c:v>
                </c:pt>
                <c:pt idx="125">
                  <c:v>23.007566490539954</c:v>
                </c:pt>
                <c:pt idx="126">
                  <c:v>23.007566490539954</c:v>
                </c:pt>
                <c:pt idx="127">
                  <c:v>23.007566490539954</c:v>
                </c:pt>
                <c:pt idx="128">
                  <c:v>23.007566490539954</c:v>
                </c:pt>
                <c:pt idx="129">
                  <c:v>23.007566490539954</c:v>
                </c:pt>
                <c:pt idx="130">
                  <c:v>23.007566490539954</c:v>
                </c:pt>
                <c:pt idx="131">
                  <c:v>23.007566490539954</c:v>
                </c:pt>
                <c:pt idx="132">
                  <c:v>23.007566490539954</c:v>
                </c:pt>
                <c:pt idx="133">
                  <c:v>23.007566490539954</c:v>
                </c:pt>
                <c:pt idx="134">
                  <c:v>23.007566490539954</c:v>
                </c:pt>
                <c:pt idx="135">
                  <c:v>23.007566490539954</c:v>
                </c:pt>
                <c:pt idx="136">
                  <c:v>23.007566490539954</c:v>
                </c:pt>
                <c:pt idx="137">
                  <c:v>23.007566490539954</c:v>
                </c:pt>
                <c:pt idx="138">
                  <c:v>23.007566490539954</c:v>
                </c:pt>
                <c:pt idx="139">
                  <c:v>23.007566490539954</c:v>
                </c:pt>
                <c:pt idx="140">
                  <c:v>23.007566490539954</c:v>
                </c:pt>
                <c:pt idx="141">
                  <c:v>23.007566490539954</c:v>
                </c:pt>
                <c:pt idx="142">
                  <c:v>23.007566490539954</c:v>
                </c:pt>
                <c:pt idx="143">
                  <c:v>23.007566490539954</c:v>
                </c:pt>
                <c:pt idx="144">
                  <c:v>23.007566490539954</c:v>
                </c:pt>
                <c:pt idx="145">
                  <c:v>23.007566490539954</c:v>
                </c:pt>
                <c:pt idx="146">
                  <c:v>23.007566490539954</c:v>
                </c:pt>
                <c:pt idx="147">
                  <c:v>23.007566490539954</c:v>
                </c:pt>
                <c:pt idx="148">
                  <c:v>23.007566490539954</c:v>
                </c:pt>
                <c:pt idx="149">
                  <c:v>23.007566490539954</c:v>
                </c:pt>
                <c:pt idx="150">
                  <c:v>23.007566490539954</c:v>
                </c:pt>
                <c:pt idx="151">
                  <c:v>23.007566490539954</c:v>
                </c:pt>
                <c:pt idx="152">
                  <c:v>23.007566490539954</c:v>
                </c:pt>
                <c:pt idx="153">
                  <c:v>23.007566490539954</c:v>
                </c:pt>
                <c:pt idx="154">
                  <c:v>23.007566490539954</c:v>
                </c:pt>
                <c:pt idx="155">
                  <c:v>23.007566490539954</c:v>
                </c:pt>
                <c:pt idx="156">
                  <c:v>23.007566490539954</c:v>
                </c:pt>
                <c:pt idx="157">
                  <c:v>23.007566490539954</c:v>
                </c:pt>
                <c:pt idx="158">
                  <c:v>23.007566490539954</c:v>
                </c:pt>
                <c:pt idx="159">
                  <c:v>23.007566490539954</c:v>
                </c:pt>
                <c:pt idx="160">
                  <c:v>23.007566490539954</c:v>
                </c:pt>
                <c:pt idx="161">
                  <c:v>23.007566490539954</c:v>
                </c:pt>
                <c:pt idx="162">
                  <c:v>23.007566490539954</c:v>
                </c:pt>
                <c:pt idx="163">
                  <c:v>23.007566490539954</c:v>
                </c:pt>
                <c:pt idx="164">
                  <c:v>23.007566490539954</c:v>
                </c:pt>
                <c:pt idx="165">
                  <c:v>23.007566490539954</c:v>
                </c:pt>
                <c:pt idx="166">
                  <c:v>23.007566490539954</c:v>
                </c:pt>
                <c:pt idx="167">
                  <c:v>23.007566490539954</c:v>
                </c:pt>
                <c:pt idx="168">
                  <c:v>23.007566490539954</c:v>
                </c:pt>
                <c:pt idx="169">
                  <c:v>23.007566490539954</c:v>
                </c:pt>
                <c:pt idx="170">
                  <c:v>23.007566490539954</c:v>
                </c:pt>
                <c:pt idx="171">
                  <c:v>23.007566490539954</c:v>
                </c:pt>
                <c:pt idx="172">
                  <c:v>23.007566490539954</c:v>
                </c:pt>
                <c:pt idx="173">
                  <c:v>23.007566490539954</c:v>
                </c:pt>
                <c:pt idx="174">
                  <c:v>23.007566490539954</c:v>
                </c:pt>
                <c:pt idx="175">
                  <c:v>23.007566490539954</c:v>
                </c:pt>
                <c:pt idx="176">
                  <c:v>23.007566490539954</c:v>
                </c:pt>
                <c:pt idx="177">
                  <c:v>23.007566490539954</c:v>
                </c:pt>
                <c:pt idx="178">
                  <c:v>23.007566490539954</c:v>
                </c:pt>
                <c:pt idx="179">
                  <c:v>23.007566490539954</c:v>
                </c:pt>
                <c:pt idx="180">
                  <c:v>23.007566490539954</c:v>
                </c:pt>
                <c:pt idx="181">
                  <c:v>23.007566490539954</c:v>
                </c:pt>
                <c:pt idx="182">
                  <c:v>23.007566490539954</c:v>
                </c:pt>
                <c:pt idx="183">
                  <c:v>23.007566490539954</c:v>
                </c:pt>
                <c:pt idx="184">
                  <c:v>23.007566490539954</c:v>
                </c:pt>
                <c:pt idx="185">
                  <c:v>23.007566490539954</c:v>
                </c:pt>
                <c:pt idx="186">
                  <c:v>23.007566490539954</c:v>
                </c:pt>
                <c:pt idx="187">
                  <c:v>23.007566490539954</c:v>
                </c:pt>
                <c:pt idx="188">
                  <c:v>23.007566490539954</c:v>
                </c:pt>
                <c:pt idx="189">
                  <c:v>23.007566490539954</c:v>
                </c:pt>
                <c:pt idx="190">
                  <c:v>23.007566490539954</c:v>
                </c:pt>
                <c:pt idx="191">
                  <c:v>23.007566490539954</c:v>
                </c:pt>
                <c:pt idx="192">
                  <c:v>23.007566490539954</c:v>
                </c:pt>
                <c:pt idx="193">
                  <c:v>23.007566490539954</c:v>
                </c:pt>
                <c:pt idx="194">
                  <c:v>23.007566490539954</c:v>
                </c:pt>
                <c:pt idx="195">
                  <c:v>23.007566490539954</c:v>
                </c:pt>
                <c:pt idx="196">
                  <c:v>23.007566490539954</c:v>
                </c:pt>
                <c:pt idx="197">
                  <c:v>23.007566490539954</c:v>
                </c:pt>
                <c:pt idx="198">
                  <c:v>23.007566490539954</c:v>
                </c:pt>
                <c:pt idx="199">
                  <c:v>23.007566490539954</c:v>
                </c:pt>
                <c:pt idx="200">
                  <c:v>23.007566490539954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86311168"/>
        <c:axId val="-286313888"/>
      </c:scatterChart>
      <c:valAx>
        <c:axId val="-286311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13888"/>
        <c:crosses val="autoZero"/>
        <c:crossBetween val="midCat"/>
      </c:valAx>
      <c:valAx>
        <c:axId val="-28631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11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7945296"/>
        <c:axId val="-464679504"/>
      </c:scatterChart>
      <c:valAx>
        <c:axId val="-467945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4679504"/>
        <c:crosses val="autoZero"/>
        <c:crossBetween val="midCat"/>
      </c:valAx>
      <c:valAx>
        <c:axId val="-46467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4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86325312"/>
        <c:axId val="-286319328"/>
      </c:scatterChart>
      <c:valAx>
        <c:axId val="-286325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19328"/>
        <c:crosses val="autoZero"/>
        <c:crossBetween val="midCat"/>
      </c:valAx>
      <c:valAx>
        <c:axId val="-28631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25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3.1789133645949152</c:v>
                </c:pt>
                <c:pt idx="2">
                  <c:v>3.8066012494147365</c:v>
                </c:pt>
                <c:pt idx="3">
                  <c:v>4.5586856518299959</c:v>
                </c:pt>
                <c:pt idx="4">
                  <c:v>5.4599051822734497</c:v>
                </c:pt>
                <c:pt idx="5">
                  <c:v>6.5399341005058345</c:v>
                </c:pt>
                <c:pt idx="6">
                  <c:v>7.8343699878635862</c:v>
                </c:pt>
                <c:pt idx="7">
                  <c:v>9.3859196082097007</c:v>
                </c:pt>
                <c:pt idx="8">
                  <c:v>11.245822827226961</c:v>
                </c:pt>
                <c:pt idx="9">
                  <c:v>13.475562498771119</c:v>
                </c:pt>
                <c:pt idx="10">
                  <c:v>16.148917890424809</c:v>
                </c:pt>
                <c:pt idx="11">
                  <c:v>19.35443083699084</c:v>
                </c:pt>
                <c:pt idx="12">
                  <c:v>23.198367775946725</c:v>
                </c:pt>
                <c:pt idx="13">
                  <c:v>27.808277608584905</c:v>
                </c:pt>
                <c:pt idx="14">
                  <c:v>33.337265516940001</c:v>
                </c:pt>
                <c:pt idx="15">
                  <c:v>39.969127138040541</c:v>
                </c:pt>
                <c:pt idx="16">
                  <c:v>47.924516681638387</c:v>
                </c:pt>
                <c:pt idx="17">
                  <c:v>57.468357671619486</c:v>
                </c:pt>
                <c:pt idx="18">
                  <c:v>68.918747193365917</c:v>
                </c:pt>
                <c:pt idx="19">
                  <c:v>82.65765528146629</c:v>
                </c:pt>
                <c:pt idx="20">
                  <c:v>99.143782119399972</c:v>
                </c:pt>
                <c:pt idx="21">
                  <c:v>111.99106512728763</c:v>
                </c:pt>
                <c:pt idx="22">
                  <c:v>124.80217592836114</c:v>
                </c:pt>
                <c:pt idx="23">
                  <c:v>137.58135594016102</c:v>
                </c:pt>
                <c:pt idx="24">
                  <c:v>150.33199216939715</c:v>
                </c:pt>
                <c:pt idx="25">
                  <c:v>163.0568489007332</c:v>
                </c:pt>
                <c:pt idx="26">
                  <c:v>178.93013103704493</c:v>
                </c:pt>
                <c:pt idx="27">
                  <c:v>194.77041295233732</c:v>
                </c:pt>
                <c:pt idx="28">
                  <c:v>210.58075731770046</c:v>
                </c:pt>
                <c:pt idx="29">
                  <c:v>226.3637288579913</c:v>
                </c:pt>
                <c:pt idx="30">
                  <c:v>242.12150514745778</c:v>
                </c:pt>
                <c:pt idx="31">
                  <c:v>194.77041295233732</c:v>
                </c:pt>
                <c:pt idx="32">
                  <c:v>212.83708887213751</c:v>
                </c:pt>
                <c:pt idx="33">
                  <c:v>230.86843461387113</c:v>
                </c:pt>
                <c:pt idx="34">
                  <c:v>248.86759792936172</c:v>
                </c:pt>
                <c:pt idx="35">
                  <c:v>266.83723378272913</c:v>
                </c:pt>
                <c:pt idx="36">
                  <c:v>285.67604975379066</c:v>
                </c:pt>
                <c:pt idx="37">
                  <c:v>304.48706974706403</c:v>
                </c:pt>
                <c:pt idx="38">
                  <c:v>323.27225207911926</c:v>
                </c:pt>
                <c:pt idx="39">
                  <c:v>342.0333089023552</c:v>
                </c:pt>
                <c:pt idx="40">
                  <c:v>360.77174923572994</c:v>
                </c:pt>
                <c:pt idx="41">
                  <c:v>285.67604975379072</c:v>
                </c:pt>
                <c:pt idx="42">
                  <c:v>304.48706974706403</c:v>
                </c:pt>
                <c:pt idx="43">
                  <c:v>323.27225207911937</c:v>
                </c:pt>
                <c:pt idx="44">
                  <c:v>342.0333089023552</c:v>
                </c:pt>
                <c:pt idx="45">
                  <c:v>360.77174923573011</c:v>
                </c:pt>
                <c:pt idx="46">
                  <c:v>379.04350368975275</c:v>
                </c:pt>
                <c:pt idx="47">
                  <c:v>397.29609733045737</c:v>
                </c:pt>
                <c:pt idx="48">
                  <c:v>415.53053394265203</c:v>
                </c:pt>
                <c:pt idx="49">
                  <c:v>433.74772206081064</c:v>
                </c:pt>
                <c:pt idx="50">
                  <c:v>451.94848771070718</c:v>
                </c:pt>
                <c:pt idx="51">
                  <c:v>376.37081053726507</c:v>
                </c:pt>
                <c:pt idx="52">
                  <c:v>394.18111266295523</c:v>
                </c:pt>
                <c:pt idx="53">
                  <c:v>411.97397670838632</c:v>
                </c:pt>
                <c:pt idx="54">
                  <c:v>429.75026149342511</c:v>
                </c:pt>
                <c:pt idx="55">
                  <c:v>447.51074902101635</c:v>
                </c:pt>
                <c:pt idx="56">
                  <c:v>464.36923178701255</c:v>
                </c:pt>
                <c:pt idx="57">
                  <c:v>481.21466665466613</c:v>
                </c:pt>
                <c:pt idx="58">
                  <c:v>498.04757447379058</c:v>
                </c:pt>
                <c:pt idx="59">
                  <c:v>514.86843803268459</c:v>
                </c:pt>
                <c:pt idx="60">
                  <c:v>531.67770601770815</c:v>
                </c:pt>
                <c:pt idx="61">
                  <c:v>454.61068299689782</c:v>
                </c:pt>
                <c:pt idx="62">
                  <c:v>470.57693415697872</c:v>
                </c:pt>
                <c:pt idx="63">
                  <c:v>486.5316514967526</c:v>
                </c:pt>
                <c:pt idx="64">
                  <c:v>502.47526635010644</c:v>
                </c:pt>
                <c:pt idx="65">
                  <c:v>518.40818045759727</c:v>
                </c:pt>
                <c:pt idx="66">
                  <c:v>533.44644543973675</c:v>
                </c:pt>
                <c:pt idx="67">
                  <c:v>548.47579644625011</c:v>
                </c:pt>
                <c:pt idx="68">
                  <c:v>563.49651203558233</c:v>
                </c:pt>
                <c:pt idx="69">
                  <c:v>578.50885471155289</c:v>
                </c:pt>
                <c:pt idx="70">
                  <c:v>593.51307224988932</c:v>
                </c:pt>
                <c:pt idx="71">
                  <c:v>514.42593418418744</c:v>
                </c:pt>
                <c:pt idx="72">
                  <c:v>528.1398552239084</c:v>
                </c:pt>
                <c:pt idx="73">
                  <c:v>541.84628101014516</c:v>
                </c:pt>
                <c:pt idx="74">
                  <c:v>555.54542779246219</c:v>
                </c:pt>
                <c:pt idx="75">
                  <c:v>569.2375002894953</c:v>
                </c:pt>
                <c:pt idx="76">
                  <c:v>582.48134023717637</c:v>
                </c:pt>
                <c:pt idx="77">
                  <c:v>595.71890383853508</c:v>
                </c:pt>
                <c:pt idx="78">
                  <c:v>608.95035015881137</c:v>
                </c:pt>
                <c:pt idx="79">
                  <c:v>622.17583079004851</c:v>
                </c:pt>
                <c:pt idx="80">
                  <c:v>635.39549035690561</c:v>
                </c:pt>
                <c:pt idx="81">
                  <c:v>555.10363132288933</c:v>
                </c:pt>
                <c:pt idx="82">
                  <c:v>567.47117187040385</c:v>
                </c:pt>
                <c:pt idx="83">
                  <c:v>579.83307958303908</c:v>
                </c:pt>
                <c:pt idx="84">
                  <c:v>592.18949144115993</c:v>
                </c:pt>
                <c:pt idx="85">
                  <c:v>604.54053824439779</c:v>
                </c:pt>
                <c:pt idx="86">
                  <c:v>616.88634501376157</c:v>
                </c:pt>
                <c:pt idx="87">
                  <c:v>629.22703135989616</c:v>
                </c:pt>
                <c:pt idx="88">
                  <c:v>641.56271182096305</c:v>
                </c:pt>
                <c:pt idx="89">
                  <c:v>653.8934961731934</c:v>
                </c:pt>
                <c:pt idx="90">
                  <c:v>666.21948971680979</c:v>
                </c:pt>
                <c:pt idx="91">
                  <c:v>584.46737091938064</c:v>
                </c:pt>
                <c:pt idx="92">
                  <c:v>595.27775113642122</c:v>
                </c:pt>
                <c:pt idx="93">
                  <c:v>606.08404815139511</c:v>
                </c:pt>
                <c:pt idx="94">
                  <c:v>616.88634501376157</c:v>
                </c:pt>
                <c:pt idx="95">
                  <c:v>627.68472162790101</c:v>
                </c:pt>
                <c:pt idx="96">
                  <c:v>638.47925492542254</c:v>
                </c:pt>
                <c:pt idx="97">
                  <c:v>649.2700190252142</c:v>
                </c:pt>
                <c:pt idx="98">
                  <c:v>660.05708538230556</c:v>
                </c:pt>
                <c:pt idx="99">
                  <c:v>670.8405229264979</c:v>
                </c:pt>
                <c:pt idx="100">
                  <c:v>681.62039819161907</c:v>
                </c:pt>
                <c:pt idx="101">
                  <c:v>598.80678277824711</c:v>
                </c:pt>
                <c:pt idx="102">
                  <c:v>608.50939888371079</c:v>
                </c:pt>
                <c:pt idx="103">
                  <c:v>618.20880426311362</c:v>
                </c:pt>
                <c:pt idx="104">
                  <c:v>627.90505638634033</c:v>
                </c:pt>
                <c:pt idx="105">
                  <c:v>637.59821080387985</c:v>
                </c:pt>
                <c:pt idx="106">
                  <c:v>647.28832123975712</c:v>
                </c:pt>
                <c:pt idx="107">
                  <c:v>656.975439678611</c:v>
                </c:pt>
                <c:pt idx="108">
                  <c:v>666.65961644737104</c:v>
                </c:pt>
                <c:pt idx="109">
                  <c:v>676.34090029194533</c:v>
                </c:pt>
                <c:pt idx="110">
                  <c:v>686.01933844928715</c:v>
                </c:pt>
                <c:pt idx="111">
                  <c:v>608.28892075898375</c:v>
                </c:pt>
                <c:pt idx="112">
                  <c:v>616.44551220984624</c:v>
                </c:pt>
                <c:pt idx="113">
                  <c:v>624.59986665219606</c:v>
                </c:pt>
                <c:pt idx="114">
                  <c:v>632.75201740880914</c:v>
                </c:pt>
                <c:pt idx="115">
                  <c:v>640.90199687382051</c:v>
                </c:pt>
                <c:pt idx="116">
                  <c:v>649.04983655033686</c:v>
                </c:pt>
                <c:pt idx="117">
                  <c:v>657.19556708606308</c:v>
                </c:pt>
                <c:pt idx="118">
                  <c:v>665.33921830707209</c:v>
                </c:pt>
                <c:pt idx="119">
                  <c:v>673.48081924983421</c:v>
                </c:pt>
                <c:pt idx="120">
                  <c:v>681.62039819161828</c:v>
                </c:pt>
                <c:pt idx="121">
                  <c:v>611.59591881491031</c:v>
                </c:pt>
                <c:pt idx="122">
                  <c:v>618.64961097649086</c:v>
                </c:pt>
                <c:pt idx="123">
                  <c:v>625.70163669703174</c:v>
                </c:pt>
                <c:pt idx="124">
                  <c:v>632.75201740880891</c:v>
                </c:pt>
                <c:pt idx="125">
                  <c:v>639.80077402749373</c:v>
                </c:pt>
                <c:pt idx="126">
                  <c:v>646.84792697028172</c:v>
                </c:pt>
                <c:pt idx="127">
                  <c:v>653.89349617319181</c:v>
                </c:pt>
                <c:pt idx="128">
                  <c:v>660.93750110758117</c:v>
                </c:pt>
                <c:pt idx="129">
                  <c:v>667.97996079591837</c:v>
                </c:pt>
                <c:pt idx="130">
                  <c:v>675.02089382685904</c:v>
                </c:pt>
                <c:pt idx="131">
                  <c:v>612.69816894712756</c:v>
                </c:pt>
                <c:pt idx="132">
                  <c:v>618.64961097649064</c:v>
                </c:pt>
                <c:pt idx="133">
                  <c:v>624.59986665219549</c:v>
                </c:pt>
                <c:pt idx="134">
                  <c:v>630.54894887243267</c:v>
                </c:pt>
                <c:pt idx="135">
                  <c:v>636.49687027211212</c:v>
                </c:pt>
                <c:pt idx="136">
                  <c:v>642.44364323070124</c:v>
                </c:pt>
                <c:pt idx="137">
                  <c:v>648.38927987975728</c:v>
                </c:pt>
                <c:pt idx="138">
                  <c:v>654.33379211016961</c:v>
                </c:pt>
                <c:pt idx="139">
                  <c:v>660.27719157912463</c:v>
                </c:pt>
                <c:pt idx="140">
                  <c:v>666.21948971680797</c:v>
                </c:pt>
                <c:pt idx="141">
                  <c:v>612.03682380942575</c:v>
                </c:pt>
                <c:pt idx="142">
                  <c:v>617.32717128706031</c:v>
                </c:pt>
                <c:pt idx="143">
                  <c:v>622.61657910902113</c:v>
                </c:pt>
                <c:pt idx="144">
                  <c:v>627.9050563863392</c:v>
                </c:pt>
                <c:pt idx="145">
                  <c:v>633.19261206401154</c:v>
                </c:pt>
                <c:pt idx="146">
                  <c:v>638.47925492542083</c:v>
                </c:pt>
                <c:pt idx="147">
                  <c:v>643.76499359659749</c:v>
                </c:pt>
                <c:pt idx="148">
                  <c:v>649.04983655033573</c:v>
                </c:pt>
                <c:pt idx="149">
                  <c:v>654.33379211016882</c:v>
                </c:pt>
                <c:pt idx="150">
                  <c:v>659.61686845420979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86317696"/>
        <c:axId val="-286317152"/>
      </c:scatterChart>
      <c:valAx>
        <c:axId val="-286317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17152"/>
        <c:crosses val="autoZero"/>
        <c:crossBetween val="midCat"/>
      </c:valAx>
      <c:valAx>
        <c:axId val="-28631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1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86316064"/>
        <c:axId val="-286315520"/>
      </c:scatterChart>
      <c:valAx>
        <c:axId val="-286316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15520"/>
        <c:crosses val="autoZero"/>
        <c:crossBetween val="midCat"/>
      </c:valAx>
      <c:valAx>
        <c:axId val="-28631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1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7936048"/>
        <c:axId val="-467934416"/>
      </c:scatterChart>
      <c:valAx>
        <c:axId val="-467936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34416"/>
        <c:crosses val="autoZero"/>
        <c:crossBetween val="midCat"/>
      </c:valAx>
      <c:valAx>
        <c:axId val="-46793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3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7937136"/>
        <c:axId val="-467943664"/>
      </c:scatterChart>
      <c:valAx>
        <c:axId val="-467937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43664"/>
        <c:crosses val="autoZero"/>
        <c:crossBetween val="midCat"/>
      </c:valAx>
      <c:valAx>
        <c:axId val="-46794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3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208.44739368904513</c:v>
                </c:pt>
                <c:pt idx="27">
                  <c:v>225.73604566376423</c:v>
                </c:pt>
                <c:pt idx="28">
                  <c:v>242.99437224137114</c:v>
                </c:pt>
                <c:pt idx="29">
                  <c:v>260.22483038651944</c:v>
                </c:pt>
                <c:pt idx="30">
                  <c:v>277.4295249730198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324.0483183818979</c:v>
                </c:pt>
                <c:pt idx="37">
                  <c:v>342.4486265982539</c:v>
                </c:pt>
                <c:pt idx="38">
                  <c:v>360.82720872341338</c:v>
                </c:pt>
                <c:pt idx="39">
                  <c:v>379.18532666257624</c:v>
                </c:pt>
                <c:pt idx="40">
                  <c:v>397.52411019447658</c:v>
                </c:pt>
                <c:pt idx="41">
                  <c:v>317.14231769154236</c:v>
                </c:pt>
                <c:pt idx="42">
                  <c:v>341.42696956725405</c:v>
                </c:pt>
                <c:pt idx="43">
                  <c:v>365.67365126385272</c:v>
                </c:pt>
                <c:pt idx="44">
                  <c:v>389.88523246274644</c:v>
                </c:pt>
                <c:pt idx="45">
                  <c:v>414.06419751906043</c:v>
                </c:pt>
                <c:pt idx="46">
                  <c:v>436.18028292908156</c:v>
                </c:pt>
                <c:pt idx="47">
                  <c:v>458.27231312639043</c:v>
                </c:pt>
                <c:pt idx="48">
                  <c:v>480.34160990668687</c:v>
                </c:pt>
                <c:pt idx="49">
                  <c:v>502.38936379093224</c:v>
                </c:pt>
                <c:pt idx="50">
                  <c:v>524.41665236850588</c:v>
                </c:pt>
                <c:pt idx="51">
                  <c:v>412.31545034855623</c:v>
                </c:pt>
                <c:pt idx="52">
                  <c:v>434.71934533149897</c:v>
                </c:pt>
                <c:pt idx="53">
                  <c:v>457.09846370599308</c:v>
                </c:pt>
                <c:pt idx="54">
                  <c:v>479.45418811198141</c:v>
                </c:pt>
                <c:pt idx="55">
                  <c:v>501.787761833518</c:v>
                </c:pt>
                <c:pt idx="56">
                  <c:v>524.10030854720515</c:v>
                </c:pt>
                <c:pt idx="57">
                  <c:v>546.39284853374625</c:v>
                </c:pt>
                <c:pt idx="58">
                  <c:v>568.66631210732623</c:v>
                </c:pt>
                <c:pt idx="59">
                  <c:v>589.65931608140158</c:v>
                </c:pt>
                <c:pt idx="60">
                  <c:v>610.63676314923657</c:v>
                </c:pt>
                <c:pt idx="61">
                  <c:v>631.59926243817915</c:v>
                </c:pt>
                <c:pt idx="62">
                  <c:v>652.54737938593928</c:v>
                </c:pt>
                <c:pt idx="63">
                  <c:v>673.48164020437218</c:v>
                </c:pt>
                <c:pt idx="64">
                  <c:v>694.40253575988163</c:v>
                </c:pt>
                <c:pt idx="65">
                  <c:v>715.31052496230802</c:v>
                </c:pt>
                <c:pt idx="66">
                  <c:v>736.20603773738048</c:v>
                </c:pt>
                <c:pt idx="67">
                  <c:v>572.29782173470414</c:v>
                </c:pt>
                <c:pt idx="68">
                  <c:v>588.55481451870219</c:v>
                </c:pt>
                <c:pt idx="69">
                  <c:v>604.8024579997433</c:v>
                </c:pt>
                <c:pt idx="70">
                  <c:v>621.04103855425888</c:v>
                </c:pt>
                <c:pt idx="71">
                  <c:v>637.27082637167109</c:v>
                </c:pt>
                <c:pt idx="72">
                  <c:v>653.492076766747</c:v>
                </c:pt>
                <c:pt idx="73">
                  <c:v>669.70503135496108</c:v>
                </c:pt>
                <c:pt idx="74">
                  <c:v>685.90991910820355</c:v>
                </c:pt>
                <c:pt idx="75">
                  <c:v>697.07569563685365</c:v>
                </c:pt>
                <c:pt idx="76">
                  <c:v>708.2378107109289</c:v>
                </c:pt>
                <c:pt idx="77">
                  <c:v>719.39633014437993</c:v>
                </c:pt>
                <c:pt idx="78">
                  <c:v>730.55131754396245</c:v>
                </c:pt>
                <c:pt idx="79">
                  <c:v>741.70283441654044</c:v>
                </c:pt>
                <c:pt idx="80">
                  <c:v>752.85094026960178</c:v>
                </c:pt>
                <c:pt idx="81">
                  <c:v>763.9956927055174</c:v>
                </c:pt>
                <c:pt idx="82">
                  <c:v>775.13714751001589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7931696"/>
        <c:axId val="-467944752"/>
      </c:scatterChart>
      <c:valAx>
        <c:axId val="-467931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44752"/>
        <c:crosses val="autoZero"/>
        <c:crossBetween val="midCat"/>
      </c:valAx>
      <c:valAx>
        <c:axId val="-46794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31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2.0801803047891831</c:v>
                </c:pt>
                <c:pt idx="2">
                  <c:v>2.7905066044127733</c:v>
                </c:pt>
                <c:pt idx="3">
                  <c:v>3.74440534699754</c:v>
                </c:pt>
                <c:pt idx="4">
                  <c:v>5.0257259450507812</c:v>
                </c:pt>
                <c:pt idx="5">
                  <c:v>6.7472883259063394</c:v>
                </c:pt>
                <c:pt idx="6">
                  <c:v>9.0609262398723924</c:v>
                </c:pt>
                <c:pt idx="7">
                  <c:v>12.171023111680329</c:v>
                </c:pt>
                <c:pt idx="8">
                  <c:v>16.352758396569048</c:v>
                </c:pt>
                <c:pt idx="9">
                  <c:v>21.976708234197869</c:v>
                </c:pt>
                <c:pt idx="10">
                  <c:v>29.542019252430688</c:v>
                </c:pt>
                <c:pt idx="11">
                  <c:v>39.721151062240295</c:v>
                </c:pt>
                <c:pt idx="12">
                  <c:v>53.420232144414797</c:v>
                </c:pt>
                <c:pt idx="13">
                  <c:v>73.201093404762517</c:v>
                </c:pt>
                <c:pt idx="14">
                  <c:v>95.193802230849045</c:v>
                </c:pt>
                <c:pt idx="15">
                  <c:v>119.40669706000294</c:v>
                </c:pt>
                <c:pt idx="16">
                  <c:v>105.44872764883114</c:v>
                </c:pt>
                <c:pt idx="17">
                  <c:v>118.72814390822663</c:v>
                </c:pt>
                <c:pt idx="18">
                  <c:v>134.68918035095743</c:v>
                </c:pt>
                <c:pt idx="19">
                  <c:v>151.78802852533406</c:v>
                </c:pt>
                <c:pt idx="20">
                  <c:v>173.25204101823155</c:v>
                </c:pt>
                <c:pt idx="21">
                  <c:v>148.07114991460617</c:v>
                </c:pt>
                <c:pt idx="22">
                  <c:v>168.92923244181199</c:v>
                </c:pt>
                <c:pt idx="23">
                  <c:v>190.77159636850772</c:v>
                </c:pt>
                <c:pt idx="24">
                  <c:v>213.97096754156919</c:v>
                </c:pt>
                <c:pt idx="25">
                  <c:v>237.91131665522707</c:v>
                </c:pt>
                <c:pt idx="26">
                  <c:v>262.4191790375051</c:v>
                </c:pt>
                <c:pt idx="27">
                  <c:v>286.87538518437105</c:v>
                </c:pt>
                <c:pt idx="28">
                  <c:v>237.05767815907811</c:v>
                </c:pt>
                <c:pt idx="29">
                  <c:v>257.30780573118091</c:v>
                </c:pt>
                <c:pt idx="30">
                  <c:v>277.52190192244632</c:v>
                </c:pt>
                <c:pt idx="31">
                  <c:v>298.22015123846171</c:v>
                </c:pt>
                <c:pt idx="32">
                  <c:v>318.8863942330795</c:v>
                </c:pt>
                <c:pt idx="33">
                  <c:v>255.0484613536668</c:v>
                </c:pt>
                <c:pt idx="34">
                  <c:v>271.66857581099384</c:v>
                </c:pt>
                <c:pt idx="35">
                  <c:v>288.26582722652319</c:v>
                </c:pt>
                <c:pt idx="36">
                  <c:v>304.84171714529225</c:v>
                </c:pt>
                <c:pt idx="37">
                  <c:v>321.3975704655806</c:v>
                </c:pt>
                <c:pt idx="38">
                  <c:v>338.26681317270908</c:v>
                </c:pt>
                <c:pt idx="39">
                  <c:v>355.11754651191865</c:v>
                </c:pt>
                <c:pt idx="40">
                  <c:v>371.95077218720718</c:v>
                </c:pt>
                <c:pt idx="41">
                  <c:v>388.76739385150091</c:v>
                </c:pt>
                <c:pt idx="42">
                  <c:v>405.56823061861064</c:v>
                </c:pt>
                <c:pt idx="43">
                  <c:v>422.39941053572528</c:v>
                </c:pt>
                <c:pt idx="44">
                  <c:v>439.21615689856299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7935504"/>
        <c:axId val="-467933872"/>
      </c:scatterChart>
      <c:valAx>
        <c:axId val="-467935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33872"/>
        <c:crosses val="autoZero"/>
        <c:crossBetween val="midCat"/>
      </c:valAx>
      <c:valAx>
        <c:axId val="-46793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3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7945840"/>
        <c:axId val="-467946384"/>
      </c:scatterChart>
      <c:valAx>
        <c:axId val="-467945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46384"/>
        <c:crosses val="autoZero"/>
        <c:crossBetween val="midCat"/>
      </c:valAx>
      <c:valAx>
        <c:axId val="-46794638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7945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3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3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3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3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3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3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3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3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3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3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3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3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3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3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3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3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3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3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22" zoomScaleNormal="100" workbookViewId="0">
      <selection activeCell="B43" sqref="B4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89" t="s">
        <v>190</v>
      </c>
      <c r="D1" s="289"/>
      <c r="E1" s="28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4" t="s">
        <v>192</v>
      </c>
      <c r="C3" s="295"/>
      <c r="D3" s="295"/>
      <c r="E3" s="295"/>
      <c r="F3" s="296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0" t="s">
        <v>231</v>
      </c>
      <c r="B5" s="300"/>
      <c r="C5" s="26">
        <v>7.04</v>
      </c>
      <c r="D5" s="301" t="s">
        <v>229</v>
      </c>
      <c r="E5" s="302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5.8" x14ac:dyDescent="0.3">
      <c r="A7" s="298" t="s">
        <v>226</v>
      </c>
      <c r="B7" s="298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6</v>
      </c>
      <c r="C9" s="35">
        <v>3.8300000000000001E-2</v>
      </c>
      <c r="D9" s="36">
        <f t="shared" ref="D9:D18" si="0">C9*$C$5</f>
        <v>0.26963199999999998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</v>
      </c>
      <c r="C10" s="35">
        <v>3.8300000000000001E-2</v>
      </c>
      <c r="D10" s="36">
        <f t="shared" si="0"/>
        <v>0.26963199999999998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9</v>
      </c>
      <c r="C11" s="35">
        <v>3.8300000000000001E-2</v>
      </c>
      <c r="D11" s="36">
        <f t="shared" si="0"/>
        <v>0.26963199999999998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12</v>
      </c>
      <c r="C12" s="35">
        <v>7.6600000000000001E-2</v>
      </c>
      <c r="D12" s="36">
        <f t="shared" si="0"/>
        <v>0.53926399999999997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14</v>
      </c>
      <c r="C13" s="35">
        <v>0.45929999999999999</v>
      </c>
      <c r="D13" s="36">
        <f t="shared" si="0"/>
        <v>3.2334719999999999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52</v>
      </c>
      <c r="C14" s="35">
        <v>5.74E-2</v>
      </c>
      <c r="D14" s="36">
        <f t="shared" si="0"/>
        <v>0.40409600000000001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35</v>
      </c>
      <c r="C15" s="35">
        <v>0.1148</v>
      </c>
      <c r="D15" s="36">
        <f t="shared" si="0"/>
        <v>0.80819200000000002</v>
      </c>
      <c r="E15" s="37">
        <v>82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36</v>
      </c>
      <c r="C16" s="35">
        <v>7.6600000000000001E-2</v>
      </c>
      <c r="D16" s="36">
        <f t="shared" si="0"/>
        <v>0.53926399999999997</v>
      </c>
      <c r="E16" s="37">
        <v>44</v>
      </c>
      <c r="F16" s="38" t="str">
        <f t="array" ref="F16">IF(E16="","",IF(INDEX(A:A,MAX(IF(ISNUMBER($A$218:$A$237),ROW($A$218:$A$237),"")))&lt;&gt;E16,"Corrigez : révolution incorrecte","OK"))</f>
        <v>OK</v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6"/>
      <c r="B19" s="39" t="s">
        <v>175</v>
      </c>
      <c r="C19" s="40">
        <f>SUM(C9:C18)</f>
        <v>0.89960000000000007</v>
      </c>
      <c r="D19" s="41">
        <f>SUM(D9:D18)</f>
        <v>6.3331840000000001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7" t="s">
        <v>232</v>
      </c>
      <c r="B22" s="297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3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9" t="s">
        <v>227</v>
      </c>
      <c r="B30" s="299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3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Charme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1">
        <f>53/1.56</f>
        <v>33.974358974358971</v>
      </c>
      <c r="C36" s="53"/>
      <c r="D36" s="61"/>
      <c r="E36" s="54"/>
      <c r="F36" s="54"/>
      <c r="G36" s="54"/>
      <c r="H36" s="64"/>
      <c r="I36" s="52">
        <f>IFERROR(B36/A36,"")</f>
        <v>2.2649572649572649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1">
        <f>(89+10)/1.56</f>
        <v>63.46153846153846</v>
      </c>
      <c r="C37" s="53"/>
      <c r="D37" s="61"/>
      <c r="E37" s="64"/>
      <c r="F37" s="64"/>
      <c r="G37" s="64"/>
      <c r="H37" s="64"/>
      <c r="I37" s="56">
        <f t="shared" ref="I37:I55" si="1">IF(A37&lt;&gt;0,(B37-(B36-D36))/(A37-A36),"")</f>
        <v>5.8974358974358978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1">
        <f>(123+10+14)/1.56</f>
        <v>94.230769230769226</v>
      </c>
      <c r="C38" s="53">
        <v>1</v>
      </c>
      <c r="D38" s="61">
        <f>(10+14+18)/1.56</f>
        <v>26.923076923076923</v>
      </c>
      <c r="E38" s="64"/>
      <c r="F38" s="64"/>
      <c r="G38" s="64"/>
      <c r="H38" s="64">
        <v>1</v>
      </c>
      <c r="I38" s="56">
        <f t="shared" si="1"/>
        <v>6.1538461538461533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1">
        <f>(154)/1.56</f>
        <v>98.717948717948715</v>
      </c>
      <c r="C39" s="53"/>
      <c r="D39" s="61"/>
      <c r="E39" s="64"/>
      <c r="F39" s="64"/>
      <c r="G39" s="64"/>
      <c r="H39" s="64"/>
      <c r="I39" s="52">
        <f t="shared" si="1"/>
        <v>6.2820512820512819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1">
        <f>(182+20)/1.56</f>
        <v>129.48717948717947</v>
      </c>
      <c r="C40" s="53">
        <v>2</v>
      </c>
      <c r="D40" s="61">
        <f>(20+21)/1.56</f>
        <v>26.282051282051281</v>
      </c>
      <c r="E40" s="64"/>
      <c r="F40" s="64"/>
      <c r="G40" s="64"/>
      <c r="H40" s="64"/>
      <c r="I40" s="52">
        <f t="shared" si="1"/>
        <v>6.1538461538461515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61">
        <f>(206)/1.56</f>
        <v>132.05128205128204</v>
      </c>
      <c r="C41" s="53"/>
      <c r="D41" s="61"/>
      <c r="E41" s="64"/>
      <c r="F41" s="64"/>
      <c r="G41" s="64"/>
      <c r="H41" s="64"/>
      <c r="I41" s="56">
        <f t="shared" si="1"/>
        <v>5.7692307692307709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1">
        <v>45</v>
      </c>
      <c r="B42" s="61">
        <f>(228+22)/1.56</f>
        <v>160.25641025641025</v>
      </c>
      <c r="C42" s="61">
        <v>3</v>
      </c>
      <c r="D42" s="61">
        <f>(22+22)/1.56</f>
        <v>28.205128205128204</v>
      </c>
      <c r="E42" s="64"/>
      <c r="F42" s="64"/>
      <c r="G42" s="64"/>
      <c r="H42" s="64"/>
      <c r="I42" s="56">
        <f t="shared" si="1"/>
        <v>5.6410256410256405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8">
        <v>50</v>
      </c>
      <c r="B43" s="58">
        <f>(247)/1.56</f>
        <v>158.33333333333331</v>
      </c>
      <c r="C43" s="58"/>
      <c r="D43" s="58"/>
      <c r="E43" s="64"/>
      <c r="F43" s="64"/>
      <c r="G43" s="64"/>
      <c r="H43" s="64"/>
      <c r="I43" s="52">
        <f t="shared" si="1"/>
        <v>5.2564102564102537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8">
        <v>55</v>
      </c>
      <c r="B44" s="58">
        <f>(263+22)/1.56</f>
        <v>182.69230769230768</v>
      </c>
      <c r="C44" s="58">
        <v>4</v>
      </c>
      <c r="D44" s="58">
        <f>(22+22)/1.56</f>
        <v>28.205128205128204</v>
      </c>
      <c r="E44" s="64"/>
      <c r="F44" s="64"/>
      <c r="G44" s="64"/>
      <c r="H44" s="64"/>
      <c r="I44" s="52">
        <f t="shared" si="1"/>
        <v>4.8717948717948731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8">
        <v>60</v>
      </c>
      <c r="B45" s="58">
        <f>(278)/1.56</f>
        <v>178.2051282051282</v>
      </c>
      <c r="C45" s="58"/>
      <c r="D45" s="58"/>
      <c r="E45" s="64"/>
      <c r="F45" s="64"/>
      <c r="G45" s="64"/>
      <c r="H45" s="64"/>
      <c r="I45" s="52">
        <f t="shared" si="1"/>
        <v>4.7435897435897463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8">
        <v>65</v>
      </c>
      <c r="B46" s="58">
        <f>(291+22)/1.56</f>
        <v>200.64102564102564</v>
      </c>
      <c r="C46" s="58">
        <v>5</v>
      </c>
      <c r="D46" s="58">
        <f>(22+22)/1.56</f>
        <v>28.205128205128204</v>
      </c>
      <c r="E46" s="64"/>
      <c r="F46" s="64"/>
      <c r="G46" s="64"/>
      <c r="H46" s="64"/>
      <c r="I46" s="52">
        <f t="shared" si="1"/>
        <v>4.4871794871794863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8">
        <v>70</v>
      </c>
      <c r="B47" s="58">
        <f>(303)/1.56</f>
        <v>194.23076923076923</v>
      </c>
      <c r="C47" s="58"/>
      <c r="D47" s="58"/>
      <c r="E47" s="64"/>
      <c r="F47" s="64"/>
      <c r="G47" s="64"/>
      <c r="H47" s="64"/>
      <c r="I47" s="52">
        <f t="shared" si="1"/>
        <v>4.3589743589743595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8">
        <v>75</v>
      </c>
      <c r="B48" s="58">
        <f>(313+21)/1.56</f>
        <v>214.10256410256409</v>
      </c>
      <c r="C48" s="58">
        <v>6</v>
      </c>
      <c r="D48" s="58">
        <f>(21+21)/1.56</f>
        <v>26.923076923076923</v>
      </c>
      <c r="E48" s="65"/>
      <c r="F48" s="65"/>
      <c r="G48" s="65"/>
      <c r="H48" s="65"/>
      <c r="I48" s="52">
        <f t="shared" si="1"/>
        <v>3.9743589743589722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90">
        <v>80</v>
      </c>
      <c r="B49" s="61">
        <f>(322)/1.56</f>
        <v>206.41025641025641</v>
      </c>
      <c r="C49" s="90"/>
      <c r="D49" s="61"/>
      <c r="E49" s="57"/>
      <c r="F49" s="57"/>
      <c r="G49" s="57"/>
      <c r="H49" s="57"/>
      <c r="I49" s="52">
        <f t="shared" si="1"/>
        <v>3.8461538461538511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85</v>
      </c>
      <c r="B50" s="53">
        <f>(331+20)/1.56</f>
        <v>225</v>
      </c>
      <c r="C50" s="53">
        <v>7</v>
      </c>
      <c r="D50" s="53">
        <v>25.641025641025639</v>
      </c>
      <c r="E50" s="57"/>
      <c r="F50" s="57"/>
      <c r="G50" s="57"/>
      <c r="H50" s="57"/>
      <c r="I50" s="52">
        <f t="shared" si="1"/>
        <v>3.7179487179487181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90</v>
      </c>
      <c r="B51" s="53">
        <f>339/1.56</f>
        <v>217.30769230769229</v>
      </c>
      <c r="C51" s="53"/>
      <c r="D51" s="53"/>
      <c r="E51" s="57"/>
      <c r="F51" s="57"/>
      <c r="G51" s="57"/>
      <c r="H51" s="57"/>
      <c r="I51" s="52">
        <f t="shared" si="1"/>
        <v>3.5897435897435854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95</v>
      </c>
      <c r="B52" s="53">
        <f>(346+19)/1.56</f>
        <v>233.97435897435898</v>
      </c>
      <c r="C52" s="53">
        <v>8</v>
      </c>
      <c r="D52" s="53">
        <v>23.717948717948715</v>
      </c>
      <c r="E52" s="57"/>
      <c r="F52" s="57"/>
      <c r="G52" s="57"/>
      <c r="H52" s="57"/>
      <c r="I52" s="52">
        <f t="shared" si="1"/>
        <v>3.333333333333337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100</v>
      </c>
      <c r="B53" s="53">
        <f>353/1.56</f>
        <v>226.28205128205127</v>
      </c>
      <c r="C53" s="53"/>
      <c r="D53" s="53"/>
      <c r="E53" s="57"/>
      <c r="F53" s="57"/>
      <c r="G53" s="57"/>
      <c r="H53" s="57"/>
      <c r="I53" s="52">
        <f t="shared" si="1"/>
        <v>3.2051282051281986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110</v>
      </c>
      <c r="B54" s="53">
        <f>(366+17+18)/1.56</f>
        <v>257.05128205128204</v>
      </c>
      <c r="C54" s="53">
        <v>9</v>
      </c>
      <c r="D54" s="53">
        <f>(17+18+17)/1.56</f>
        <v>33.333333333333336</v>
      </c>
      <c r="E54" s="57"/>
      <c r="F54" s="57"/>
      <c r="G54" s="57"/>
      <c r="H54" s="57"/>
      <c r="I54" s="52">
        <f t="shared" si="1"/>
        <v>3.0769230769230775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120</v>
      </c>
      <c r="B55" s="53">
        <f>(376+16)/1.56</f>
        <v>251.28205128205127</v>
      </c>
      <c r="C55" s="53">
        <v>10</v>
      </c>
      <c r="D55" s="53">
        <f>(360+16)/1.56</f>
        <v>241.02564102564102</v>
      </c>
      <c r="E55" s="57"/>
      <c r="F55" s="57"/>
      <c r="G55" s="57"/>
      <c r="H55" s="57"/>
      <c r="I55" s="52">
        <f t="shared" si="1"/>
        <v>2.7564102564102568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Alisier torminal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v>105</v>
      </c>
      <c r="C64" s="61">
        <v>1</v>
      </c>
      <c r="D64" s="61"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v>158</v>
      </c>
      <c r="C66" s="61">
        <v>2</v>
      </c>
      <c r="D66" s="61"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v>199</v>
      </c>
      <c r="C68" s="61">
        <v>3</v>
      </c>
      <c r="D68" s="61"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/>
      <c r="D69" s="5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chevelu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1">
        <v>42</v>
      </c>
      <c r="C88" s="61"/>
      <c r="D88" s="61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1">
        <v>70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1">
        <v>105</v>
      </c>
      <c r="C90" s="61">
        <v>1</v>
      </c>
      <c r="D90" s="61"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1">
        <v>116</v>
      </c>
      <c r="C91" s="61"/>
      <c r="D91" s="61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1">
        <v>158</v>
      </c>
      <c r="C92" s="61">
        <v>2</v>
      </c>
      <c r="D92" s="61"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1">
        <v>158</v>
      </c>
      <c r="C93" s="61"/>
      <c r="D93" s="61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1">
        <v>199</v>
      </c>
      <c r="C94" s="61">
        <v>3</v>
      </c>
      <c r="D94" s="61"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197</v>
      </c>
      <c r="C95" s="53"/>
      <c r="D95" s="5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pubescent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v>105</v>
      </c>
      <c r="C116" s="61">
        <v>1</v>
      </c>
      <c r="D116" s="61"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v>158</v>
      </c>
      <c r="C118" s="61">
        <v>2</v>
      </c>
      <c r="D118" s="61"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v>199</v>
      </c>
      <c r="C120" s="61">
        <v>3</v>
      </c>
      <c r="D120" s="61"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53">
        <v>197</v>
      </c>
      <c r="C121" s="53"/>
      <c r="D121" s="53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sessile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v>105</v>
      </c>
      <c r="C142" s="61">
        <v>1</v>
      </c>
      <c r="D142" s="61"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v>158</v>
      </c>
      <c r="C144" s="61">
        <v>2</v>
      </c>
      <c r="D144" s="61"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v>199</v>
      </c>
      <c r="C146" s="61">
        <v>3</v>
      </c>
      <c r="D146" s="61"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53">
        <v>197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Cormier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v>105</v>
      </c>
      <c r="C168" s="61">
        <v>1</v>
      </c>
      <c r="D168" s="61"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v>158</v>
      </c>
      <c r="C170" s="61">
        <v>2</v>
      </c>
      <c r="D170" s="61"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v>199</v>
      </c>
      <c r="C172" s="61">
        <v>3</v>
      </c>
      <c r="D172" s="61"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197</v>
      </c>
      <c r="C173" s="53"/>
      <c r="D173" s="53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Pin laricio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22</v>
      </c>
      <c r="B192" s="61">
        <f>107+16</f>
        <v>123</v>
      </c>
      <c r="C192" s="61">
        <v>1</v>
      </c>
      <c r="D192" s="61">
        <v>16</v>
      </c>
      <c r="E192" s="54"/>
      <c r="F192" s="54">
        <v>0.5</v>
      </c>
      <c r="G192" s="54">
        <v>0.5</v>
      </c>
      <c r="H192" s="54"/>
      <c r="I192" s="52">
        <f>IFERROR(B192/A192,"")</f>
        <v>5.5909090909090908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1">
        <f>127+17</f>
        <v>144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12.333333333333334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1">
        <f>160+17+34</f>
        <v>211</v>
      </c>
      <c r="C194" s="61">
        <v>2</v>
      </c>
      <c r="D194" s="61">
        <f>17+34</f>
        <v>51</v>
      </c>
      <c r="E194" s="54"/>
      <c r="F194" s="54">
        <v>0.5</v>
      </c>
      <c r="G194" s="54">
        <v>0.5</v>
      </c>
      <c r="H194" s="54"/>
      <c r="I194" s="52">
        <f t="shared" si="7"/>
        <v>13.4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1">
        <f>192+41</f>
        <v>233</v>
      </c>
      <c r="C195" s="61"/>
      <c r="D195" s="61"/>
      <c r="E195" s="54"/>
      <c r="F195" s="54"/>
      <c r="G195" s="54"/>
      <c r="H195" s="54"/>
      <c r="I195" s="52">
        <f t="shared" si="7"/>
        <v>14.6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1">
        <f>223+41+41</f>
        <v>305</v>
      </c>
      <c r="C196" s="61">
        <v>3</v>
      </c>
      <c r="D196" s="61">
        <f>41+41</f>
        <v>82</v>
      </c>
      <c r="E196" s="54"/>
      <c r="F196" s="54"/>
      <c r="G196" s="54"/>
      <c r="H196" s="54"/>
      <c r="I196" s="52">
        <f t="shared" si="7"/>
        <v>14.4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1">
        <f>265+53</f>
        <v>318</v>
      </c>
      <c r="C197" s="61"/>
      <c r="D197" s="61"/>
      <c r="E197" s="54"/>
      <c r="F197" s="54"/>
      <c r="G197" s="54"/>
      <c r="H197" s="54"/>
      <c r="I197" s="52">
        <f t="shared" si="7"/>
        <v>19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1">
        <f>299+53+53</f>
        <v>405</v>
      </c>
      <c r="C198" s="61">
        <v>4</v>
      </c>
      <c r="D198" s="61">
        <f>53+53</f>
        <v>106</v>
      </c>
      <c r="E198" s="54"/>
      <c r="F198" s="54"/>
      <c r="G198" s="54"/>
      <c r="H198" s="54"/>
      <c r="I198" s="52">
        <f t="shared" si="7"/>
        <v>17.399999999999999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58</v>
      </c>
      <c r="B199" s="53">
        <f>362+78</f>
        <v>440</v>
      </c>
      <c r="C199" s="53"/>
      <c r="D199" s="53"/>
      <c r="E199" s="54"/>
      <c r="F199" s="54"/>
      <c r="G199" s="54"/>
      <c r="H199" s="54"/>
      <c r="I199" s="52">
        <f t="shared" si="7"/>
        <v>17.625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66</v>
      </c>
      <c r="B200" s="53">
        <f>430+78+65</f>
        <v>573</v>
      </c>
      <c r="C200" s="53">
        <v>5</v>
      </c>
      <c r="D200" s="53">
        <f>65+78</f>
        <v>143</v>
      </c>
      <c r="E200" s="54"/>
      <c r="F200" s="54"/>
      <c r="G200" s="54"/>
      <c r="H200" s="54"/>
      <c r="I200" s="52">
        <f t="shared" si="7"/>
        <v>16.625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74</v>
      </c>
      <c r="B201" s="53">
        <f>496+37</f>
        <v>533</v>
      </c>
      <c r="C201" s="53"/>
      <c r="D201" s="53"/>
      <c r="E201" s="54"/>
      <c r="F201" s="54"/>
      <c r="G201" s="54"/>
      <c r="H201" s="54"/>
      <c r="I201" s="52">
        <f t="shared" si="7"/>
        <v>12.875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82</v>
      </c>
      <c r="B202" s="53">
        <f>541+26+37</f>
        <v>604</v>
      </c>
      <c r="C202" s="53">
        <v>6</v>
      </c>
      <c r="D202" s="53">
        <f>B202</f>
        <v>604</v>
      </c>
      <c r="E202" s="54"/>
      <c r="F202" s="54"/>
      <c r="G202" s="54"/>
      <c r="H202" s="54"/>
      <c r="I202" s="52">
        <f t="shared" si="7"/>
        <v>8.875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Pin maritime</v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12</v>
      </c>
      <c r="B218" s="61">
        <v>38.8705</v>
      </c>
      <c r="C218" s="61"/>
      <c r="D218" s="61"/>
      <c r="E218" s="54"/>
      <c r="F218" s="54"/>
      <c r="G218" s="54"/>
      <c r="H218" s="54"/>
      <c r="I218" s="56">
        <f>IFERROR(B218/A218,"")</f>
        <v>3.2392083333333335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13</v>
      </c>
      <c r="B219" s="61">
        <v>53.7455</v>
      </c>
      <c r="C219" s="61"/>
      <c r="D219" s="61"/>
      <c r="E219" s="54"/>
      <c r="F219" s="54"/>
      <c r="G219" s="54"/>
      <c r="H219" s="54"/>
      <c r="I219" s="56">
        <f t="shared" ref="I219:I237" si="8">IF(A219&lt;&gt;0,(B219-(B218-D218))/(A219-A218),"")</f>
        <v>14.875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14</v>
      </c>
      <c r="B220" s="61">
        <v>70.405500000000004</v>
      </c>
      <c r="C220" s="61"/>
      <c r="D220" s="61"/>
      <c r="E220" s="54"/>
      <c r="F220" s="54"/>
      <c r="G220" s="54"/>
      <c r="H220" s="54"/>
      <c r="I220" s="56">
        <f t="shared" si="8"/>
        <v>16.660000000000004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15</v>
      </c>
      <c r="B221" s="61">
        <v>88.859000000000009</v>
      </c>
      <c r="C221" s="61">
        <v>1</v>
      </c>
      <c r="D221" s="61">
        <v>23.3155</v>
      </c>
      <c r="E221" s="54"/>
      <c r="F221" s="54">
        <v>0.5</v>
      </c>
      <c r="G221" s="54">
        <v>0.5</v>
      </c>
      <c r="H221" s="54"/>
      <c r="I221" s="56">
        <f t="shared" si="8"/>
        <v>18.453500000000005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16</v>
      </c>
      <c r="B222" s="61">
        <v>78.208500000000001</v>
      </c>
      <c r="C222" s="61"/>
      <c r="D222" s="61"/>
      <c r="E222" s="54"/>
      <c r="F222" s="54"/>
      <c r="G222" s="54"/>
      <c r="H222" s="54"/>
      <c r="I222" s="56">
        <f t="shared" si="8"/>
        <v>12.664999999999992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17</v>
      </c>
      <c r="B223" s="61">
        <v>88.340500000000006</v>
      </c>
      <c r="C223" s="61"/>
      <c r="D223" s="61"/>
      <c r="E223" s="54"/>
      <c r="F223" s="54"/>
      <c r="G223" s="54"/>
      <c r="H223" s="54"/>
      <c r="I223" s="56">
        <f t="shared" si="8"/>
        <v>10.132000000000005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18</v>
      </c>
      <c r="B224" s="61">
        <v>100.55499999999999</v>
      </c>
      <c r="C224" s="61"/>
      <c r="D224" s="61"/>
      <c r="E224" s="54"/>
      <c r="F224" s="54"/>
      <c r="G224" s="54"/>
      <c r="H224" s="54"/>
      <c r="I224" s="56">
        <f t="shared" si="8"/>
        <v>12.214499999999987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279">
        <v>19</v>
      </c>
      <c r="B225" s="61">
        <v>113.679</v>
      </c>
      <c r="C225" s="61"/>
      <c r="D225" s="61"/>
      <c r="E225" s="54"/>
      <c r="F225" s="54"/>
      <c r="G225" s="54"/>
      <c r="H225" s="54"/>
      <c r="I225" s="56">
        <f t="shared" si="8"/>
        <v>13.124000000000009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279">
        <v>20</v>
      </c>
      <c r="B226" s="61">
        <v>130.203</v>
      </c>
      <c r="C226" s="61">
        <v>2</v>
      </c>
      <c r="D226" s="61">
        <v>34.110500000000002</v>
      </c>
      <c r="E226" s="54">
        <v>0.25</v>
      </c>
      <c r="F226" s="54">
        <v>0.375</v>
      </c>
      <c r="G226" s="54">
        <v>0.375</v>
      </c>
      <c r="H226" s="54"/>
      <c r="I226" s="56">
        <f t="shared" si="8"/>
        <v>16.524000000000001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279">
        <v>21</v>
      </c>
      <c r="B227" s="61">
        <v>110.82299999999999</v>
      </c>
      <c r="C227" s="61"/>
      <c r="D227" s="61"/>
      <c r="E227" s="54"/>
      <c r="F227" s="54"/>
      <c r="G227" s="54"/>
      <c r="H227" s="54"/>
      <c r="I227" s="56">
        <f t="shared" si="8"/>
        <v>14.730499999999992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279">
        <v>22</v>
      </c>
      <c r="B228" s="61">
        <v>126.871</v>
      </c>
      <c r="C228" s="61"/>
      <c r="D228" s="61"/>
      <c r="E228" s="54"/>
      <c r="F228" s="54"/>
      <c r="G228" s="54"/>
      <c r="H228" s="54"/>
      <c r="I228" s="56">
        <f t="shared" si="8"/>
        <v>16.048000000000002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279">
        <v>23</v>
      </c>
      <c r="B229" s="61">
        <v>143.72650000000002</v>
      </c>
      <c r="C229" s="61"/>
      <c r="D229" s="61"/>
      <c r="E229" s="54"/>
      <c r="F229" s="54"/>
      <c r="G229" s="54"/>
      <c r="H229" s="54"/>
      <c r="I229" s="56">
        <f t="shared" si="8"/>
        <v>16.855500000000021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279">
        <v>24</v>
      </c>
      <c r="B230" s="61">
        <v>161.67850000000001</v>
      </c>
      <c r="C230" s="61"/>
      <c r="D230" s="61"/>
      <c r="E230" s="54"/>
      <c r="F230" s="54"/>
      <c r="G230" s="54"/>
      <c r="H230" s="54"/>
      <c r="I230" s="56">
        <f t="shared" si="8"/>
        <v>17.951999999999998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279">
        <v>25</v>
      </c>
      <c r="B231" s="61">
        <v>180.251</v>
      </c>
      <c r="C231" s="61"/>
      <c r="D231" s="61"/>
      <c r="E231" s="54"/>
      <c r="F231" s="54"/>
      <c r="G231" s="54"/>
      <c r="H231" s="54"/>
      <c r="I231" s="56">
        <f t="shared" si="8"/>
        <v>18.572499999999991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279">
        <v>27</v>
      </c>
      <c r="B232" s="61">
        <v>218.36499999999998</v>
      </c>
      <c r="C232" s="61">
        <v>3</v>
      </c>
      <c r="D232" s="61">
        <v>54.518999999999998</v>
      </c>
      <c r="E232" s="54">
        <v>0.6</v>
      </c>
      <c r="F232" s="54">
        <v>0.2</v>
      </c>
      <c r="G232" s="54">
        <v>0.2</v>
      </c>
      <c r="H232" s="54"/>
      <c r="I232" s="56">
        <f t="shared" si="8"/>
        <v>19.056999999999988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279">
        <v>30</v>
      </c>
      <c r="B233" s="53">
        <v>211.072</v>
      </c>
      <c r="C233" s="53"/>
      <c r="D233" s="53"/>
      <c r="E233" s="54"/>
      <c r="F233" s="54"/>
      <c r="G233" s="54"/>
      <c r="H233" s="54"/>
      <c r="I233" s="56">
        <f t="shared" si="8"/>
        <v>15.74200000000001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279">
        <v>32</v>
      </c>
      <c r="B234" s="53">
        <v>243.36350000000002</v>
      </c>
      <c r="C234" s="53">
        <v>4</v>
      </c>
      <c r="D234" s="53">
        <v>62.73</v>
      </c>
      <c r="E234" s="54"/>
      <c r="F234" s="54"/>
      <c r="G234" s="54"/>
      <c r="H234" s="54"/>
      <c r="I234" s="56">
        <f t="shared" si="8"/>
        <v>16.145750000000007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79">
        <v>37</v>
      </c>
      <c r="B235" s="53">
        <v>245.327</v>
      </c>
      <c r="C235" s="53"/>
      <c r="D235" s="53"/>
      <c r="E235" s="54"/>
      <c r="F235" s="54"/>
      <c r="G235" s="54"/>
      <c r="H235" s="54"/>
      <c r="I235" s="56">
        <f t="shared" si="8"/>
        <v>12.938699999999994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79">
        <v>42</v>
      </c>
      <c r="B236" s="53">
        <v>311.32100000000003</v>
      </c>
      <c r="C236" s="53"/>
      <c r="D236" s="53"/>
      <c r="E236" s="54"/>
      <c r="F236" s="54"/>
      <c r="G236" s="54"/>
      <c r="H236" s="54"/>
      <c r="I236" s="56">
        <f t="shared" si="8"/>
        <v>13.198800000000006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79">
        <v>44</v>
      </c>
      <c r="B237" s="53">
        <v>337.78999999999996</v>
      </c>
      <c r="C237" s="53">
        <v>5</v>
      </c>
      <c r="D237" s="53">
        <v>337.78999999999996</v>
      </c>
      <c r="E237" s="54"/>
      <c r="F237" s="54"/>
      <c r="G237" s="54"/>
      <c r="H237" s="54"/>
      <c r="I237" s="56">
        <f t="shared" si="8"/>
        <v>13.234499999999969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0"/>
      <c r="B257" s="61"/>
      <c r="C257" s="90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3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3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Charme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Alisier torminal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Chêne chevelu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Chêne pubescent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Chêne sessile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>Cormier</v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>Pin laricio</v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>Pin maritime</v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353.61481736740694</v>
      </c>
      <c r="T3" s="60">
        <f>IF('Données projet'!E9&gt;30,$R$33-$H$33,LOOKUP('Données projet'!$E$9,$A$3:$A$203,R3:R203)-LOOKUP('Données projet'!$E$9,$A$3:$A$203,$H$3:$H$203))</f>
        <v>244.7141066773861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455.50822833641354</v>
      </c>
      <c r="AO3" s="60">
        <f>IF('Données projet'!E10&gt;30,$AM$33-$H$33,LOOKUP('Données projet'!$E$10,$A$3:$A$203,AM3:AM203)-LOOKUP('Données projet'!$E$10,$A$3:$A$203,$H$3:$H$203))</f>
        <v>261.14722581688039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488.7825919901664</v>
      </c>
      <c r="BJ3" s="60">
        <f>IF('Données projet'!E11&gt;30,$BH$33-$H$33,LOOKUP('Données projet'!$E$11,$A$3:$A$203,BH3:BH203)-LOOKUP('Données projet'!$E$11,$A$3:$A$203,$H$3:$H$203))</f>
        <v>278.78817181412438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475.47920969424894</v>
      </c>
      <c r="CE3" s="60">
        <f>IF('Données projet'!E12&gt;30,$CC$33-$H$33,LOOKUP('Données projet'!$E$12,$A$3:$A$203,CC3:CC203)-LOOKUP('Données projet'!$E$12,$A$3:$A$203,$H$3:$H$203))</f>
        <v>271.73544012419364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428.8489304403459</v>
      </c>
      <c r="CZ3" s="60">
        <f>IF('Données projet'!E13&gt;30,$CX$33-$H$33,LOOKUP('Données projet'!$E$13,$A$3:$A$203,CX3:CX203)-LOOKUP('Données projet'!$E$13,$A$3:$A$203,$H$3:$H$203))</f>
        <v>247.01165577562966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502.07782026233912</v>
      </c>
      <c r="DU3" s="60">
        <f>IF('Données projet'!E14&gt;30,$DS$33-$H$33,LOOKUP('Données projet'!$E$14,$A$3:$A$203,DS3:DS203)-LOOKUP('Données projet'!$E$14,$A$3:$A$203,$H$3:$H$203))</f>
        <v>285.83623046025156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392.62423122800357</v>
      </c>
      <c r="EP3" s="60">
        <f>IF('Données projet'!E15&gt;30,$EN$33-$H$33,LOOKUP('Données projet'!$E$15,$A$3:$A$203,EN3:EN203)-LOOKUP('Données projet'!$E$15,$A$3:$A$203,$H$3:$H$203))</f>
        <v>314.09619163968642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207.03241199974599</v>
      </c>
      <c r="FK3" s="60">
        <f>IF('Données projet'!E16&gt;30,$FI$33-$H$33,LOOKUP('Données projet'!$E$16,$A$3:$A$203,FI3:FI203)-LOOKUP('Données projet'!$E$16,$A$3:$A$203,$H$3:$H$203))</f>
        <v>314.188568589113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2.2649572649572649</v>
      </c>
      <c r="N4" s="14">
        <f>IF('Données projet'!$A$36&gt;35,N3+M4-V3,IF(A4&lt;'Données projet'!$A$36,$K$205^A4,IF(A4='Données projet'!$A$36,'Données projet'!$B$36,N3+M4-V3)))</f>
        <v>1.2649598798623627</v>
      </c>
      <c r="O4" s="14">
        <f>N4*VLOOKUP('Données projet'!$B$9,Paramètres!$A$1:$I$89,3,0)*VLOOKUP('Données projet'!$B$9,Paramètres!$A$1:$I$89,5,0)</f>
        <v>1.2037358216770244</v>
      </c>
      <c r="P4" s="14">
        <f>EXP(-1.0587+0.8836*LN(O4)+0.284)</f>
        <v>0.54288697199953284</v>
      </c>
      <c r="Q4" s="22">
        <f t="shared" ref="Q4:Q34" si="2">(O4+P4)*0.475*44/12</f>
        <v>3.0420346989866704</v>
      </c>
      <c r="R4" s="60">
        <f t="shared" si="0"/>
        <v>260.93092358787555</v>
      </c>
      <c r="S4" s="60">
        <f ca="1">AVERAGE(OFFSET($R$3,0,0,'Données projet'!$E$9+1,1))-AVERAGE(OFFSET($H$3,0,0,'Données projet'!$E$9+1,1))</f>
        <v>353.61481736740694</v>
      </c>
      <c r="T4" s="60">
        <f>$T$3</f>
        <v>244.7141066773861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1.165946847124371</v>
      </c>
      <c r="AK4" s="14">
        <f>EXP(-1.0587+0.8836*LN(AJ4)+0.284)</f>
        <v>0.52780002987456354</v>
      </c>
      <c r="AL4" s="22">
        <f t="shared" ref="AL4:AL67" si="4">(AJ4+AK4)*0.475*44/12</f>
        <v>2.9499424774398109</v>
      </c>
      <c r="AM4" s="60">
        <f t="shared" ref="AM4:AM67" si="5">AL4+(AD4+AE4)*44/12</f>
        <v>260.83883136632869</v>
      </c>
      <c r="AN4" s="60">
        <f ca="1">AVERAGE(OFFSET($AM$3,0,0,'Données projet'!$E$10+1,1))-AVERAGE(OFFSET($H$3,0,0,'Données projet'!$E$10+1,1))</f>
        <v>455.50822833641354</v>
      </c>
      <c r="AO4" s="60">
        <f>$AO$3</f>
        <v>261.14722581688039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1.2599748186666591</v>
      </c>
      <c r="BF4" s="14">
        <f>EXP(-1.0587+0.8836*LN(BE4)+0.284)</f>
        <v>0.56523859641176133</v>
      </c>
      <c r="BG4" s="22">
        <f t="shared" ref="BG4:BG67" si="7">(BE4+BF4)*0.475*44/12</f>
        <v>3.1789133645949152</v>
      </c>
      <c r="BH4" s="60">
        <f t="shared" ref="BH4:BH67" si="8">BG4+(AY4+AZ4)*44/12</f>
        <v>261.06780225348376</v>
      </c>
      <c r="BI4" s="60">
        <f ca="1">AVERAGE(OFFSET($BH$3,0,0,'Données projet'!$E$11+1,1))-AVERAGE(OFFSET($H$3,0,0,'Données projet'!$E$11+1,1))</f>
        <v>488.7825919901664</v>
      </c>
      <c r="BJ4" s="60">
        <f>$BJ$3</f>
        <v>278.78817181412438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1.2223636300497438</v>
      </c>
      <c r="CA4" s="14">
        <f>EXP(-1.0587+0.8836*LN(BZ4)+0.284)</f>
        <v>0.55030360208821416</v>
      </c>
      <c r="CB4" s="22">
        <f t="shared" ref="CB4:CB67" si="10">(BZ4+CA4)*0.475*44/12</f>
        <v>3.0873954293069432</v>
      </c>
      <c r="CC4" s="60">
        <f t="shared" ref="CC4:CC67" si="11">CB4+(BT4+BU4)*44/12</f>
        <v>260.97628431819578</v>
      </c>
      <c r="CD4" s="60">
        <f ca="1">AVERAGE(OFFSET($CC$3,0,0,'Données projet'!$E$12+1,1))-AVERAGE(OFFSET($H$3,0,0,'Données projet'!$E$12+1,1))</f>
        <v>475.47920969424894</v>
      </c>
      <c r="CE4" s="60">
        <f>$CE$3</f>
        <v>271.73544012419364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1.0907244698905405</v>
      </c>
      <c r="CV4" s="14">
        <f>EXP(-1.0587+0.8836*LN(CU4)+0.284)</f>
        <v>0.49759623852608204</v>
      </c>
      <c r="CW4" s="22">
        <f t="shared" ref="CW4:CW67" si="13">(CU4+CV4)*0.475*44/12</f>
        <v>2.7663252338256172</v>
      </c>
      <c r="CX4" s="60">
        <f t="shared" ref="CX4:CX67" si="14">CW4+(CO4+CP4)*44/12</f>
        <v>260.65521412271448</v>
      </c>
      <c r="CY4" s="60">
        <f ca="1">AVERAGE(OFFSET($CX$3,0,0,'Données projet'!$E$13+1,1))-AVERAGE(OFFSET($H$3,0,0,'Données projet'!$E$13+1,1))</f>
        <v>428.8489304403459</v>
      </c>
      <c r="CZ4" s="60">
        <f>$CZ$3</f>
        <v>247.01165577562966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1.2975860072835741</v>
      </c>
      <c r="DQ4" s="14">
        <f>EXP(-1.0587+0.8836*LN(DP4)+0.284)</f>
        <v>0.58012177912374829</v>
      </c>
      <c r="DR4" s="22">
        <f t="shared" ref="DR4:DR67" si="16">(DP4+DQ4)*0.475*44/12</f>
        <v>3.2703410613260862</v>
      </c>
      <c r="DS4" s="60">
        <f t="shared" ref="DS4:DS67" si="17">DR4+(DJ4+DK4)*44/12</f>
        <v>261.15922995021492</v>
      </c>
      <c r="DT4" s="60">
        <f ca="1">AVERAGE(OFFSET($DS$3,0,0,'Données projet'!$E$14+1,1))-AVERAGE(OFFSET($H$3,0,0,'Données projet'!$E$14+1,1))</f>
        <v>502.07782026233912</v>
      </c>
      <c r="DU4" s="60">
        <f>$DU$3</f>
        <v>285.83623046025156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5.5909090909090908</v>
      </c>
      <c r="EJ4" s="13">
        <f>IF('Données projet'!$A$192&gt;35,EJ3+EI4-ER3,IF(A4&lt;'Données projet'!$A$192,$EG$205^A4,IF(A4='Données projet'!$A$192,'Données projet'!$B$192,EJ3+EI4-ER3)))</f>
        <v>1.244502252163008</v>
      </c>
      <c r="EK4" s="18">
        <f>EJ4*VLOOKUP('Données projet'!$B$15,Paramètres!$A$1:$I$89,3,0)*VLOOKUP('Données projet'!$B$15,Paramètres!$A$1:$I$89,5,0)</f>
        <v>0.74421234679347892</v>
      </c>
      <c r="EL4" s="14">
        <f>EXP(-1.0587+0.8836*LN(EK4)+0.284)</f>
        <v>0.3549632728022305</v>
      </c>
      <c r="EM4" s="22">
        <f t="shared" ref="EM4:EM67" si="19">(EK4+EL4)*0.475*44/12</f>
        <v>1.9143975374625271</v>
      </c>
      <c r="EN4" s="60">
        <f t="shared" ref="EN4:EN67" si="20">EM4+(EE4+EF4)*44/12</f>
        <v>259.80328642635141</v>
      </c>
      <c r="EO4" s="60">
        <f ca="1">AVERAGE(OFFSET($EN$3,0,0,'Données projet'!$E$15+1,1))-AVERAGE(OFFSET($H$3,0,0,'Données projet'!$E$15+1,1))</f>
        <v>392.62423122800357</v>
      </c>
      <c r="EP4" s="60">
        <f>$EP$3</f>
        <v>314.09619163968642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3.2392083333333335</v>
      </c>
      <c r="FE4" s="13">
        <f>IF('Données projet'!$A$218&gt;35,FE3+FD4-FM3,IF(A4&lt;'Données projet'!$A$218,$FB$205^A4,IF(A4='Données projet'!$A$218,'Données projet'!$B$218,FE3+FD4-FM3)))</f>
        <v>1.3566516392624868</v>
      </c>
      <c r="FF4" s="18">
        <f>FE4*VLOOKUP('Données projet'!$B$16,Paramètres!$A$1:$I$89,3,0)*VLOOKUP('Données projet'!$B$16,Paramètres!$A$1:$I$89,5,0)</f>
        <v>0.81127768027896718</v>
      </c>
      <c r="FG4" s="14">
        <f>EXP(-1.0587+0.8836*LN(FF4)+0.284)</f>
        <v>0.38308421720764524</v>
      </c>
      <c r="FH4" s="22">
        <f t="shared" ref="FH4:FH67" si="22">(FF4+FG4)*0.475*44/12</f>
        <v>2.0801803047891831</v>
      </c>
      <c r="FI4" s="60">
        <f t="shared" ref="FI4:FI67" si="23">FH4+(EZ4+FA4)*44/12</f>
        <v>259.96906919367802</v>
      </c>
      <c r="FJ4" s="60">
        <f ca="1">AVERAGE(OFFSET($FI$3,0,0,'Données projet'!$E$16+1,1))-AVERAGE(OFFSET($H$3,0,0,'Données projet'!$E$16+1,1))</f>
        <v>207.03241199974599</v>
      </c>
      <c r="FK4" s="60">
        <f>$FK$3</f>
        <v>314.188568589113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2.2649572649572649</v>
      </c>
      <c r="N5" s="14">
        <f>IF('Données projet'!$A$36&gt;35,N4+M5-V4,IF(A5&lt;'Données projet'!$A$36,$K$205^A5,IF(A5='Données projet'!$A$36,'Données projet'!$B$36,N4+M5-V4)))</f>
        <v>1.6001234976614032</v>
      </c>
      <c r="O5" s="14">
        <f>N5*VLOOKUP('Données projet'!$B$9,Paramètres!$A$1:$I$89,3,0)*VLOOKUP('Données projet'!$B$9,Paramètres!$A$1:$I$89,5,0)</f>
        <v>1.5226775203745913</v>
      </c>
      <c r="P5" s="14">
        <f t="shared" ref="P5:P68" si="33">EXP(-1.0587+0.8836*LN(O5)+0.284)</f>
        <v>0.66819687050841592</v>
      </c>
      <c r="Q5" s="22">
        <f t="shared" si="2"/>
        <v>3.8157728974545706</v>
      </c>
      <c r="R5" s="60">
        <f t="shared" si="0"/>
        <v>262.92688400856571</v>
      </c>
      <c r="S5" s="60">
        <f ca="1">AVERAGE(OFFSET($R$3,0,0,'Données projet'!$E$9+1,1))-AVERAGE(OFFSET($H$3,0,0,'Données projet'!$E$9+1,1))</f>
        <v>353.61481736740694</v>
      </c>
      <c r="T5" s="60">
        <f t="shared" ref="T5:T68" si="34">$T$3</f>
        <v>244.7141066773861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1.4055335507850097</v>
      </c>
      <c r="AK5" s="14">
        <f t="shared" ref="AK5:AK68" si="35">EXP(-1.0587+0.8836*LN(AJ5)+0.284)</f>
        <v>0.62256480317525631</v>
      </c>
      <c r="AL5" s="22">
        <f t="shared" si="4"/>
        <v>3.5322712998141292</v>
      </c>
      <c r="AM5" s="60">
        <f t="shared" si="5"/>
        <v>262.64338241092526</v>
      </c>
      <c r="AN5" s="60">
        <f ca="1">AVERAGE(OFFSET($AM$3,0,0,'Données projet'!$E$10+1,1))-AVERAGE(OFFSET($H$3,0,0,'Données projet'!$E$10+1,1))</f>
        <v>455.50822833641354</v>
      </c>
      <c r="AO5" s="60">
        <f t="shared" ref="AO5:AO68" si="36">$AO$3</f>
        <v>261.14722581688039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1.5188830306870267</v>
      </c>
      <c r="BF5" s="14">
        <f t="shared" ref="BF5:BF68" si="37">EXP(-1.0587+0.8836*LN(BE5)+0.284)</f>
        <v>0.66672534218267832</v>
      </c>
      <c r="BG5" s="22">
        <f t="shared" si="7"/>
        <v>3.8066012494147365</v>
      </c>
      <c r="BH5" s="60">
        <f t="shared" si="8"/>
        <v>262.91771236052585</v>
      </c>
      <c r="BI5" s="60">
        <f ca="1">AVERAGE(OFFSET($BH$3,0,0,'Données projet'!$E$11+1,1))-AVERAGE(OFFSET($H$3,0,0,'Données projet'!$E$11+1,1))</f>
        <v>488.7825919901664</v>
      </c>
      <c r="BJ5" s="60">
        <f t="shared" ref="BJ5:BJ68" si="38">$BJ$3</f>
        <v>278.78817181412438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1.47354323872622</v>
      </c>
      <c r="CA5" s="14">
        <f t="shared" ref="CA5:CA68" si="39">EXP(-1.0587+0.8836*LN(BZ5)+0.284)</f>
        <v>0.64910881835703094</v>
      </c>
      <c r="CB5" s="22">
        <f t="shared" si="10"/>
        <v>3.6969523327533285</v>
      </c>
      <c r="CC5" s="60">
        <f t="shared" si="11"/>
        <v>262.80806344386446</v>
      </c>
      <c r="CD5" s="60">
        <f ca="1">AVERAGE(OFFSET($CC$3,0,0,'Données projet'!$E$12+1,1))-AVERAGE(OFFSET($H$3,0,0,'Données projet'!$E$12+1,1))</f>
        <v>475.47920969424894</v>
      </c>
      <c r="CE5" s="60">
        <f t="shared" ref="CE5:CE68" si="40">$CE$3</f>
        <v>271.73544012419364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1.3148539668633961</v>
      </c>
      <c r="CV5" s="14">
        <f t="shared" ref="CV5:CV68" si="41">EXP(-1.0587+0.8836*LN(CU5)+0.284)</f>
        <v>0.58693801963664449</v>
      </c>
      <c r="CW5" s="22">
        <f t="shared" si="13"/>
        <v>3.3122877098209038</v>
      </c>
      <c r="CX5" s="60">
        <f t="shared" si="14"/>
        <v>262.42339882093205</v>
      </c>
      <c r="CY5" s="60">
        <f ca="1">AVERAGE(OFFSET($CX$3,0,0,'Données projet'!$E$13+1,1))-AVERAGE(OFFSET($H$3,0,0,'Données projet'!$E$13+1,1))</f>
        <v>428.8489304403459</v>
      </c>
      <c r="CZ5" s="60">
        <f t="shared" ref="CZ5:CZ68" si="42">$CZ$3</f>
        <v>247.01165577562966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1.5642228226478332</v>
      </c>
      <c r="DQ5" s="14">
        <f t="shared" ref="DQ5:DQ68" si="43">EXP(-1.0587+0.8836*LN(DP5)+0.284)</f>
        <v>0.68428075179095682</v>
      </c>
      <c r="DR5" s="22">
        <f t="shared" si="16"/>
        <v>3.9161437254808931</v>
      </c>
      <c r="DS5" s="60">
        <f t="shared" si="17"/>
        <v>263.02725483659202</v>
      </c>
      <c r="DT5" s="60">
        <f ca="1">AVERAGE(OFFSET($DS$3,0,0,'Données projet'!$E$14+1,1))-AVERAGE(OFFSET($H$3,0,0,'Données projet'!$E$14+1,1))</f>
        <v>502.07782026233912</v>
      </c>
      <c r="DU5" s="60">
        <f t="shared" ref="DU5:DU68" si="44">$DU$3</f>
        <v>285.83623046025156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5.5909090909090908</v>
      </c>
      <c r="EJ5" s="13">
        <f>IF('Données projet'!$A$192&gt;35,EJ4+EI5-ER4,IF(A5&lt;'Données projet'!$A$192,$EG$205^A5,IF(A5='Données projet'!$A$192,'Données projet'!$B$192,EJ4+EI5-ER4)))</f>
        <v>1.5487858556387992</v>
      </c>
      <c r="EK5" s="18">
        <f>EJ5*VLOOKUP('Données projet'!$B$15,Paramètres!$A$1:$I$89,3,0)*VLOOKUP('Données projet'!$B$15,Paramètres!$A$1:$I$89,5,0)</f>
        <v>0.92617394167200195</v>
      </c>
      <c r="EL5" s="14">
        <f t="shared" ref="EL5:EL68" si="45">EXP(-1.0587+0.8836*LN(EK5)+0.284)</f>
        <v>0.43064718121421069</v>
      </c>
      <c r="EM5" s="22">
        <f t="shared" si="19"/>
        <v>2.3631301223601535</v>
      </c>
      <c r="EN5" s="60">
        <f t="shared" si="20"/>
        <v>261.47424123347128</v>
      </c>
      <c r="EO5" s="60">
        <f ca="1">AVERAGE(OFFSET($EN$3,0,0,'Données projet'!$E$15+1,1))-AVERAGE(OFFSET($H$3,0,0,'Données projet'!$E$15+1,1))</f>
        <v>392.62423122800357</v>
      </c>
      <c r="EP5" s="60">
        <f t="shared" ref="EP5:EP68" si="46">$EP$3</f>
        <v>314.09619163968642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3.2392083333333335</v>
      </c>
      <c r="FE5" s="13">
        <f>IF('Données projet'!$A$218&gt;35,FE4+FD5-FM4,IF(A5&lt;'Données projet'!$A$218,$FB$205^A5,IF(A5='Données projet'!$A$218,'Données projet'!$B$218,FE4+FD5-FM4)))</f>
        <v>1.8405036703135926</v>
      </c>
      <c r="FF5" s="18">
        <f>FE5*VLOOKUP('Données projet'!$B$16,Paramètres!$A$1:$I$89,3,0)*VLOOKUP('Données projet'!$B$16,Paramètres!$A$1:$I$89,5,0)</f>
        <v>1.1006211948475284</v>
      </c>
      <c r="FG5" s="14">
        <f t="shared" ref="FG5:FG68" si="47">EXP(-1.0587+0.8836*LN(FF5)+0.284)</f>
        <v>0.5015835540976048</v>
      </c>
      <c r="FH5" s="22">
        <f t="shared" si="22"/>
        <v>2.7905066044127733</v>
      </c>
      <c r="FI5" s="60">
        <f t="shared" si="23"/>
        <v>261.90161771552391</v>
      </c>
      <c r="FJ5" s="60">
        <f ca="1">AVERAGE(OFFSET($FI$3,0,0,'Données projet'!$E$16+1,1))-AVERAGE(OFFSET($H$3,0,0,'Données projet'!$E$16+1,1))</f>
        <v>207.03241199974599</v>
      </c>
      <c r="FK5" s="60">
        <f t="shared" ref="FK5:FK68" si="48">$FK$3</f>
        <v>314.188568589113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2.2649572649572649</v>
      </c>
      <c r="N6" s="14">
        <f>IF('Données projet'!$A$36&gt;35,N5+M6-V5,IF(A6&lt;'Données projet'!$A$36,$K$205^A6,IF(A6='Données projet'!$A$36,'Données projet'!$B$36,N5+M6-V5)))</f>
        <v>2.024092027366712</v>
      </c>
      <c r="O6" s="14">
        <f>N6*VLOOKUP('Données projet'!$B$9,Paramètres!$A$1:$I$89,3,0)*VLOOKUP('Données projet'!$B$9,Paramètres!$A$1:$I$89,5,0)</f>
        <v>1.9261259732421634</v>
      </c>
      <c r="P6" s="14">
        <f t="shared" si="33"/>
        <v>0.8224309677441014</v>
      </c>
      <c r="Q6" s="22">
        <f t="shared" si="2"/>
        <v>4.7870700055510769</v>
      </c>
      <c r="R6" s="60">
        <f t="shared" si="0"/>
        <v>265.12040333888439</v>
      </c>
      <c r="S6" s="60">
        <f ca="1">AVERAGE(OFFSET($R$3,0,0,'Données projet'!$E$9+1,1))-AVERAGE(OFFSET($H$3,0,0,'Données projet'!$E$9+1,1))</f>
        <v>353.61481736740694</v>
      </c>
      <c r="T6" s="60">
        <f t="shared" si="34"/>
        <v>244.7141066773861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1.694352163012101</v>
      </c>
      <c r="AK6" s="14">
        <f t="shared" si="35"/>
        <v>0.73434428233124405</v>
      </c>
      <c r="AL6" s="22">
        <f t="shared" si="4"/>
        <v>4.2299796423063247</v>
      </c>
      <c r="AM6" s="60">
        <f t="shared" si="5"/>
        <v>264.56331297563963</v>
      </c>
      <c r="AN6" s="60">
        <f ca="1">AVERAGE(OFFSET($AM$3,0,0,'Données projet'!$E$10+1,1))-AVERAGE(OFFSET($H$3,0,0,'Données projet'!$E$10+1,1))</f>
        <v>455.50822833641354</v>
      </c>
      <c r="AO6" s="60">
        <f t="shared" si="36"/>
        <v>261.14722581688039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1.830993466480819</v>
      </c>
      <c r="BF6" s="14">
        <f t="shared" si="37"/>
        <v>0.78643370203401075</v>
      </c>
      <c r="BG6" s="22">
        <f t="shared" si="7"/>
        <v>4.5586856518299959</v>
      </c>
      <c r="BH6" s="60">
        <f t="shared" si="8"/>
        <v>264.8920189851633</v>
      </c>
      <c r="BI6" s="60">
        <f ca="1">AVERAGE(OFFSET($BH$3,0,0,'Données projet'!$E$11+1,1))-AVERAGE(OFFSET($H$3,0,0,'Données projet'!$E$11+1,1))</f>
        <v>488.7825919901664</v>
      </c>
      <c r="BJ6" s="60">
        <f t="shared" si="38"/>
        <v>278.78817181412438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1.7763369450933317</v>
      </c>
      <c r="CA6" s="14">
        <f t="shared" si="39"/>
        <v>0.76565418883323866</v>
      </c>
      <c r="CB6" s="22">
        <f t="shared" si="10"/>
        <v>4.4273012249221102</v>
      </c>
      <c r="CC6" s="60">
        <f t="shared" si="11"/>
        <v>264.76063455825545</v>
      </c>
      <c r="CD6" s="60">
        <f ca="1">AVERAGE(OFFSET($CC$3,0,0,'Données projet'!$E$12+1,1))-AVERAGE(OFFSET($H$3,0,0,'Données projet'!$E$12+1,1))</f>
        <v>475.47920969424894</v>
      </c>
      <c r="CE6" s="60">
        <f t="shared" si="40"/>
        <v>271.73544012419364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1.5850391202371266</v>
      </c>
      <c r="CV6" s="14">
        <f t="shared" si="41"/>
        <v>0.69232082604846479</v>
      </c>
      <c r="CW6" s="22">
        <f t="shared" si="13"/>
        <v>3.966401906447405</v>
      </c>
      <c r="CX6" s="60">
        <f t="shared" si="14"/>
        <v>264.29973523978072</v>
      </c>
      <c r="CY6" s="60">
        <f ca="1">AVERAGE(OFFSET($CX$3,0,0,'Données projet'!$E$13+1,1))-AVERAGE(OFFSET($H$3,0,0,'Données projet'!$E$13+1,1))</f>
        <v>428.8489304403459</v>
      </c>
      <c r="CZ6" s="60">
        <f t="shared" si="42"/>
        <v>247.01165577562966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1.885649987868306</v>
      </c>
      <c r="DQ6" s="14">
        <f t="shared" si="43"/>
        <v>0.8071411281590839</v>
      </c>
      <c r="DR6" s="22">
        <f t="shared" si="16"/>
        <v>4.6899445270810372</v>
      </c>
      <c r="DS6" s="60">
        <f t="shared" si="17"/>
        <v>265.02327786041434</v>
      </c>
      <c r="DT6" s="60">
        <f ca="1">AVERAGE(OFFSET($DS$3,0,0,'Données projet'!$E$14+1,1))-AVERAGE(OFFSET($H$3,0,0,'Données projet'!$E$14+1,1))</f>
        <v>502.07782026233912</v>
      </c>
      <c r="DU6" s="60">
        <f t="shared" si="44"/>
        <v>285.83623046025156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5.5909090909090908</v>
      </c>
      <c r="EJ6" s="13">
        <f>IF('Données projet'!$A$192&gt;35,EJ5+EI6-ER5,IF(A6&lt;'Données projet'!$A$192,$EG$205^A6,IF(A6='Données projet'!$A$192,'Données projet'!$B$192,EJ5+EI6-ER5)))</f>
        <v>1.927467485460697</v>
      </c>
      <c r="EK6" s="18">
        <f>EJ6*VLOOKUP('Données projet'!$B$15,Paramètres!$A$1:$I$89,3,0)*VLOOKUP('Données projet'!$B$15,Paramètres!$A$1:$I$89,5,0)</f>
        <v>1.152625556305497</v>
      </c>
      <c r="EL6" s="14">
        <f t="shared" si="45"/>
        <v>0.52246812247269758</v>
      </c>
      <c r="EM6" s="22">
        <f t="shared" si="19"/>
        <v>2.9174548238720219</v>
      </c>
      <c r="EN6" s="60">
        <f t="shared" si="20"/>
        <v>263.25078815720536</v>
      </c>
      <c r="EO6" s="60">
        <f ca="1">AVERAGE(OFFSET($EN$3,0,0,'Données projet'!$E$15+1,1))-AVERAGE(OFFSET($H$3,0,0,'Données projet'!$E$15+1,1))</f>
        <v>392.62423122800357</v>
      </c>
      <c r="EP6" s="60">
        <f t="shared" si="46"/>
        <v>314.09619163968642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3.2392083333333335</v>
      </c>
      <c r="FE6" s="13">
        <f>IF('Données projet'!$A$218&gt;35,FE5+FD6-FM5,IF(A6&lt;'Données projet'!$A$218,$FB$205^A6,IF(A6='Données projet'!$A$218,'Données projet'!$B$218,FE5+FD6-FM5)))</f>
        <v>2.4969223213995591</v>
      </c>
      <c r="FF6" s="18">
        <f>FE6*VLOOKUP('Données projet'!$B$16,Paramètres!$A$1:$I$89,3,0)*VLOOKUP('Données projet'!$B$16,Paramètres!$A$1:$I$89,5,0)</f>
        <v>1.4931595481969364</v>
      </c>
      <c r="FG6" s="14">
        <f t="shared" si="47"/>
        <v>0.6567382586916034</v>
      </c>
      <c r="FH6" s="22">
        <f t="shared" si="22"/>
        <v>3.74440534699754</v>
      </c>
      <c r="FI6" s="60">
        <f t="shared" si="23"/>
        <v>264.07773868033087</v>
      </c>
      <c r="FJ6" s="60">
        <f ca="1">AVERAGE(OFFSET($FI$3,0,0,'Données projet'!$E$16+1,1))-AVERAGE(OFFSET($H$3,0,0,'Données projet'!$E$16+1,1))</f>
        <v>207.03241199974599</v>
      </c>
      <c r="FK6" s="60">
        <f t="shared" si="48"/>
        <v>314.188568589113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2.2649572649572649</v>
      </c>
      <c r="N7" s="14">
        <f>IF('Données projet'!$A$36&gt;35,N6+M7-V6,IF(A7&lt;'Données projet'!$A$36,$K$205^A7,IF(A7='Données projet'!$A$36,'Données projet'!$B$36,N6+M7-V6)))</f>
        <v>2.5603952077681624</v>
      </c>
      <c r="O7" s="14">
        <f>N7*VLOOKUP('Données projet'!$B$9,Paramètres!$A$1:$I$89,3,0)*VLOOKUP('Données projet'!$B$9,Paramètres!$A$1:$I$89,5,0)</f>
        <v>2.4364720797121833</v>
      </c>
      <c r="P7" s="14">
        <f t="shared" si="33"/>
        <v>1.0122655860238423</v>
      </c>
      <c r="Q7" s="22">
        <f t="shared" si="2"/>
        <v>6.0065514344902446</v>
      </c>
      <c r="R7" s="60">
        <f t="shared" si="0"/>
        <v>267.56210699004578</v>
      </c>
      <c r="S7" s="60">
        <f ca="1">AVERAGE(OFFSET($R$3,0,0,'Données projet'!$E$9+1,1))-AVERAGE(OFFSET($H$3,0,0,'Données projet'!$E$9+1,1))</f>
        <v>353.61481736740694</v>
      </c>
      <c r="T7" s="60">
        <f t="shared" si="34"/>
        <v>244.7141066773861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2.042519191875845</v>
      </c>
      <c r="AK7" s="14">
        <f t="shared" si="35"/>
        <v>0.86619340226463792</v>
      </c>
      <c r="AL7" s="22">
        <f t="shared" si="4"/>
        <v>5.0660077681280073</v>
      </c>
      <c r="AM7" s="60">
        <f t="shared" si="5"/>
        <v>266.62156332368357</v>
      </c>
      <c r="AN7" s="60">
        <f ca="1">AVERAGE(OFFSET($AM$3,0,0,'Données projet'!$E$10+1,1))-AVERAGE(OFFSET($H$3,0,0,'Données projet'!$E$10+1,1))</f>
        <v>455.50822833641354</v>
      </c>
      <c r="AO7" s="60">
        <f t="shared" si="36"/>
        <v>261.14722581688039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2.2072384815432522</v>
      </c>
      <c r="BF7" s="14">
        <f t="shared" si="37"/>
        <v>0.92763530732188715</v>
      </c>
      <c r="BG7" s="22">
        <f t="shared" si="7"/>
        <v>5.4599051822734497</v>
      </c>
      <c r="BH7" s="60">
        <f t="shared" si="8"/>
        <v>267.01546073782902</v>
      </c>
      <c r="BI7" s="60">
        <f ca="1">AVERAGE(OFFSET($BH$3,0,0,'Données projet'!$E$11+1,1))-AVERAGE(OFFSET($H$3,0,0,'Données projet'!$E$11+1,1))</f>
        <v>488.7825919901664</v>
      </c>
      <c r="BJ7" s="60">
        <f t="shared" si="38"/>
        <v>278.78817181412438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2.1413507656762891</v>
      </c>
      <c r="CA7" s="14">
        <f t="shared" si="39"/>
        <v>0.9031249003236328</v>
      </c>
      <c r="CB7" s="22">
        <f t="shared" si="10"/>
        <v>5.3024617849498643</v>
      </c>
      <c r="CC7" s="60">
        <f t="shared" si="11"/>
        <v>266.8580173405054</v>
      </c>
      <c r="CD7" s="60">
        <f ca="1">AVERAGE(OFFSET($CC$3,0,0,'Données projet'!$E$12+1,1))-AVERAGE(OFFSET($H$3,0,0,'Données projet'!$E$12+1,1))</f>
        <v>475.47920969424894</v>
      </c>
      <c r="CE7" s="60">
        <f t="shared" si="40"/>
        <v>271.73544012419364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1.9107437601419195</v>
      </c>
      <c r="CV7" s="14">
        <f t="shared" si="41"/>
        <v>0.81662477151702284</v>
      </c>
      <c r="CW7" s="22">
        <f t="shared" si="13"/>
        <v>4.7501668593059909</v>
      </c>
      <c r="CX7" s="60">
        <f t="shared" si="14"/>
        <v>266.30572241486152</v>
      </c>
      <c r="CY7" s="60">
        <f ca="1">AVERAGE(OFFSET($CX$3,0,0,'Données projet'!$E$13+1,1))-AVERAGE(OFFSET($H$3,0,0,'Données projet'!$E$13+1,1))</f>
        <v>428.8489304403459</v>
      </c>
      <c r="CZ7" s="60">
        <f t="shared" si="42"/>
        <v>247.01165577562966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2.2731261974102144</v>
      </c>
      <c r="DQ7" s="14">
        <f t="shared" si="43"/>
        <v>0.95206068424520052</v>
      </c>
      <c r="DR7" s="22">
        <f t="shared" si="16"/>
        <v>5.617200485549847</v>
      </c>
      <c r="DS7" s="60">
        <f t="shared" si="17"/>
        <v>267.1727560411054</v>
      </c>
      <c r="DT7" s="60">
        <f ca="1">AVERAGE(OFFSET($DS$3,0,0,'Données projet'!$E$14+1,1))-AVERAGE(OFFSET($H$3,0,0,'Données projet'!$E$14+1,1))</f>
        <v>502.07782026233912</v>
      </c>
      <c r="DU7" s="60">
        <f t="shared" si="44"/>
        <v>285.83623046025156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5.5909090909090908</v>
      </c>
      <c r="EJ7" s="13">
        <f>IF('Données projet'!$A$192&gt;35,EJ6+EI7-ER6,IF(A7&lt;'Données projet'!$A$192,$EG$205^A7,IF(A7='Données projet'!$A$192,'Données projet'!$B$192,EJ6+EI7-ER6)))</f>
        <v>2.3987376266268075</v>
      </c>
      <c r="EK7" s="18">
        <f>EJ7*VLOOKUP('Données projet'!$B$15,Paramètres!$A$1:$I$89,3,0)*VLOOKUP('Données projet'!$B$15,Paramètres!$A$1:$I$89,5,0)</f>
        <v>1.4344451007228309</v>
      </c>
      <c r="EL7" s="14">
        <f t="shared" si="45"/>
        <v>0.63386677286612625</v>
      </c>
      <c r="EM7" s="22">
        <f t="shared" si="19"/>
        <v>3.6023098465007668</v>
      </c>
      <c r="EN7" s="60">
        <f t="shared" si="20"/>
        <v>265.1578654020563</v>
      </c>
      <c r="EO7" s="60">
        <f ca="1">AVERAGE(OFFSET($EN$3,0,0,'Données projet'!$E$15+1,1))-AVERAGE(OFFSET($H$3,0,0,'Données projet'!$E$15+1,1))</f>
        <v>392.62423122800357</v>
      </c>
      <c r="EP7" s="60">
        <f t="shared" si="46"/>
        <v>314.09619163968642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3.2392083333333335</v>
      </c>
      <c r="FE7" s="13">
        <f>IF('Données projet'!$A$218&gt;35,FE6+FD7-FM6,IF(A7&lt;'Données projet'!$A$218,$FB$205^A7,IF(A7='Données projet'!$A$218,'Données projet'!$B$218,FE6+FD7-FM6)))</f>
        <v>3.3874537604378059</v>
      </c>
      <c r="FF7" s="18">
        <f>FE7*VLOOKUP('Données projet'!$B$16,Paramètres!$A$1:$I$89,3,0)*VLOOKUP('Données projet'!$B$16,Paramètres!$A$1:$I$89,5,0)</f>
        <v>2.025697348741808</v>
      </c>
      <c r="FG7" s="14">
        <f t="shared" si="47"/>
        <v>0.85988692592849703</v>
      </c>
      <c r="FH7" s="22">
        <f t="shared" si="22"/>
        <v>5.0257259450507812</v>
      </c>
      <c r="FI7" s="60">
        <f t="shared" si="23"/>
        <v>266.58128150060634</v>
      </c>
      <c r="FJ7" s="60">
        <f ca="1">AVERAGE(OFFSET($FI$3,0,0,'Données projet'!$E$16+1,1))-AVERAGE(OFFSET($H$3,0,0,'Données projet'!$E$16+1,1))</f>
        <v>207.03241199974599</v>
      </c>
      <c r="FK7" s="60">
        <f t="shared" si="48"/>
        <v>314.188568589113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2.2649572649572649</v>
      </c>
      <c r="N8" s="14">
        <f>IF('Données projet'!$A$36&gt;35,N7+M8-V7,IF(A8&lt;'Données projet'!$A$36,$K$205^A8,IF(A8='Données projet'!$A$36,'Données projet'!$B$36,N7+M8-V7)))</f>
        <v>3.2387972144185837</v>
      </c>
      <c r="O8" s="14">
        <f>N8*VLOOKUP('Données projet'!$B$9,Paramètres!$A$1:$I$89,3,0)*VLOOKUP('Données projet'!$B$9,Paramètres!$A$1:$I$89,5,0)</f>
        <v>3.0820394292407243</v>
      </c>
      <c r="P8" s="14">
        <f t="shared" si="33"/>
        <v>1.2459180853304419</v>
      </c>
      <c r="Q8" s="22">
        <f t="shared" si="2"/>
        <v>7.5378593378781131</v>
      </c>
      <c r="R8" s="60">
        <f t="shared" si="0"/>
        <v>270.31563711565587</v>
      </c>
      <c r="S8" s="60">
        <f ca="1">AVERAGE(OFFSET($R$3,0,0,'Données projet'!$E$9+1,1))-AVERAGE(OFFSET($H$3,0,0,'Données projet'!$E$9+1,1))</f>
        <v>353.61481736740694</v>
      </c>
      <c r="T8" s="60">
        <f t="shared" si="34"/>
        <v>244.7141066773861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2.4622299544651152</v>
      </c>
      <c r="AK8" s="14">
        <f t="shared" si="35"/>
        <v>1.021715601495419</v>
      </c>
      <c r="AL8" s="22">
        <f t="shared" si="4"/>
        <v>6.0678718432979295</v>
      </c>
      <c r="AM8" s="60">
        <f t="shared" si="5"/>
        <v>268.84564962107572</v>
      </c>
      <c r="AN8" s="60">
        <f ca="1">AVERAGE(OFFSET($AM$3,0,0,'Données projet'!$E$10+1,1))-AVERAGE(OFFSET($H$3,0,0,'Données projet'!$E$10+1,1))</f>
        <v>455.50822833641354</v>
      </c>
      <c r="AO8" s="60">
        <f t="shared" si="36"/>
        <v>261.14722581688039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2.6607968862768185</v>
      </c>
      <c r="BF8" s="14">
        <f t="shared" si="37"/>
        <v>1.0941892001380149</v>
      </c>
      <c r="BG8" s="22">
        <f t="shared" si="7"/>
        <v>6.5399341005058345</v>
      </c>
      <c r="BH8" s="60">
        <f t="shared" si="8"/>
        <v>269.3177118782836</v>
      </c>
      <c r="BI8" s="60">
        <f ca="1">AVERAGE(OFFSET($BH$3,0,0,'Données projet'!$E$11+1,1))-AVERAGE(OFFSET($H$3,0,0,'Données projet'!$E$11+1,1))</f>
        <v>488.7825919901664</v>
      </c>
      <c r="BJ8" s="60">
        <f t="shared" si="38"/>
        <v>278.78817181412438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2.5813701135521372</v>
      </c>
      <c r="CA8" s="14">
        <f t="shared" si="39"/>
        <v>1.0652780295337991</v>
      </c>
      <c r="CB8" s="22">
        <f t="shared" si="10"/>
        <v>6.3512455158746723</v>
      </c>
      <c r="CC8" s="60">
        <f t="shared" si="11"/>
        <v>269.12902329365244</v>
      </c>
      <c r="CD8" s="60">
        <f ca="1">AVERAGE(OFFSET($CC$3,0,0,'Données projet'!$E$12+1,1))-AVERAGE(OFFSET($H$3,0,0,'Données projet'!$E$12+1,1))</f>
        <v>475.47920969424894</v>
      </c>
      <c r="CE8" s="60">
        <f t="shared" si="40"/>
        <v>271.73544012419364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2.3033764090157529</v>
      </c>
      <c r="CV8" s="14">
        <f t="shared" si="41"/>
        <v>0.96324708482559218</v>
      </c>
      <c r="CW8" s="22">
        <f t="shared" si="13"/>
        <v>5.6893692517736758</v>
      </c>
      <c r="CX8" s="60">
        <f t="shared" si="14"/>
        <v>268.46714702955143</v>
      </c>
      <c r="CY8" s="60">
        <f ca="1">AVERAGE(OFFSET($CX$3,0,0,'Données projet'!$E$13+1,1))-AVERAGE(OFFSET($H$3,0,0,'Données projet'!$E$13+1,1))</f>
        <v>428.8489304403459</v>
      </c>
      <c r="CZ8" s="60">
        <f t="shared" si="42"/>
        <v>247.01165577562966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2.740223659001499</v>
      </c>
      <c r="DQ8" s="14">
        <f t="shared" si="43"/>
        <v>1.1230000737947632</v>
      </c>
      <c r="DR8" s="22">
        <f t="shared" si="16"/>
        <v>6.7284480012868242</v>
      </c>
      <c r="DS8" s="60">
        <f t="shared" si="17"/>
        <v>269.50622577906461</v>
      </c>
      <c r="DT8" s="60">
        <f ca="1">AVERAGE(OFFSET($DS$3,0,0,'Données projet'!$E$14+1,1))-AVERAGE(OFFSET($H$3,0,0,'Données projet'!$E$14+1,1))</f>
        <v>502.07782026233912</v>
      </c>
      <c r="DU8" s="60">
        <f t="shared" si="44"/>
        <v>285.83623046025156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5.5909090909090908</v>
      </c>
      <c r="EJ8" s="13">
        <f>IF('Données projet'!$A$192&gt;35,EJ7+EI8-ER7,IF(A8&lt;'Données projet'!$A$192,$EG$205^A8,IF(A8='Données projet'!$A$192,'Données projet'!$B$192,EJ7+EI8-ER7)))</f>
        <v>2.9852343786852105</v>
      </c>
      <c r="EK8" s="18">
        <f>EJ8*VLOOKUP('Données projet'!$B$15,Paramètres!$A$1:$I$89,3,0)*VLOOKUP('Données projet'!$B$15,Paramètres!$A$1:$I$89,5,0)</f>
        <v>1.785170158453756</v>
      </c>
      <c r="EL8" s="14">
        <f t="shared" si="45"/>
        <v>0.7690174164926461</v>
      </c>
      <c r="EM8" s="22">
        <f t="shared" si="19"/>
        <v>4.4485433596983173</v>
      </c>
      <c r="EN8" s="60">
        <f t="shared" si="20"/>
        <v>267.22632113747608</v>
      </c>
      <c r="EO8" s="60">
        <f ca="1">AVERAGE(OFFSET($EN$3,0,0,'Données projet'!$E$15+1,1))-AVERAGE(OFFSET($H$3,0,0,'Données projet'!$E$15+1,1))</f>
        <v>392.62423122800357</v>
      </c>
      <c r="EP8" s="60">
        <f t="shared" si="46"/>
        <v>314.09619163968642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3.2392083333333335</v>
      </c>
      <c r="FE8" s="13">
        <f>IF('Données projet'!$A$218&gt;35,FE7+FD8-FM7,IF(A8&lt;'Données projet'!$A$218,$FB$205^A8,IF(A8='Données projet'!$A$218,'Données projet'!$B$218,FE7+FD8-FM7)))</f>
        <v>4.5955946970238246</v>
      </c>
      <c r="FF8" s="18">
        <f>FE8*VLOOKUP('Données projet'!$B$16,Paramètres!$A$1:$I$89,3,0)*VLOOKUP('Données projet'!$B$16,Paramètres!$A$1:$I$89,5,0)</f>
        <v>2.7481656288202476</v>
      </c>
      <c r="FG8" s="14">
        <f t="shared" si="47"/>
        <v>1.1258755152408089</v>
      </c>
      <c r="FH8" s="22">
        <f t="shared" si="22"/>
        <v>6.7472883259063394</v>
      </c>
      <c r="FI8" s="60">
        <f t="shared" si="23"/>
        <v>269.52506610368414</v>
      </c>
      <c r="FJ8" s="60">
        <f ca="1">AVERAGE(OFFSET($FI$3,0,0,'Données projet'!$E$16+1,1))-AVERAGE(OFFSET($H$3,0,0,'Données projet'!$E$16+1,1))</f>
        <v>207.03241199974599</v>
      </c>
      <c r="FK8" s="60">
        <f t="shared" si="48"/>
        <v>314.188568589113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2.2649572649572649</v>
      </c>
      <c r="N9" s="14">
        <f>IF('Données projet'!$A$36&gt;35,N8+M9-V8,IF(A9&lt;'Données projet'!$A$36,$K$205^A9,IF(A9='Données projet'!$A$36,'Données projet'!$B$36,N8+M9-V8)))</f>
        <v>4.0969485352494868</v>
      </c>
      <c r="O9" s="14">
        <f>N9*VLOOKUP('Données projet'!$B$9,Paramètres!$A$1:$I$89,3,0)*VLOOKUP('Données projet'!$B$9,Paramètres!$A$1:$I$89,5,0)</f>
        <v>3.8986562261434119</v>
      </c>
      <c r="P9" s="14">
        <f t="shared" si="33"/>
        <v>1.5335025676916687</v>
      </c>
      <c r="Q9" s="22">
        <f t="shared" si="2"/>
        <v>9.4610098992627645</v>
      </c>
      <c r="R9" s="60">
        <f t="shared" si="0"/>
        <v>273.46100989926276</v>
      </c>
      <c r="S9" s="60">
        <f ca="1">AVERAGE(OFFSET($R$3,0,0,'Données projet'!$E$9+1,1))-AVERAGE(OFFSET($H$3,0,0,'Données projet'!$E$9+1,1))</f>
        <v>353.61481736740694</v>
      </c>
      <c r="T9" s="60">
        <f t="shared" si="34"/>
        <v>244.7141066773861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2.9681857447309605</v>
      </c>
      <c r="AK9" s="14">
        <f t="shared" si="35"/>
        <v>1.2051613041728233</v>
      </c>
      <c r="AL9" s="22">
        <f t="shared" si="4"/>
        <v>7.2685794435074236</v>
      </c>
      <c r="AM9" s="60">
        <f t="shared" si="5"/>
        <v>271.26857944350741</v>
      </c>
      <c r="AN9" s="60">
        <f ca="1">AVERAGE(OFFSET($AM$3,0,0,'Données projet'!$E$10+1,1))-AVERAGE(OFFSET($H$3,0,0,'Données projet'!$E$10+1,1))</f>
        <v>455.50822833641354</v>
      </c>
      <c r="AO9" s="60">
        <f t="shared" si="36"/>
        <v>261.14722581688039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3.2075555628544254</v>
      </c>
      <c r="BF9" s="14">
        <f t="shared" si="37"/>
        <v>1.290647300990696</v>
      </c>
      <c r="BG9" s="22">
        <f t="shared" si="7"/>
        <v>7.8343699878635862</v>
      </c>
      <c r="BH9" s="60">
        <f t="shared" si="8"/>
        <v>271.83436998786357</v>
      </c>
      <c r="BI9" s="60">
        <f ca="1">AVERAGE(OFFSET($BH$3,0,0,'Données projet'!$E$11+1,1))-AVERAGE(OFFSET($H$3,0,0,'Données projet'!$E$11+1,1))</f>
        <v>488.7825919901664</v>
      </c>
      <c r="BJ9" s="60">
        <f t="shared" si="38"/>
        <v>278.78817181412438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3.111807635605039</v>
      </c>
      <c r="CA9" s="14">
        <f t="shared" si="39"/>
        <v>1.2565452240335246</v>
      </c>
      <c r="CB9" s="22">
        <f t="shared" si="10"/>
        <v>7.6082145638704972</v>
      </c>
      <c r="CC9" s="60">
        <f t="shared" si="11"/>
        <v>271.60821456387049</v>
      </c>
      <c r="CD9" s="60">
        <f ca="1">AVERAGE(OFFSET($CC$3,0,0,'Données projet'!$E$12+1,1))-AVERAGE(OFFSET($H$3,0,0,'Données projet'!$E$12+1,1))</f>
        <v>475.47920969424894</v>
      </c>
      <c r="CE9" s="60">
        <f t="shared" si="40"/>
        <v>271.73544012419364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2.7766898902321886</v>
      </c>
      <c r="CV9" s="14">
        <f t="shared" si="41"/>
        <v>1.1361949561012803</v>
      </c>
      <c r="CW9" s="22">
        <f t="shared" si="13"/>
        <v>6.8149411073641248</v>
      </c>
      <c r="CX9" s="60">
        <f t="shared" si="14"/>
        <v>270.81494110736412</v>
      </c>
      <c r="CY9" s="60">
        <f ca="1">AVERAGE(OFFSET($CX$3,0,0,'Données projet'!$E$13+1,1))-AVERAGE(OFFSET($H$3,0,0,'Données projet'!$E$13+1,1))</f>
        <v>428.8489304403459</v>
      </c>
      <c r="CZ9" s="60">
        <f t="shared" si="42"/>
        <v>247.01165577562966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3.3033034901038101</v>
      </c>
      <c r="DQ9" s="14">
        <f t="shared" si="43"/>
        <v>1.3246310730107231</v>
      </c>
      <c r="DR9" s="22">
        <f t="shared" si="16"/>
        <v>8.0603193640911446</v>
      </c>
      <c r="DS9" s="60">
        <f t="shared" si="17"/>
        <v>272.06031936409113</v>
      </c>
      <c r="DT9" s="60">
        <f ca="1">AVERAGE(OFFSET($DS$3,0,0,'Données projet'!$E$14+1,1))-AVERAGE(OFFSET($H$3,0,0,'Données projet'!$E$14+1,1))</f>
        <v>502.07782026233912</v>
      </c>
      <c r="DU9" s="60">
        <f t="shared" si="44"/>
        <v>285.83623046025156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5.5909090909090908</v>
      </c>
      <c r="EJ9" s="13">
        <f>IF('Données projet'!$A$192&gt;35,EJ8+EI9-ER8,IF(A9&lt;'Données projet'!$A$192,$EG$205^A9,IF(A9='Données projet'!$A$192,'Données projet'!$B$192,EJ8+EI9-ER8)))</f>
        <v>3.7151309075081826</v>
      </c>
      <c r="EK9" s="18">
        <f>EJ9*VLOOKUP('Données projet'!$B$15,Paramètres!$A$1:$I$89,3,0)*VLOOKUP('Données projet'!$B$15,Paramètres!$A$1:$I$89,5,0)</f>
        <v>2.2216482826898933</v>
      </c>
      <c r="EL9" s="14">
        <f t="shared" si="45"/>
        <v>0.93298436230530435</v>
      </c>
      <c r="EM9" s="22">
        <f t="shared" si="19"/>
        <v>5.4943185233666361</v>
      </c>
      <c r="EN9" s="60">
        <f t="shared" si="20"/>
        <v>269.49431852336664</v>
      </c>
      <c r="EO9" s="60">
        <f ca="1">AVERAGE(OFFSET($EN$3,0,0,'Données projet'!$E$15+1,1))-AVERAGE(OFFSET($H$3,0,0,'Données projet'!$E$15+1,1))</f>
        <v>392.62423122800357</v>
      </c>
      <c r="EP9" s="60">
        <f t="shared" si="46"/>
        <v>314.09619163968642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3.2392083333333335</v>
      </c>
      <c r="FE9" s="13">
        <f>IF('Données projet'!$A$218&gt;35,FE8+FD9-FM8,IF(A9&lt;'Données projet'!$A$218,$FB$205^A9,IF(A9='Données projet'!$A$218,'Données projet'!$B$218,FE8+FD9-FM8)))</f>
        <v>6.2346210791033627</v>
      </c>
      <c r="FF9" s="18">
        <f>FE9*VLOOKUP('Données projet'!$B$16,Paramètres!$A$1:$I$89,3,0)*VLOOKUP('Données projet'!$B$16,Paramètres!$A$1:$I$89,5,0)</f>
        <v>3.7283034053038109</v>
      </c>
      <c r="FG9" s="14">
        <f t="shared" si="47"/>
        <v>1.4741422826611996</v>
      </c>
      <c r="FH9" s="22">
        <f t="shared" si="22"/>
        <v>9.0609262398723924</v>
      </c>
      <c r="FI9" s="60">
        <f t="shared" si="23"/>
        <v>273.0609262398724</v>
      </c>
      <c r="FJ9" s="60">
        <f ca="1">AVERAGE(OFFSET($FI$3,0,0,'Données projet'!$E$16+1,1))-AVERAGE(OFFSET($H$3,0,0,'Données projet'!$E$16+1,1))</f>
        <v>207.03241199974599</v>
      </c>
      <c r="FK9" s="60">
        <f t="shared" si="48"/>
        <v>314.188568589113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2.2649572649572649</v>
      </c>
      <c r="N10" s="14">
        <f>IF('Données projet'!$A$36&gt;35,N9+M10-V9,IF(A10&lt;'Données projet'!$A$36,$K$205^A10,IF(A10='Données projet'!$A$36,'Données projet'!$B$36,N9+M10-V9)))</f>
        <v>5.1824755269514737</v>
      </c>
      <c r="O10" s="14">
        <f>N10*VLOOKUP('Données projet'!$B$9,Paramètres!$A$1:$I$89,3,0)*VLOOKUP('Données projet'!$B$9,Paramètres!$A$1:$I$89,5,0)</f>
        <v>4.9316437114470224</v>
      </c>
      <c r="P10" s="14">
        <f t="shared" si="33"/>
        <v>1.8874676857212829</v>
      </c>
      <c r="Q10" s="22">
        <f t="shared" si="2"/>
        <v>11.876619016734798</v>
      </c>
      <c r="R10" s="60">
        <f t="shared" si="0"/>
        <v>277.09884123895705</v>
      </c>
      <c r="S10" s="60">
        <f ca="1">AVERAGE(OFFSET($R$3,0,0,'Données projet'!$E$9+1,1))-AVERAGE(OFFSET($H$3,0,0,'Données projet'!$E$9+1,1))</f>
        <v>353.61481736740694</v>
      </c>
      <c r="T10" s="60">
        <f t="shared" si="34"/>
        <v>244.7141066773861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3.5781087786895851</v>
      </c>
      <c r="AK10" s="14">
        <f t="shared" si="35"/>
        <v>1.4215440842341414</v>
      </c>
      <c r="AL10" s="22">
        <f t="shared" si="4"/>
        <v>8.707728736258824</v>
      </c>
      <c r="AM10" s="60">
        <f t="shared" si="5"/>
        <v>273.92995095848107</v>
      </c>
      <c r="AN10" s="60">
        <f ca="1">AVERAGE(OFFSET($AM$3,0,0,'Données projet'!$E$10+1,1))-AVERAGE(OFFSET($H$3,0,0,'Données projet'!$E$10+1,1))</f>
        <v>455.50822833641354</v>
      </c>
      <c r="AO10" s="60">
        <f t="shared" si="36"/>
        <v>261.14722581688039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3.8666659382613262</v>
      </c>
      <c r="BF10" s="14">
        <f t="shared" si="37"/>
        <v>1.5223788128638611</v>
      </c>
      <c r="BG10" s="22">
        <f t="shared" si="7"/>
        <v>9.3859196082097007</v>
      </c>
      <c r="BH10" s="60">
        <f t="shared" si="8"/>
        <v>274.60814183043192</v>
      </c>
      <c r="BI10" s="60">
        <f ca="1">AVERAGE(OFFSET($BH$3,0,0,'Données projet'!$E$11+1,1))-AVERAGE(OFFSET($H$3,0,0,'Données projet'!$E$11+1,1))</f>
        <v>488.7825919901664</v>
      </c>
      <c r="BJ10" s="60">
        <f t="shared" si="38"/>
        <v>278.78817181412438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3.7512430744326299</v>
      </c>
      <c r="CA10" s="14">
        <f t="shared" si="39"/>
        <v>1.4821538192545303</v>
      </c>
      <c r="CB10" s="22">
        <f t="shared" si="10"/>
        <v>9.1148329231718037</v>
      </c>
      <c r="CC10" s="60">
        <f t="shared" si="11"/>
        <v>274.33705514539406</v>
      </c>
      <c r="CD10" s="60">
        <f ca="1">AVERAGE(OFFSET($CC$3,0,0,'Données projet'!$E$12+1,1))-AVERAGE(OFFSET($H$3,0,0,'Données projet'!$E$12+1,1))</f>
        <v>475.47920969424894</v>
      </c>
      <c r="CE10" s="60">
        <f t="shared" si="40"/>
        <v>271.73544012419364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3.3472630510321921</v>
      </c>
      <c r="CV10" s="14">
        <f t="shared" si="41"/>
        <v>1.34019505338418</v>
      </c>
      <c r="CW10" s="22">
        <f t="shared" si="13"/>
        <v>8.1639895318585136</v>
      </c>
      <c r="CX10" s="60">
        <f t="shared" si="14"/>
        <v>273.38621175408076</v>
      </c>
      <c r="CY10" s="60">
        <f ca="1">AVERAGE(OFFSET($CX$3,0,0,'Données projet'!$E$13+1,1))-AVERAGE(OFFSET($H$3,0,0,'Données projet'!$E$13+1,1))</f>
        <v>428.8489304403459</v>
      </c>
      <c r="CZ10" s="60">
        <f t="shared" si="42"/>
        <v>247.01165577562966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3.982088802090022</v>
      </c>
      <c r="DQ10" s="14">
        <f t="shared" si="43"/>
        <v>1.5624642602705792</v>
      </c>
      <c r="DR10" s="22">
        <f t="shared" si="16"/>
        <v>9.6567632502780452</v>
      </c>
      <c r="DS10" s="60">
        <f t="shared" si="17"/>
        <v>274.87898547250029</v>
      </c>
      <c r="DT10" s="60">
        <f ca="1">AVERAGE(OFFSET($DS$3,0,0,'Données projet'!$E$14+1,1))-AVERAGE(OFFSET($H$3,0,0,'Données projet'!$E$14+1,1))</f>
        <v>502.07782026233912</v>
      </c>
      <c r="DU10" s="60">
        <f t="shared" si="44"/>
        <v>285.83623046025156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5.5909090909090908</v>
      </c>
      <c r="EJ10" s="13">
        <f>IF('Données projet'!$A$192&gt;35,EJ9+EI10-ER9,IF(A10&lt;'Données projet'!$A$192,$EG$205^A10,IF(A10='Données projet'!$A$192,'Données projet'!$B$192,EJ9+EI10-ER9)))</f>
        <v>4.6234887814743333</v>
      </c>
      <c r="EK10" s="18">
        <f>EJ10*VLOOKUP('Données projet'!$B$15,Paramètres!$A$1:$I$89,3,0)*VLOOKUP('Données projet'!$B$15,Paramètres!$A$1:$I$89,5,0)</f>
        <v>2.7648462913216516</v>
      </c>
      <c r="EL10" s="14">
        <f t="shared" si="45"/>
        <v>1.1319117118000401</v>
      </c>
      <c r="EM10" s="22">
        <f t="shared" si="19"/>
        <v>6.7868535221036126</v>
      </c>
      <c r="EN10" s="60">
        <f t="shared" si="20"/>
        <v>272.00907574432586</v>
      </c>
      <c r="EO10" s="60">
        <f ca="1">AVERAGE(OFFSET($EN$3,0,0,'Données projet'!$E$15+1,1))-AVERAGE(OFFSET($H$3,0,0,'Données projet'!$E$15+1,1))</f>
        <v>392.62423122800357</v>
      </c>
      <c r="EP10" s="60">
        <f t="shared" si="46"/>
        <v>314.09619163968642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3.2392083333333335</v>
      </c>
      <c r="FE10" s="13">
        <f>IF('Données projet'!$A$218&gt;35,FE9+FD10-FM9,IF(A10&lt;'Données projet'!$A$218,$FB$205^A10,IF(A10='Données projet'!$A$218,'Données projet'!$B$218,FE9+FD10-FM9)))</f>
        <v>8.458208907146032</v>
      </c>
      <c r="FF10" s="18">
        <f>FE10*VLOOKUP('Données projet'!$B$16,Paramètres!$A$1:$I$89,3,0)*VLOOKUP('Données projet'!$B$16,Paramètres!$A$1:$I$89,5,0)</f>
        <v>5.0580089264733274</v>
      </c>
      <c r="FG10" s="14">
        <f t="shared" si="47"/>
        <v>1.9301383146828432</v>
      </c>
      <c r="FH10" s="22">
        <f t="shared" si="22"/>
        <v>12.171023111680329</v>
      </c>
      <c r="FI10" s="60">
        <f t="shared" si="23"/>
        <v>277.39324533390254</v>
      </c>
      <c r="FJ10" s="60">
        <f ca="1">AVERAGE(OFFSET($FI$3,0,0,'Données projet'!$E$16+1,1))-AVERAGE(OFFSET($H$3,0,0,'Données projet'!$E$16+1,1))</f>
        <v>207.03241199974599</v>
      </c>
      <c r="FK10" s="60">
        <f t="shared" si="48"/>
        <v>314.188568589113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2.2649572649572649</v>
      </c>
      <c r="N11" s="14">
        <f>IF('Données projet'!$A$36&gt;35,N10+M11-V10,IF(A11&lt;'Données projet'!$A$36,$K$205^A11,IF(A11='Données projet'!$A$36,'Données projet'!$B$36,N10+M11-V10)))</f>
        <v>6.555623619962172</v>
      </c>
      <c r="O11" s="14">
        <f>N11*VLOOKUP('Données projet'!$B$9,Paramètres!$A$1:$I$89,3,0)*VLOOKUP('Données projet'!$B$9,Paramètres!$A$1:$I$89,5,0)</f>
        <v>6.2383314367560025</v>
      </c>
      <c r="P11" s="14">
        <f t="shared" si="33"/>
        <v>2.3231355067142938</v>
      </c>
      <c r="Q11" s="22">
        <f t="shared" si="2"/>
        <v>14.911221593210763</v>
      </c>
      <c r="R11" s="60">
        <f t="shared" si="0"/>
        <v>281.35566603765523</v>
      </c>
      <c r="S11" s="60">
        <f ca="1">AVERAGE(OFFSET($R$3,0,0,'Données projet'!$E$9+1,1))-AVERAGE(OFFSET($H$3,0,0,'Données projet'!$E$9+1,1))</f>
        <v>353.61481736740694</v>
      </c>
      <c r="T11" s="60">
        <f t="shared" si="34"/>
        <v>244.7141066773861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4.3133629540748091</v>
      </c>
      <c r="AK11" s="14">
        <f t="shared" si="35"/>
        <v>1.6767776864592203</v>
      </c>
      <c r="AL11" s="22">
        <f t="shared" si="4"/>
        <v>10.432828282263435</v>
      </c>
      <c r="AM11" s="60">
        <f t="shared" si="5"/>
        <v>276.87727272670787</v>
      </c>
      <c r="AN11" s="60">
        <f ca="1">AVERAGE(OFFSET($AM$3,0,0,'Données projet'!$E$10+1,1))-AVERAGE(OFFSET($H$3,0,0,'Données projet'!$E$10+1,1))</f>
        <v>455.50822833641354</v>
      </c>
      <c r="AO11" s="60">
        <f t="shared" si="36"/>
        <v>261.14722581688039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4.661214805209875</v>
      </c>
      <c r="BF11" s="14">
        <f t="shared" si="37"/>
        <v>1.7957169616190025</v>
      </c>
      <c r="BG11" s="22">
        <f t="shared" si="7"/>
        <v>11.245822827226961</v>
      </c>
      <c r="BH11" s="60">
        <f t="shared" si="8"/>
        <v>277.69026727167142</v>
      </c>
      <c r="BI11" s="60">
        <f ca="1">AVERAGE(OFFSET($BH$3,0,0,'Données projet'!$E$11+1,1))-AVERAGE(OFFSET($H$3,0,0,'Données projet'!$E$11+1,1))</f>
        <v>488.7825919901664</v>
      </c>
      <c r="BJ11" s="60">
        <f t="shared" si="38"/>
        <v>278.78817181412438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4.5220740647558486</v>
      </c>
      <c r="CA11" s="14">
        <f t="shared" si="39"/>
        <v>1.7482697016499746</v>
      </c>
      <c r="CB11" s="22">
        <f t="shared" si="10"/>
        <v>10.92084872649014</v>
      </c>
      <c r="CC11" s="60">
        <f t="shared" si="11"/>
        <v>277.36529317093459</v>
      </c>
      <c r="CD11" s="60">
        <f ca="1">AVERAGE(OFFSET($CC$3,0,0,'Données projet'!$E$12+1,1))-AVERAGE(OFFSET($H$3,0,0,'Données projet'!$E$12+1,1))</f>
        <v>475.47920969424894</v>
      </c>
      <c r="CE11" s="60">
        <f t="shared" si="40"/>
        <v>271.73544012419364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4.0350814731667564</v>
      </c>
      <c r="CV11" s="14">
        <f t="shared" si="41"/>
        <v>1.5808227025391921</v>
      </c>
      <c r="CW11" s="22">
        <f t="shared" si="13"/>
        <v>9.7810331060211926</v>
      </c>
      <c r="CX11" s="60">
        <f t="shared" si="14"/>
        <v>276.22547755046565</v>
      </c>
      <c r="CY11" s="60">
        <f ca="1">AVERAGE(OFFSET($CX$3,0,0,'Données projet'!$E$13+1,1))-AVERAGE(OFFSET($H$3,0,0,'Données projet'!$E$13+1,1))</f>
        <v>428.8489304403459</v>
      </c>
      <c r="CZ11" s="60">
        <f t="shared" si="42"/>
        <v>247.01165577562966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4.8003555456638995</v>
      </c>
      <c r="DQ11" s="14">
        <f t="shared" si="43"/>
        <v>1.8429996203200378</v>
      </c>
      <c r="DR11" s="22">
        <f t="shared" si="16"/>
        <v>11.570510247422023</v>
      </c>
      <c r="DS11" s="60">
        <f t="shared" si="17"/>
        <v>278.01495469186648</v>
      </c>
      <c r="DT11" s="60">
        <f ca="1">AVERAGE(OFFSET($DS$3,0,0,'Données projet'!$E$14+1,1))-AVERAGE(OFFSET($H$3,0,0,'Données projet'!$E$14+1,1))</f>
        <v>502.07782026233912</v>
      </c>
      <c r="DU11" s="60">
        <f t="shared" si="44"/>
        <v>285.83623046025156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5.5909090909090908</v>
      </c>
      <c r="EJ11" s="13">
        <f>IF('Données projet'!$A$192&gt;35,EJ10+EI11-ER10,IF(A11&lt;'Données projet'!$A$192,$EG$205^A11,IF(A11='Données projet'!$A$192,'Données projet'!$B$192,EJ10+EI11-ER10)))</f>
        <v>5.7539422013952093</v>
      </c>
      <c r="EK11" s="18">
        <f>EJ11*VLOOKUP('Données projet'!$B$15,Paramètres!$A$1:$I$89,3,0)*VLOOKUP('Données projet'!$B$15,Paramètres!$A$1:$I$89,5,0)</f>
        <v>3.4408574364343356</v>
      </c>
      <c r="EL11" s="14">
        <f t="shared" si="45"/>
        <v>1.3732535882427113</v>
      </c>
      <c r="EM11" s="22">
        <f t="shared" si="19"/>
        <v>8.3845767013125236</v>
      </c>
      <c r="EN11" s="60">
        <f t="shared" si="20"/>
        <v>274.829021145757</v>
      </c>
      <c r="EO11" s="60">
        <f ca="1">AVERAGE(OFFSET($EN$3,0,0,'Données projet'!$E$15+1,1))-AVERAGE(OFFSET($H$3,0,0,'Données projet'!$E$15+1,1))</f>
        <v>392.62423122800357</v>
      </c>
      <c r="EP11" s="60">
        <f t="shared" si="46"/>
        <v>314.09619163968642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3.2392083333333335</v>
      </c>
      <c r="FE11" s="13">
        <f>IF('Données projet'!$A$218&gt;35,FE10+FD11-FM10,IF(A11&lt;'Données projet'!$A$218,$FB$205^A11,IF(A11='Données projet'!$A$218,'Données projet'!$B$218,FE10+FD11-FM10)))</f>
        <v>11.474842979104231</v>
      </c>
      <c r="FF11" s="18">
        <f>FE11*VLOOKUP('Données projet'!$B$16,Paramètres!$A$1:$I$89,3,0)*VLOOKUP('Données projet'!$B$16,Paramètres!$A$1:$I$89,5,0)</f>
        <v>6.8619561015043313</v>
      </c>
      <c r="FG11" s="14">
        <f t="shared" si="47"/>
        <v>2.5271874754731107</v>
      </c>
      <c r="FH11" s="22">
        <f t="shared" si="22"/>
        <v>16.352758396569048</v>
      </c>
      <c r="FI11" s="60">
        <f t="shared" si="23"/>
        <v>282.79720284101353</v>
      </c>
      <c r="FJ11" s="60">
        <f ca="1">AVERAGE(OFFSET($FI$3,0,0,'Données projet'!$E$16+1,1))-AVERAGE(OFFSET($H$3,0,0,'Données projet'!$E$16+1,1))</f>
        <v>207.03241199974599</v>
      </c>
      <c r="FK11" s="60">
        <f t="shared" si="48"/>
        <v>314.188568589113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2.2649572649572649</v>
      </c>
      <c r="N12" s="14">
        <f>IF('Données projet'!$A$36&gt;35,N11+M12-V11,IF(A12&lt;'Données projet'!$A$36,$K$205^A12,IF(A12='Données projet'!$A$36,'Données projet'!$B$36,N11+M12-V11)))</f>
        <v>8.2926008667302167</v>
      </c>
      <c r="O12" s="14">
        <f>N12*VLOOKUP('Données projet'!$B$9,Paramètres!$A$1:$I$89,3,0)*VLOOKUP('Données projet'!$B$9,Paramètres!$A$1:$I$89,5,0)</f>
        <v>7.8912389847804736</v>
      </c>
      <c r="P12" s="14">
        <f t="shared" si="33"/>
        <v>2.8593647580749275</v>
      </c>
      <c r="Q12" s="22">
        <f t="shared" si="2"/>
        <v>18.723968185473154</v>
      </c>
      <c r="R12" s="60">
        <f t="shared" si="0"/>
        <v>286.39063485213984</v>
      </c>
      <c r="S12" s="60">
        <f ca="1">AVERAGE(OFFSET($R$3,0,0,'Données projet'!$E$9+1,1))-AVERAGE(OFFSET($H$3,0,0,'Données projet'!$E$9+1,1))</f>
        <v>353.61481736740694</v>
      </c>
      <c r="T12" s="60">
        <f t="shared" si="34"/>
        <v>244.7141066773861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5.1997021679141717</v>
      </c>
      <c r="AK12" s="14">
        <f t="shared" si="35"/>
        <v>1.977837649208241</v>
      </c>
      <c r="AL12" s="22">
        <f t="shared" si="4"/>
        <v>12.500881848154869</v>
      </c>
      <c r="AM12" s="60">
        <f t="shared" si="5"/>
        <v>280.16754851482153</v>
      </c>
      <c r="AN12" s="60">
        <f ca="1">AVERAGE(OFFSET($AM$3,0,0,'Données projet'!$E$10+1,1))-AVERAGE(OFFSET($H$3,0,0,'Données projet'!$E$10+1,1))</f>
        <v>455.50822833641354</v>
      </c>
      <c r="AO12" s="60">
        <f t="shared" si="36"/>
        <v>261.14722581688039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5.61903298790725</v>
      </c>
      <c r="BF12" s="14">
        <f t="shared" si="37"/>
        <v>2.1181320831575063</v>
      </c>
      <c r="BG12" s="22">
        <f t="shared" si="7"/>
        <v>13.475562498771119</v>
      </c>
      <c r="BH12" s="60">
        <f t="shared" si="8"/>
        <v>281.14222916543781</v>
      </c>
      <c r="BI12" s="60">
        <f ca="1">AVERAGE(OFFSET($BH$3,0,0,'Données projet'!$E$11+1,1))-AVERAGE(OFFSET($H$3,0,0,'Données projet'!$E$11+1,1))</f>
        <v>488.7825919901664</v>
      </c>
      <c r="BJ12" s="60">
        <f t="shared" si="38"/>
        <v>278.78817181412438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5.4513006599100189</v>
      </c>
      <c r="CA12" s="14">
        <f t="shared" si="39"/>
        <v>2.062165822468125</v>
      </c>
      <c r="CB12" s="22">
        <f t="shared" si="10"/>
        <v>13.085954123475267</v>
      </c>
      <c r="CC12" s="60">
        <f t="shared" si="11"/>
        <v>280.75262079014198</v>
      </c>
      <c r="CD12" s="60">
        <f ca="1">AVERAGE(OFFSET($CC$3,0,0,'Données projet'!$E$12+1,1))-AVERAGE(OFFSET($H$3,0,0,'Données projet'!$E$12+1,1))</f>
        <v>475.47920969424894</v>
      </c>
      <c r="CE12" s="60">
        <f t="shared" si="40"/>
        <v>271.73544012419364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4.8642375119197085</v>
      </c>
      <c r="CV12" s="14">
        <f t="shared" si="41"/>
        <v>1.8646542609995393</v>
      </c>
      <c r="CW12" s="22">
        <f t="shared" si="13"/>
        <v>11.719486504501022</v>
      </c>
      <c r="CX12" s="60">
        <f t="shared" si="14"/>
        <v>279.38615317116773</v>
      </c>
      <c r="CY12" s="60">
        <f ca="1">AVERAGE(OFFSET($CX$3,0,0,'Données projet'!$E$13+1,1))-AVERAGE(OFFSET($H$3,0,0,'Données projet'!$E$13+1,1))</f>
        <v>428.8489304403459</v>
      </c>
      <c r="CZ12" s="60">
        <f t="shared" si="42"/>
        <v>247.01165577562966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5.7867653159044812</v>
      </c>
      <c r="DQ12" s="14">
        <f t="shared" si="43"/>
        <v>2.1739041889582755</v>
      </c>
      <c r="DR12" s="22">
        <f t="shared" si="16"/>
        <v>13.864832720969302</v>
      </c>
      <c r="DS12" s="60">
        <f t="shared" si="17"/>
        <v>281.53149938763596</v>
      </c>
      <c r="DT12" s="60">
        <f ca="1">AVERAGE(OFFSET($DS$3,0,0,'Données projet'!$E$14+1,1))-AVERAGE(OFFSET($H$3,0,0,'Données projet'!$E$14+1,1))</f>
        <v>502.07782026233912</v>
      </c>
      <c r="DU12" s="60">
        <f t="shared" si="44"/>
        <v>285.83623046025156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5.5909090909090908</v>
      </c>
      <c r="EJ12" s="13">
        <f>IF('Données projet'!$A$192&gt;35,EJ11+EI12-ER11,IF(A12&lt;'Données projet'!$A$192,$EG$205^A12,IF(A12='Données projet'!$A$192,'Données projet'!$B$192,EJ11+EI12-ER11)))</f>
        <v>7.1607940284521145</v>
      </c>
      <c r="EK12" s="18">
        <f>EJ12*VLOOKUP('Données projet'!$B$15,Paramètres!$A$1:$I$89,3,0)*VLOOKUP('Données projet'!$B$15,Paramètres!$A$1:$I$89,5,0)</f>
        <v>4.2821548290143649</v>
      </c>
      <c r="EL12" s="14">
        <f t="shared" si="45"/>
        <v>1.6660534544894132</v>
      </c>
      <c r="EM12" s="22">
        <f t="shared" si="19"/>
        <v>10.359796093769079</v>
      </c>
      <c r="EN12" s="60">
        <f t="shared" si="20"/>
        <v>278.02646276043578</v>
      </c>
      <c r="EO12" s="60">
        <f ca="1">AVERAGE(OFFSET($EN$3,0,0,'Données projet'!$E$15+1,1))-AVERAGE(OFFSET($H$3,0,0,'Données projet'!$E$15+1,1))</f>
        <v>392.62423122800357</v>
      </c>
      <c r="EP12" s="60">
        <f t="shared" si="46"/>
        <v>314.09619163968642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3.2392083333333335</v>
      </c>
      <c r="FE12" s="13">
        <f>IF('Données projet'!$A$218&gt;35,FE11+FD12-FM11,IF(A12&lt;'Données projet'!$A$218,$FB$205^A12,IF(A12='Données projet'!$A$218,'Données projet'!$B$218,FE11+FD12-FM11)))</f>
        <v>15.567364537881392</v>
      </c>
      <c r="FF12" s="18">
        <f>FE12*VLOOKUP('Données projet'!$B$16,Paramètres!$A$1:$I$89,3,0)*VLOOKUP('Données projet'!$B$16,Paramètres!$A$1:$I$89,5,0)</f>
        <v>9.3092839936530734</v>
      </c>
      <c r="FG12" s="14">
        <f t="shared" si="47"/>
        <v>3.3089216910538366</v>
      </c>
      <c r="FH12" s="22">
        <f t="shared" si="22"/>
        <v>21.976708234197869</v>
      </c>
      <c r="FI12" s="60">
        <f t="shared" si="23"/>
        <v>289.64337490086456</v>
      </c>
      <c r="FJ12" s="60">
        <f ca="1">AVERAGE(OFFSET($FI$3,0,0,'Données projet'!$E$16+1,1))-AVERAGE(OFFSET($H$3,0,0,'Données projet'!$E$16+1,1))</f>
        <v>207.03241199974599</v>
      </c>
      <c r="FK12" s="60">
        <f t="shared" si="48"/>
        <v>314.188568589113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2.2649572649572649</v>
      </c>
      <c r="N13" s="14">
        <f>IF('Données projet'!$A$36&gt;35,N12+M13-V12,IF(A13&lt;'Données projet'!$A$36,$K$205^A13,IF(A13='Données projet'!$A$36,'Données projet'!$B$36,N12+M13-V12)))</f>
        <v>10.489807396125579</v>
      </c>
      <c r="O13" s="14">
        <f>N13*VLOOKUP('Données projet'!$B$9,Paramètres!$A$1:$I$89,3,0)*VLOOKUP('Données projet'!$B$9,Paramètres!$A$1:$I$89,5,0)</f>
        <v>9.9821007181531005</v>
      </c>
      <c r="P13" s="14">
        <f t="shared" si="33"/>
        <v>3.5193671639432234</v>
      </c>
      <c r="Q13" s="22">
        <f t="shared" si="2"/>
        <v>23.515056561317763</v>
      </c>
      <c r="R13" s="60">
        <f t="shared" si="0"/>
        <v>292.40394545020661</v>
      </c>
      <c r="S13" s="60">
        <f ca="1">AVERAGE(OFFSET($R$3,0,0,'Données projet'!$E$9+1,1))-AVERAGE(OFFSET($H$3,0,0,'Données projet'!$E$9+1,1))</f>
        <v>353.61481736740694</v>
      </c>
      <c r="T13" s="60">
        <f t="shared" si="34"/>
        <v>244.7141066773861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6.2681724035000874</v>
      </c>
      <c r="AK13" s="14">
        <f t="shared" si="35"/>
        <v>2.3329519459947301</v>
      </c>
      <c r="AL13" s="22">
        <f t="shared" si="4"/>
        <v>14.98029157537014</v>
      </c>
      <c r="AM13" s="60">
        <f t="shared" si="5"/>
        <v>283.86918046425899</v>
      </c>
      <c r="AN13" s="60">
        <f ca="1">AVERAGE(OFFSET($AM$3,0,0,'Données projet'!$E$10+1,1))-AVERAGE(OFFSET($H$3,0,0,'Données projet'!$E$10+1,1))</f>
        <v>455.50822833641354</v>
      </c>
      <c r="AO13" s="60">
        <f t="shared" si="36"/>
        <v>261.14722581688039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6.7736701779759017</v>
      </c>
      <c r="BF13" s="14">
        <f t="shared" si="37"/>
        <v>2.4984357878182442</v>
      </c>
      <c r="BG13" s="22">
        <f t="shared" si="7"/>
        <v>16.148917890424809</v>
      </c>
      <c r="BH13" s="60">
        <f t="shared" si="8"/>
        <v>285.03780677931366</v>
      </c>
      <c r="BI13" s="60">
        <f ca="1">AVERAGE(OFFSET($BH$3,0,0,'Données projet'!$E$11+1,1))-AVERAGE(OFFSET($H$3,0,0,'Données projet'!$E$11+1,1))</f>
        <v>488.7825919901664</v>
      </c>
      <c r="BJ13" s="60">
        <f t="shared" si="38"/>
        <v>278.78817181412438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6.5714710681855761</v>
      </c>
      <c r="CA13" s="14">
        <f t="shared" si="39"/>
        <v>2.4324209676242781</v>
      </c>
      <c r="CB13" s="22">
        <f t="shared" si="10"/>
        <v>15.681778629035497</v>
      </c>
      <c r="CC13" s="60">
        <f t="shared" si="11"/>
        <v>284.57066751792433</v>
      </c>
      <c r="CD13" s="60">
        <f ca="1">AVERAGE(OFFSET($CC$3,0,0,'Données projet'!$E$12+1,1))-AVERAGE(OFFSET($H$3,0,0,'Données projet'!$E$12+1,1))</f>
        <v>475.47920969424894</v>
      </c>
      <c r="CE13" s="60">
        <f t="shared" si="40"/>
        <v>271.73544012419364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5.8637741839194364</v>
      </c>
      <c r="CV13" s="14">
        <f t="shared" si="41"/>
        <v>2.1994468497187687</v>
      </c>
      <c r="CW13" s="22">
        <f t="shared" si="13"/>
        <v>14.043443300253207</v>
      </c>
      <c r="CX13" s="60">
        <f t="shared" si="14"/>
        <v>282.93233218914207</v>
      </c>
      <c r="CY13" s="60">
        <f ca="1">AVERAGE(OFFSET($CX$3,0,0,'Données projet'!$E$13+1,1))-AVERAGE(OFFSET($H$3,0,0,'Données projet'!$E$13+1,1))</f>
        <v>428.8489304403459</v>
      </c>
      <c r="CZ13" s="60">
        <f t="shared" si="42"/>
        <v>247.01165577562966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6.9758692877662263</v>
      </c>
      <c r="DQ13" s="14">
        <f t="shared" si="43"/>
        <v>2.5642215932468222</v>
      </c>
      <c r="DR13" s="22">
        <f t="shared" si="16"/>
        <v>16.61565828443106</v>
      </c>
      <c r="DS13" s="60">
        <f t="shared" si="17"/>
        <v>285.50454717331991</v>
      </c>
      <c r="DT13" s="60">
        <f ca="1">AVERAGE(OFFSET($DS$3,0,0,'Données projet'!$E$14+1,1))-AVERAGE(OFFSET($H$3,0,0,'Données projet'!$E$14+1,1))</f>
        <v>502.07782026233912</v>
      </c>
      <c r="DU13" s="60">
        <f t="shared" si="44"/>
        <v>285.83623046025156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5.5909090909090908</v>
      </c>
      <c r="EJ13" s="13">
        <f>IF('Données projet'!$A$192&gt;35,EJ12+EI13-ER12,IF(A13&lt;'Données projet'!$A$192,$EG$205^A13,IF(A13='Données projet'!$A$192,'Données projet'!$B$192,EJ12+EI13-ER12)))</f>
        <v>8.9116242956840761</v>
      </c>
      <c r="EK13" s="18">
        <f>EJ13*VLOOKUP('Données projet'!$B$15,Paramètres!$A$1:$I$89,3,0)*VLOOKUP('Données projet'!$B$15,Paramètres!$A$1:$I$89,5,0)</f>
        <v>5.3291513288190782</v>
      </c>
      <c r="EL13" s="14">
        <f t="shared" si="45"/>
        <v>2.0212829858817885</v>
      </c>
      <c r="EM13" s="22">
        <f t="shared" si="19"/>
        <v>12.802006431437341</v>
      </c>
      <c r="EN13" s="60">
        <f t="shared" si="20"/>
        <v>281.69089532032621</v>
      </c>
      <c r="EO13" s="60">
        <f ca="1">AVERAGE(OFFSET($EN$3,0,0,'Données projet'!$E$15+1,1))-AVERAGE(OFFSET($H$3,0,0,'Données projet'!$E$15+1,1))</f>
        <v>392.62423122800357</v>
      </c>
      <c r="EP13" s="60">
        <f t="shared" si="46"/>
        <v>314.09619163968642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3.2392083333333335</v>
      </c>
      <c r="FE13" s="13">
        <f>IF('Données projet'!$A$218&gt;35,FE12+FD13-FM12,IF(A13&lt;'Données projet'!$A$218,$FB$205^A13,IF(A13='Données projet'!$A$218,'Données projet'!$B$218,FE12+FD13-FM12)))</f>
        <v>21.119490619313495</v>
      </c>
      <c r="FF13" s="18">
        <f>FE13*VLOOKUP('Données projet'!$B$16,Paramètres!$A$1:$I$89,3,0)*VLOOKUP('Données projet'!$B$16,Paramètres!$A$1:$I$89,5,0)</f>
        <v>12.629455390349472</v>
      </c>
      <c r="FG13" s="14">
        <f t="shared" si="47"/>
        <v>4.3324695392758059</v>
      </c>
      <c r="FH13" s="22">
        <f t="shared" si="22"/>
        <v>29.542019252430688</v>
      </c>
      <c r="FI13" s="60">
        <f t="shared" si="23"/>
        <v>298.43090814131955</v>
      </c>
      <c r="FJ13" s="60">
        <f ca="1">AVERAGE(OFFSET($FI$3,0,0,'Données projet'!$E$16+1,1))-AVERAGE(OFFSET($H$3,0,0,'Données projet'!$E$16+1,1))</f>
        <v>207.03241199974599</v>
      </c>
      <c r="FK13" s="60">
        <f t="shared" si="48"/>
        <v>314.188568589113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2.2649572649572649</v>
      </c>
      <c r="N14" s="14">
        <f>IF('Données projet'!$A$36&gt;35,N13+M14-V13,IF(A14&lt;'Données projet'!$A$36,$K$205^A14,IF(A14='Données projet'!$A$36,'Données projet'!$B$36,N13+M14-V13)))</f>
        <v>13.269185503582337</v>
      </c>
      <c r="O14" s="14">
        <f>N14*VLOOKUP('Données projet'!$B$9,Paramètres!$A$1:$I$89,3,0)*VLOOKUP('Données projet'!$B$9,Paramètres!$A$1:$I$89,5,0)</f>
        <v>12.626956925208951</v>
      </c>
      <c r="P14" s="14">
        <f t="shared" si="33"/>
        <v>4.3317122097359233</v>
      </c>
      <c r="Q14" s="22">
        <f t="shared" si="2"/>
        <v>29.536348743362321</v>
      </c>
      <c r="R14" s="60">
        <f t="shared" si="0"/>
        <v>299.64745985447348</v>
      </c>
      <c r="S14" s="60">
        <f ca="1">AVERAGE(OFFSET($R$3,0,0,'Données projet'!$E$9+1,1))-AVERAGE(OFFSET($H$3,0,0,'Données projet'!$E$9+1,1))</f>
        <v>353.61481736740694</v>
      </c>
      <c r="T14" s="60">
        <f t="shared" si="34"/>
        <v>244.7141066773861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7.5561991843392455</v>
      </c>
      <c r="AK14" s="14">
        <f t="shared" si="35"/>
        <v>2.7518258561310041</v>
      </c>
      <c r="AL14" s="22">
        <f t="shared" si="4"/>
        <v>17.953143612152349</v>
      </c>
      <c r="AM14" s="60">
        <f t="shared" si="5"/>
        <v>288.0642547232635</v>
      </c>
      <c r="AN14" s="60">
        <f ca="1">AVERAGE(OFFSET($AM$3,0,0,'Données projet'!$E$10+1,1))-AVERAGE(OFFSET($H$3,0,0,'Données projet'!$E$10+1,1))</f>
        <v>455.50822833641354</v>
      </c>
      <c r="AO14" s="60">
        <f t="shared" si="36"/>
        <v>261.14722581688039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8.1655700863020879</v>
      </c>
      <c r="BF14" s="14">
        <f t="shared" si="37"/>
        <v>2.9470217818266238</v>
      </c>
      <c r="BG14" s="22">
        <f t="shared" si="7"/>
        <v>19.35443083699084</v>
      </c>
      <c r="BH14" s="60">
        <f t="shared" si="8"/>
        <v>289.46554194810199</v>
      </c>
      <c r="BI14" s="60">
        <f ca="1">AVERAGE(OFFSET($BH$3,0,0,'Données projet'!$E$11+1,1))-AVERAGE(OFFSET($H$3,0,0,'Données projet'!$E$11+1,1))</f>
        <v>488.7825919901664</v>
      </c>
      <c r="BJ14" s="60">
        <f t="shared" si="38"/>
        <v>278.78817181412438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7.921821725516951</v>
      </c>
      <c r="CA14" s="14">
        <f t="shared" si="39"/>
        <v>2.869154216054651</v>
      </c>
      <c r="CB14" s="22">
        <f t="shared" si="10"/>
        <v>18.794283098237205</v>
      </c>
      <c r="CC14" s="60">
        <f t="shared" si="11"/>
        <v>288.90539420934834</v>
      </c>
      <c r="CD14" s="60">
        <f ca="1">AVERAGE(OFFSET($CC$3,0,0,'Données projet'!$E$12+1,1))-AVERAGE(OFFSET($H$3,0,0,'Données projet'!$E$12+1,1))</f>
        <v>475.47920969424894</v>
      </c>
      <c r="CE14" s="60">
        <f t="shared" si="40"/>
        <v>271.73544012419364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7.0687024627689707</v>
      </c>
      <c r="CV14" s="14">
        <f t="shared" si="41"/>
        <v>2.5943503554083325</v>
      </c>
      <c r="CW14" s="22">
        <f t="shared" si="13"/>
        <v>16.829816991658799</v>
      </c>
      <c r="CX14" s="60">
        <f t="shared" si="14"/>
        <v>286.94092810276993</v>
      </c>
      <c r="CY14" s="60">
        <f ca="1">AVERAGE(OFFSET($CX$3,0,0,'Données projet'!$E$13+1,1))-AVERAGE(OFFSET($H$3,0,0,'Données projet'!$E$13+1,1))</f>
        <v>428.8489304403459</v>
      </c>
      <c r="CZ14" s="60">
        <f t="shared" si="42"/>
        <v>247.01165577562966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8.4093184470872249</v>
      </c>
      <c r="DQ14" s="14">
        <f t="shared" si="43"/>
        <v>3.0246192139792929</v>
      </c>
      <c r="DR14" s="22">
        <f t="shared" si="16"/>
        <v>19.914108093024186</v>
      </c>
      <c r="DS14" s="60">
        <f t="shared" si="17"/>
        <v>290.02521920413534</v>
      </c>
      <c r="DT14" s="60">
        <f ca="1">AVERAGE(OFFSET($DS$3,0,0,'Données projet'!$E$14+1,1))-AVERAGE(OFFSET($H$3,0,0,'Données projet'!$E$14+1,1))</f>
        <v>502.07782026233912</v>
      </c>
      <c r="DU14" s="60">
        <f t="shared" si="44"/>
        <v>285.83623046025156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5.5909090909090908</v>
      </c>
      <c r="EJ14" s="13">
        <f>IF('Données projet'!$A$192&gt;35,EJ13+EI14-ER13,IF(A14&lt;'Données projet'!$A$192,$EG$205^A14,IF(A14='Données projet'!$A$192,'Données projet'!$B$192,EJ13+EI14-ER13)))</f>
        <v>11.090536506409412</v>
      </c>
      <c r="EK14" s="18">
        <f>EJ14*VLOOKUP('Données projet'!$B$15,Paramètres!$A$1:$I$89,3,0)*VLOOKUP('Données projet'!$B$15,Paramètres!$A$1:$I$89,5,0)</f>
        <v>6.6321408308328289</v>
      </c>
      <c r="EL14" s="14">
        <f t="shared" si="45"/>
        <v>2.4522531963221348</v>
      </c>
      <c r="EM14" s="22">
        <f t="shared" si="19"/>
        <v>15.821986263961561</v>
      </c>
      <c r="EN14" s="60">
        <f t="shared" si="20"/>
        <v>285.93309737507269</v>
      </c>
      <c r="EO14" s="60">
        <f ca="1">AVERAGE(OFFSET($EN$3,0,0,'Données projet'!$E$15+1,1))-AVERAGE(OFFSET($H$3,0,0,'Données projet'!$E$15+1,1))</f>
        <v>392.62423122800357</v>
      </c>
      <c r="EP14" s="60">
        <f t="shared" si="46"/>
        <v>314.09619163968642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3.2392083333333335</v>
      </c>
      <c r="FE14" s="13">
        <f>IF('Données projet'!$A$218&gt;35,FE13+FD14-FM13,IF(A14&lt;'Données projet'!$A$218,$FB$205^A14,IF(A14='Données projet'!$A$218,'Données projet'!$B$218,FE13+FD14-FM13)))</f>
        <v>28.65179156908037</v>
      </c>
      <c r="FF14" s="18">
        <f>FE14*VLOOKUP('Données projet'!$B$16,Paramètres!$A$1:$I$89,3,0)*VLOOKUP('Données projet'!$B$16,Paramètres!$A$1:$I$89,5,0)</f>
        <v>17.133771358310064</v>
      </c>
      <c r="FG14" s="14">
        <f t="shared" si="47"/>
        <v>5.6726311654642698</v>
      </c>
      <c r="FH14" s="22">
        <f t="shared" si="22"/>
        <v>39.721151062240295</v>
      </c>
      <c r="FI14" s="60">
        <f t="shared" si="23"/>
        <v>309.83226217335141</v>
      </c>
      <c r="FJ14" s="60">
        <f ca="1">AVERAGE(OFFSET($FI$3,0,0,'Données projet'!$E$16+1,1))-AVERAGE(OFFSET($H$3,0,0,'Données projet'!$E$16+1,1))</f>
        <v>207.03241199974599</v>
      </c>
      <c r="FK14" s="60">
        <f t="shared" si="48"/>
        <v>314.188568589113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2.2649572649572649</v>
      </c>
      <c r="N15" s="14">
        <f>IF('Données projet'!$A$36&gt;35,N14+M15-V14,IF(A15&lt;'Données projet'!$A$36,$K$205^A15,IF(A15='Données projet'!$A$36,'Données projet'!$B$36,N14+M15-V14)))</f>
        <v>16.784987300482918</v>
      </c>
      <c r="O15" s="14">
        <f>N15*VLOOKUP('Données projet'!$B$9,Paramètres!$A$1:$I$89,3,0)*VLOOKUP('Données projet'!$B$9,Paramètres!$A$1:$I$89,5,0)</f>
        <v>15.972593915139546</v>
      </c>
      <c r="P15" s="14">
        <f t="shared" si="33"/>
        <v>5.3315638277853701</v>
      </c>
      <c r="Q15" s="22">
        <f t="shared" si="2"/>
        <v>37.104741402260892</v>
      </c>
      <c r="R15" s="60">
        <f t="shared" si="0"/>
        <v>308.43807473559423</v>
      </c>
      <c r="S15" s="60">
        <f ca="1">AVERAGE(OFFSET($R$3,0,0,'Données projet'!$E$9+1,1))-AVERAGE(OFFSET($H$3,0,0,'Données projet'!$E$9+1,1))</f>
        <v>353.61481736740694</v>
      </c>
      <c r="T15" s="60">
        <f t="shared" si="34"/>
        <v>244.7141066773861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9.1088984855501316</v>
      </c>
      <c r="AK15" s="14">
        <f t="shared" si="35"/>
        <v>3.2459072101643005</v>
      </c>
      <c r="AL15" s="22">
        <f t="shared" si="4"/>
        <v>21.517953253369303</v>
      </c>
      <c r="AM15" s="60">
        <f t="shared" si="5"/>
        <v>292.8512865867026</v>
      </c>
      <c r="AN15" s="60">
        <f ca="1">AVERAGE(OFFSET($AM$3,0,0,'Données projet'!$E$10+1,1))-AVERAGE(OFFSET($H$3,0,0,'Données projet'!$E$10+1,1))</f>
        <v>455.50822833641354</v>
      </c>
      <c r="AO15" s="60">
        <f t="shared" si="36"/>
        <v>261.14722581688039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9.8434870730944972</v>
      </c>
      <c r="BF15" s="14">
        <f t="shared" si="37"/>
        <v>3.4761499274490784</v>
      </c>
      <c r="BG15" s="22">
        <f t="shared" si="7"/>
        <v>23.198367775946725</v>
      </c>
      <c r="BH15" s="60">
        <f t="shared" si="8"/>
        <v>294.53170110928005</v>
      </c>
      <c r="BI15" s="60">
        <f ca="1">AVERAGE(OFFSET($BH$3,0,0,'Données projet'!$E$11+1,1))-AVERAGE(OFFSET($H$3,0,0,'Données projet'!$E$11+1,1))</f>
        <v>488.7825919901664</v>
      </c>
      <c r="BJ15" s="60">
        <f t="shared" si="38"/>
        <v>278.78817181412438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9.5496516380767513</v>
      </c>
      <c r="CA15" s="14">
        <f t="shared" si="39"/>
        <v>3.3843014943027487</v>
      </c>
      <c r="CB15" s="22">
        <f t="shared" si="10"/>
        <v>22.526635038894295</v>
      </c>
      <c r="CC15" s="60">
        <f t="shared" si="11"/>
        <v>293.85996837222763</v>
      </c>
      <c r="CD15" s="60">
        <f ca="1">AVERAGE(OFFSET($CC$3,0,0,'Données projet'!$E$12+1,1))-AVERAGE(OFFSET($H$3,0,0,'Données projet'!$E$12+1,1))</f>
        <v>475.47920969424894</v>
      </c>
      <c r="CE15" s="60">
        <f t="shared" si="40"/>
        <v>271.73544012419364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8.521227615514638</v>
      </c>
      <c r="CV15" s="14">
        <f t="shared" si="41"/>
        <v>3.0601574970852128</v>
      </c>
      <c r="CW15" s="22">
        <f t="shared" si="13"/>
        <v>20.170912404444739</v>
      </c>
      <c r="CX15" s="60">
        <f t="shared" si="14"/>
        <v>291.50424573777804</v>
      </c>
      <c r="CY15" s="60">
        <f ca="1">AVERAGE(OFFSET($CX$3,0,0,'Données projet'!$E$13+1,1))-AVERAGE(OFFSET($H$3,0,0,'Données projet'!$E$13+1,1))</f>
        <v>428.8489304403459</v>
      </c>
      <c r="CZ15" s="60">
        <f t="shared" si="42"/>
        <v>247.01165577562966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10.137322508112241</v>
      </c>
      <c r="DQ15" s="14">
        <f t="shared" si="43"/>
        <v>3.5676797253661268</v>
      </c>
      <c r="DR15" s="22">
        <f t="shared" si="16"/>
        <v>23.869545556641487</v>
      </c>
      <c r="DS15" s="60">
        <f t="shared" si="17"/>
        <v>295.20287888997478</v>
      </c>
      <c r="DT15" s="60">
        <f ca="1">AVERAGE(OFFSET($DS$3,0,0,'Données projet'!$E$14+1,1))-AVERAGE(OFFSET($H$3,0,0,'Données projet'!$E$14+1,1))</f>
        <v>502.07782026233912</v>
      </c>
      <c r="DU15" s="60">
        <f t="shared" si="44"/>
        <v>285.83623046025156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5.5909090909090908</v>
      </c>
      <c r="EJ15" s="13">
        <f>IF('Données projet'!$A$192&gt;35,EJ14+EI15-ER14,IF(A15&lt;'Données projet'!$A$192,$EG$205^A15,IF(A15='Données projet'!$A$192,'Données projet'!$B$192,EJ14+EI15-ER14)))</f>
        <v>13.802197659922571</v>
      </c>
      <c r="EK15" s="18">
        <f>EJ15*VLOOKUP('Données projet'!$B$15,Paramètres!$A$1:$I$89,3,0)*VLOOKUP('Données projet'!$B$15,Paramètres!$A$1:$I$89,5,0)</f>
        <v>8.2537142006336985</v>
      </c>
      <c r="EL15" s="14">
        <f t="shared" si="45"/>
        <v>2.9751132230743558</v>
      </c>
      <c r="EM15" s="22">
        <f t="shared" si="19"/>
        <v>19.556874429624859</v>
      </c>
      <c r="EN15" s="60">
        <f t="shared" si="20"/>
        <v>290.8902077629582</v>
      </c>
      <c r="EO15" s="60">
        <f ca="1">AVERAGE(OFFSET($EN$3,0,0,'Données projet'!$E$15+1,1))-AVERAGE(OFFSET($H$3,0,0,'Données projet'!$E$15+1,1))</f>
        <v>392.62423122800357</v>
      </c>
      <c r="EP15" s="60">
        <f t="shared" si="46"/>
        <v>314.09619163968642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>
        <f>VLOOKUP(A15,'Données projet'!$A$217:$I$237,2,0)</f>
        <v>38.8705</v>
      </c>
      <c r="FC15" s="13">
        <f>VLOOKUP(A15,'Données projet'!$A$217:$I$237,9,0)</f>
        <v>3.2392083333333335</v>
      </c>
      <c r="FD15" s="13">
        <f t="array" ref="FD15">INDEX(FC:FC,MIN(IF(ISNUMBER(FC15:FC211),ROW(FC15:FC211),"")))</f>
        <v>3.2392083333333335</v>
      </c>
      <c r="FE15" s="13">
        <f>IF('Données projet'!$A$218&gt;35,FE14+FD15-FM14,IF(A15&lt;'Données projet'!$A$218,$FB$205^A15,IF(A15='Données projet'!$A$218,'Données projet'!$B$218,FE14+FD15-FM14)))</f>
        <v>38.8705</v>
      </c>
      <c r="FF15" s="18">
        <f>FE15*VLOOKUP('Données projet'!$B$16,Paramètres!$A$1:$I$89,3,0)*VLOOKUP('Données projet'!$B$16,Paramètres!$A$1:$I$89,5,0)</f>
        <v>23.244559000000002</v>
      </c>
      <c r="FG15" s="14">
        <f t="shared" si="47"/>
        <v>7.427344623587441</v>
      </c>
      <c r="FH15" s="22">
        <f t="shared" si="22"/>
        <v>53.420232144414797</v>
      </c>
      <c r="FI15" s="60">
        <f t="shared" si="23"/>
        <v>324.75356547774811</v>
      </c>
      <c r="FJ15" s="60">
        <f ca="1">AVERAGE(OFFSET($FI$3,0,0,'Données projet'!$E$16+1,1))-AVERAGE(OFFSET($H$3,0,0,'Données projet'!$E$16+1,1))</f>
        <v>207.03241199974599</v>
      </c>
      <c r="FK15" s="60">
        <f t="shared" si="48"/>
        <v>314.188568589113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2.2649572649572649</v>
      </c>
      <c r="N16" s="14">
        <f>IF('Données projet'!$A$36&gt;35,N15+M16-V15,IF(A16&lt;'Données projet'!$A$36,$K$205^A16,IF(A16='Données projet'!$A$36,'Données projet'!$B$36,N15+M16-V15)))</f>
        <v>21.232335519110155</v>
      </c>
      <c r="O16" s="14">
        <f>N16*VLOOKUP('Données projet'!$B$9,Paramètres!$A$1:$I$89,3,0)*VLOOKUP('Données projet'!$B$9,Paramètres!$A$1:$I$89,5,0)</f>
        <v>20.204690479985224</v>
      </c>
      <c r="P16" s="14">
        <f t="shared" si="33"/>
        <v>6.5622025364151133</v>
      </c>
      <c r="Q16" s="22">
        <f t="shared" si="2"/>
        <v>46.619005336897253</v>
      </c>
      <c r="R16" s="60">
        <f t="shared" si="0"/>
        <v>319.1745608924528</v>
      </c>
      <c r="S16" s="60">
        <f ca="1">AVERAGE(OFFSET($R$3,0,0,'Données projet'!$E$9+1,1))-AVERAGE(OFFSET($H$3,0,0,'Données projet'!$E$9+1,1))</f>
        <v>353.61481736740694</v>
      </c>
      <c r="T16" s="60">
        <f t="shared" si="34"/>
        <v>244.7141066773861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10.98065702026792</v>
      </c>
      <c r="AK16" s="14">
        <f t="shared" si="35"/>
        <v>3.8286992592655618</v>
      </c>
      <c r="AL16" s="22">
        <f t="shared" si="4"/>
        <v>25.792962186854144</v>
      </c>
      <c r="AM16" s="60">
        <f t="shared" si="5"/>
        <v>298.34851774240968</v>
      </c>
      <c r="AN16" s="60">
        <f ca="1">AVERAGE(OFFSET($AM$3,0,0,'Données projet'!$E$10+1,1))-AVERAGE(OFFSET($H$3,0,0,'Données projet'!$E$10+1,1))</f>
        <v>455.50822833641354</v>
      </c>
      <c r="AO16" s="60">
        <f t="shared" si="36"/>
        <v>261.14722581688039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11.866193876741139</v>
      </c>
      <c r="BF16" s="14">
        <f t="shared" si="37"/>
        <v>4.100281305221487</v>
      </c>
      <c r="BG16" s="22">
        <f t="shared" si="7"/>
        <v>27.808277608584905</v>
      </c>
      <c r="BH16" s="60">
        <f t="shared" si="8"/>
        <v>300.36383316414043</v>
      </c>
      <c r="BI16" s="60">
        <f ca="1">AVERAGE(OFFSET($BH$3,0,0,'Données projet'!$E$11+1,1))-AVERAGE(OFFSET($H$3,0,0,'Données projet'!$E$11+1,1))</f>
        <v>488.7825919901664</v>
      </c>
      <c r="BJ16" s="60">
        <f t="shared" si="38"/>
        <v>278.78817181412438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11.511979134151852</v>
      </c>
      <c r="CA16" s="14">
        <f t="shared" si="39"/>
        <v>3.9919417855793822</v>
      </c>
      <c r="CB16" s="22">
        <f t="shared" si="10"/>
        <v>27.002662268531896</v>
      </c>
      <c r="CC16" s="60">
        <f t="shared" si="11"/>
        <v>299.55821782408742</v>
      </c>
      <c r="CD16" s="60">
        <f ca="1">AVERAGE(OFFSET($CC$3,0,0,'Données projet'!$E$12+1,1))-AVERAGE(OFFSET($H$3,0,0,'Données projet'!$E$12+1,1))</f>
        <v>475.47920969424894</v>
      </c>
      <c r="CE16" s="60">
        <f t="shared" si="40"/>
        <v>271.73544012419364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10.272227535089344</v>
      </c>
      <c r="CV16" s="14">
        <f t="shared" si="41"/>
        <v>3.6095987912522753</v>
      </c>
      <c r="CW16" s="22">
        <f t="shared" si="13"/>
        <v>24.177514185044988</v>
      </c>
      <c r="CX16" s="60">
        <f t="shared" si="14"/>
        <v>296.73306974060051</v>
      </c>
      <c r="CY16" s="60">
        <f ca="1">AVERAGE(OFFSET($CX$3,0,0,'Données projet'!$E$13+1,1))-AVERAGE(OFFSET($H$3,0,0,'Données projet'!$E$13+1,1))</f>
        <v>428.8489304403459</v>
      </c>
      <c r="CZ16" s="60">
        <f t="shared" si="42"/>
        <v>247.01165577562966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12.220408619330426</v>
      </c>
      <c r="DQ16" s="14">
        <f t="shared" si="43"/>
        <v>4.2082449797185175</v>
      </c>
      <c r="DR16" s="22">
        <f t="shared" si="16"/>
        <v>28.613238351676909</v>
      </c>
      <c r="DS16" s="60">
        <f t="shared" si="17"/>
        <v>301.16879390723244</v>
      </c>
      <c r="DT16" s="60">
        <f ca="1">AVERAGE(OFFSET($DS$3,0,0,'Données projet'!$E$14+1,1))-AVERAGE(OFFSET($H$3,0,0,'Données projet'!$E$14+1,1))</f>
        <v>502.07782026233912</v>
      </c>
      <c r="DU16" s="60">
        <f t="shared" si="44"/>
        <v>285.83623046025156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5.5909090909090908</v>
      </c>
      <c r="EJ16" s="13">
        <f>IF('Données projet'!$A$192&gt;35,EJ15+EI16-ER15,IF(A16&lt;'Données projet'!$A$192,$EG$205^A16,IF(A16='Données projet'!$A$192,'Données projet'!$B$192,EJ15+EI16-ER15)))</f>
        <v>17.17686607257264</v>
      </c>
      <c r="EK16" s="18">
        <f>EJ16*VLOOKUP('Données projet'!$B$15,Paramètres!$A$1:$I$89,3,0)*VLOOKUP('Données projet'!$B$15,Paramètres!$A$1:$I$89,5,0)</f>
        <v>10.27176591139844</v>
      </c>
      <c r="EL16" s="14">
        <f t="shared" si="45"/>
        <v>3.609455460548272</v>
      </c>
      <c r="EM16" s="22">
        <f t="shared" si="19"/>
        <v>24.176460556140523</v>
      </c>
      <c r="EN16" s="60">
        <f t="shared" si="20"/>
        <v>296.73201611169605</v>
      </c>
      <c r="EO16" s="60">
        <f ca="1">AVERAGE(OFFSET($EN$3,0,0,'Données projet'!$E$15+1,1))-AVERAGE(OFFSET($H$3,0,0,'Données projet'!$E$15+1,1))</f>
        <v>392.62423122800357</v>
      </c>
      <c r="EP16" s="60">
        <f t="shared" si="46"/>
        <v>314.09619163968642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>
        <f>VLOOKUP(A16,'Données projet'!$A$217:$I$237,2,0)</f>
        <v>53.7455</v>
      </c>
      <c r="FC16" s="13">
        <f>VLOOKUP(A16,'Données projet'!$A$217:$I$237,9,0)</f>
        <v>14.875</v>
      </c>
      <c r="FD16" s="13">
        <f t="array" ref="FD16">INDEX(FC:FC,MIN(IF(ISNUMBER(FC16:FC212),ROW(FC16:FC212),"")))</f>
        <v>14.875</v>
      </c>
      <c r="FE16" s="13">
        <f>IF('Données projet'!$A$218&gt;35,FE15+FD16-FM15,IF(A16&lt;'Données projet'!$A$218,$FB$205^A16,IF(A16='Données projet'!$A$218,'Données projet'!$B$218,FE15+FD16-FM15)))</f>
        <v>53.7455</v>
      </c>
      <c r="FF16" s="18">
        <f>FE16*VLOOKUP('Données projet'!$B$16,Paramètres!$A$1:$I$89,3,0)*VLOOKUP('Données projet'!$B$16,Paramètres!$A$1:$I$89,5,0)</f>
        <v>32.139809000000007</v>
      </c>
      <c r="FG16" s="14">
        <f t="shared" si="47"/>
        <v>9.8895269261794354</v>
      </c>
      <c r="FH16" s="22">
        <f t="shared" si="22"/>
        <v>73.201093404762517</v>
      </c>
      <c r="FI16" s="60">
        <f t="shared" si="23"/>
        <v>345.75664896031805</v>
      </c>
      <c r="FJ16" s="60">
        <f ca="1">AVERAGE(OFFSET($FI$3,0,0,'Données projet'!$E$16+1,1))-AVERAGE(OFFSET($H$3,0,0,'Données projet'!$E$16+1,1))</f>
        <v>207.03241199974599</v>
      </c>
      <c r="FK16" s="60">
        <f t="shared" si="48"/>
        <v>314.188568589113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2.2649572649572649</v>
      </c>
      <c r="N17" s="14">
        <f>IF('Données projet'!$A$36&gt;35,N16+M17-V16,IF(A17&lt;'Données projet'!$A$36,$K$205^A17,IF(A17='Données projet'!$A$36,'Données projet'!$B$36,N16+M17-V16)))</f>
        <v>26.85805258745096</v>
      </c>
      <c r="O17" s="14">
        <f>N17*VLOOKUP('Données projet'!$B$9,Paramètres!$A$1:$I$89,3,0)*VLOOKUP('Données projet'!$B$9,Paramètres!$A$1:$I$89,5,0)</f>
        <v>25.558122842218335</v>
      </c>
      <c r="P17" s="14">
        <f t="shared" si="33"/>
        <v>8.0768989211970617</v>
      </c>
      <c r="Q17" s="22">
        <f t="shared" si="2"/>
        <v>58.580996237948476</v>
      </c>
      <c r="R17" s="60">
        <f t="shared" si="0"/>
        <v>332.35877401572623</v>
      </c>
      <c r="S17" s="60">
        <f ca="1">AVERAGE(OFFSET($R$3,0,0,'Données projet'!$E$9+1,1))-AVERAGE(OFFSET($H$3,0,0,'Données projet'!$E$9+1,1))</f>
        <v>353.61481736740694</v>
      </c>
      <c r="T17" s="60">
        <f t="shared" si="34"/>
        <v>244.7141066773861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13.237037254068934</v>
      </c>
      <c r="AK17" s="14">
        <f t="shared" si="35"/>
        <v>4.5161297192961545</v>
      </c>
      <c r="AL17" s="22">
        <f t="shared" si="4"/>
        <v>30.920099145277529</v>
      </c>
      <c r="AM17" s="60">
        <f t="shared" si="5"/>
        <v>304.69787692305528</v>
      </c>
      <c r="AN17" s="60">
        <f ca="1">AVERAGE(OFFSET($AM$3,0,0,'Données projet'!$E$10+1,1))-AVERAGE(OFFSET($H$3,0,0,'Données projet'!$E$10+1,1))</f>
        <v>455.50822833641354</v>
      </c>
      <c r="AO17" s="60">
        <f t="shared" si="36"/>
        <v>261.14722581688039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14.304540258429331</v>
      </c>
      <c r="BF17" s="14">
        <f t="shared" si="37"/>
        <v>4.8364734355075134</v>
      </c>
      <c r="BG17" s="22">
        <f t="shared" si="7"/>
        <v>33.337265516940001</v>
      </c>
      <c r="BH17" s="60">
        <f t="shared" si="8"/>
        <v>307.11504329471779</v>
      </c>
      <c r="BI17" s="60">
        <f ca="1">AVERAGE(OFFSET($BH$3,0,0,'Données projet'!$E$11+1,1))-AVERAGE(OFFSET($H$3,0,0,'Données projet'!$E$11+1,1))</f>
        <v>488.7825919901664</v>
      </c>
      <c r="BJ17" s="60">
        <f t="shared" si="38"/>
        <v>278.78817181412438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13.877539056685173</v>
      </c>
      <c r="CA17" s="14">
        <f t="shared" si="39"/>
        <v>4.7086819085950955</v>
      </c>
      <c r="CB17" s="22">
        <f t="shared" si="10"/>
        <v>32.371001514529802</v>
      </c>
      <c r="CC17" s="60">
        <f t="shared" si="11"/>
        <v>306.14877929230755</v>
      </c>
      <c r="CD17" s="60">
        <f ca="1">AVERAGE(OFFSET($CC$3,0,0,'Données projet'!$E$12+1,1))-AVERAGE(OFFSET($H$3,0,0,'Données projet'!$E$12+1,1))</f>
        <v>475.47920969424894</v>
      </c>
      <c r="CE17" s="60">
        <f t="shared" si="40"/>
        <v>271.73544012419364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12.383034850580612</v>
      </c>
      <c r="CV17" s="14">
        <f t="shared" si="41"/>
        <v>4.2576904771143838</v>
      </c>
      <c r="CW17" s="22">
        <f t="shared" si="13"/>
        <v>28.982596612402116</v>
      </c>
      <c r="CX17" s="60">
        <f t="shared" si="14"/>
        <v>302.76037439017989</v>
      </c>
      <c r="CY17" s="60">
        <f ca="1">AVERAGE(OFFSET($CX$3,0,0,'Données projet'!$E$13+1,1))-AVERAGE(OFFSET($H$3,0,0,'Données projet'!$E$13+1,1))</f>
        <v>428.8489304403459</v>
      </c>
      <c r="CZ17" s="60">
        <f t="shared" si="42"/>
        <v>247.01165577562966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14.731541460173487</v>
      </c>
      <c r="DQ17" s="14">
        <f t="shared" si="43"/>
        <v>4.9638216355053304</v>
      </c>
      <c r="DR17" s="22">
        <f t="shared" si="16"/>
        <v>34.302757391640604</v>
      </c>
      <c r="DS17" s="60">
        <f t="shared" si="17"/>
        <v>308.0805351694184</v>
      </c>
      <c r="DT17" s="60">
        <f ca="1">AVERAGE(OFFSET($DS$3,0,0,'Données projet'!$E$14+1,1))-AVERAGE(OFFSET($H$3,0,0,'Données projet'!$E$14+1,1))</f>
        <v>502.07782026233912</v>
      </c>
      <c r="DU17" s="60">
        <f t="shared" si="44"/>
        <v>285.83623046025156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5.5909090909090908</v>
      </c>
      <c r="EJ17" s="13">
        <f>IF('Données projet'!$A$192&gt;35,EJ16+EI17-ER16,IF(A17&lt;'Données projet'!$A$192,$EG$205^A17,IF(A17='Données projet'!$A$192,'Données projet'!$B$192,EJ16+EI17-ER16)))</f>
        <v>21.376648512419013</v>
      </c>
      <c r="EK17" s="18">
        <f>EJ17*VLOOKUP('Données projet'!$B$15,Paramètres!$A$1:$I$89,3,0)*VLOOKUP('Données projet'!$B$15,Paramètres!$A$1:$I$89,5,0)</f>
        <v>12.783235810426572</v>
      </c>
      <c r="EL17" s="14">
        <f t="shared" si="45"/>
        <v>4.3790497183898731</v>
      </c>
      <c r="EM17" s="22">
        <f t="shared" si="19"/>
        <v>29.890980629355308</v>
      </c>
      <c r="EN17" s="60">
        <f t="shared" si="20"/>
        <v>303.66875840713305</v>
      </c>
      <c r="EO17" s="60">
        <f ca="1">AVERAGE(OFFSET($EN$3,0,0,'Données projet'!$E$15+1,1))-AVERAGE(OFFSET($H$3,0,0,'Données projet'!$E$15+1,1))</f>
        <v>392.62423122800357</v>
      </c>
      <c r="EP17" s="60">
        <f t="shared" si="46"/>
        <v>314.09619163968642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>
        <f>VLOOKUP(A17,'Données projet'!$A$217:$I$237,2,0)</f>
        <v>70.405500000000004</v>
      </c>
      <c r="FC17" s="13">
        <f>VLOOKUP(A17,'Données projet'!$A$217:$I$237,9,0)</f>
        <v>16.660000000000004</v>
      </c>
      <c r="FD17" s="13">
        <f t="array" ref="FD17">INDEX(FC:FC,MIN(IF(ISNUMBER(FC17:FC213),ROW(FC17:FC213),"")))</f>
        <v>16.660000000000004</v>
      </c>
      <c r="FE17" s="13">
        <f>IF('Données projet'!$A$218&gt;35,FE16+FD17-FM16,IF(A17&lt;'Données projet'!$A$218,$FB$205^A17,IF(A17='Données projet'!$A$218,'Données projet'!$B$218,FE16+FD17-FM16)))</f>
        <v>70.405500000000004</v>
      </c>
      <c r="FF17" s="18">
        <f>FE17*VLOOKUP('Données projet'!$B$16,Paramètres!$A$1:$I$89,3,0)*VLOOKUP('Données projet'!$B$16,Paramètres!$A$1:$I$89,5,0)</f>
        <v>42.102489000000006</v>
      </c>
      <c r="FG17" s="14">
        <f t="shared" si="47"/>
        <v>12.55423955359754</v>
      </c>
      <c r="FH17" s="22">
        <f t="shared" si="22"/>
        <v>95.193802230849045</v>
      </c>
      <c r="FI17" s="60">
        <f t="shared" si="23"/>
        <v>368.9715800086268</v>
      </c>
      <c r="FJ17" s="60">
        <f ca="1">AVERAGE(OFFSET($FI$3,0,0,'Données projet'!$E$16+1,1))-AVERAGE(OFFSET($H$3,0,0,'Données projet'!$E$16+1,1))</f>
        <v>207.03241199974599</v>
      </c>
      <c r="FK17" s="60">
        <f t="shared" si="48"/>
        <v>314.188568589113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33.974358974358971</v>
      </c>
      <c r="L18" s="13">
        <f>VLOOKUP(A18,'Données projet'!$A$35:$I$55,9,0)</f>
        <v>2.2649572649572649</v>
      </c>
      <c r="M18" s="13">
        <f t="array" ref="M18">INDEX(L:L,MIN(IF(ISNUMBER(L18:L214),ROW(L18:L214),"")))</f>
        <v>2.2649572649572649</v>
      </c>
      <c r="N18" s="14">
        <f>IF('Données projet'!$A$36&gt;35,N17+M18-V17,IF(A18&lt;'Données projet'!$A$36,$K$205^A18,IF(A18='Données projet'!$A$36,'Données projet'!$B$36,N17+M18-V17)))</f>
        <v>33.974358974358971</v>
      </c>
      <c r="O18" s="14">
        <f>N18*VLOOKUP('Données projet'!$B$9,Paramètres!$A$1:$I$89,3,0)*VLOOKUP('Données projet'!$B$9,Paramètres!$A$1:$I$89,5,0)</f>
        <v>32.33</v>
      </c>
      <c r="P18" s="14">
        <f t="shared" si="33"/>
        <v>9.9412195556634533</v>
      </c>
      <c r="Q18" s="22">
        <f t="shared" si="2"/>
        <v>73.622374059447182</v>
      </c>
      <c r="R18" s="60">
        <f t="shared" si="0"/>
        <v>348.62237405944717</v>
      </c>
      <c r="S18" s="60">
        <f ca="1">AVERAGE(OFFSET($R$3,0,0,'Données projet'!$E$9+1,1))-AVERAGE(OFFSET($H$3,0,0,'Données projet'!$E$9+1,1))</f>
        <v>353.61481736740694</v>
      </c>
      <c r="T18" s="60">
        <f t="shared" si="34"/>
        <v>244.7141066773861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15.957073874741019</v>
      </c>
      <c r="AK18" s="14">
        <f t="shared" si="35"/>
        <v>5.3269860755326848</v>
      </c>
      <c r="AL18" s="22">
        <f t="shared" si="4"/>
        <v>37.069737746726702</v>
      </c>
      <c r="AM18" s="60">
        <f t="shared" si="5"/>
        <v>312.06973774672667</v>
      </c>
      <c r="AN18" s="60">
        <f ca="1">AVERAGE(OFFSET($AM$3,0,0,'Données projet'!$E$10+1,1))-AVERAGE(OFFSET($H$3,0,0,'Données projet'!$E$10+1,1))</f>
        <v>455.50822833641354</v>
      </c>
      <c r="AO18" s="60">
        <f t="shared" si="36"/>
        <v>261.14722581688039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17.243934671091104</v>
      </c>
      <c r="BF18" s="14">
        <f t="shared" si="37"/>
        <v>5.704846460798203</v>
      </c>
      <c r="BG18" s="22">
        <f t="shared" si="7"/>
        <v>39.969127138040541</v>
      </c>
      <c r="BH18" s="60">
        <f t="shared" si="8"/>
        <v>314.96912713804056</v>
      </c>
      <c r="BI18" s="60">
        <f ca="1">AVERAGE(OFFSET($BH$3,0,0,'Données projet'!$E$11+1,1))-AVERAGE(OFFSET($H$3,0,0,'Données projet'!$E$11+1,1))</f>
        <v>488.7825919901664</v>
      </c>
      <c r="BJ18" s="60">
        <f t="shared" si="38"/>
        <v>278.78817181412438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16.729190352551068</v>
      </c>
      <c r="CA18" s="14">
        <f t="shared" si="39"/>
        <v>5.5541103821765283</v>
      </c>
      <c r="CB18" s="22">
        <f t="shared" si="10"/>
        <v>38.810082112983899</v>
      </c>
      <c r="CC18" s="60">
        <f t="shared" si="11"/>
        <v>313.81008211298388</v>
      </c>
      <c r="CD18" s="60">
        <f ca="1">AVERAGE(OFFSET($CC$3,0,0,'Données projet'!$E$12+1,1))-AVERAGE(OFFSET($H$3,0,0,'Données projet'!$E$12+1,1))</f>
        <v>475.47920969424894</v>
      </c>
      <c r="CE18" s="60">
        <f t="shared" si="40"/>
        <v>271.73544012419364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14.927585237660953</v>
      </c>
      <c r="CV18" s="14">
        <f t="shared" si="41"/>
        <v>5.0221449106318534</v>
      </c>
      <c r="CW18" s="22">
        <f t="shared" si="13"/>
        <v>34.745780008276633</v>
      </c>
      <c r="CX18" s="60">
        <f t="shared" si="14"/>
        <v>309.74578000827665</v>
      </c>
      <c r="CY18" s="60">
        <f ca="1">AVERAGE(OFFSET($CX$3,0,0,'Données projet'!$E$13+1,1))-AVERAGE(OFFSET($H$3,0,0,'Données projet'!$E$13+1,1))</f>
        <v>428.8489304403459</v>
      </c>
      <c r="CZ18" s="60">
        <f t="shared" si="42"/>
        <v>247.01165577562966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17.758678989631132</v>
      </c>
      <c r="DQ18" s="14">
        <f t="shared" si="43"/>
        <v>5.8550596146042126</v>
      </c>
      <c r="DR18" s="22">
        <f t="shared" si="16"/>
        <v>41.127261402376554</v>
      </c>
      <c r="DS18" s="60">
        <f t="shared" si="17"/>
        <v>316.12726140237658</v>
      </c>
      <c r="DT18" s="60">
        <f ca="1">AVERAGE(OFFSET($DS$3,0,0,'Données projet'!$E$14+1,1))-AVERAGE(OFFSET($H$3,0,0,'Données projet'!$E$14+1,1))</f>
        <v>502.07782026233912</v>
      </c>
      <c r="DU18" s="60">
        <f t="shared" si="44"/>
        <v>285.83623046025156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5.5909090909090908</v>
      </c>
      <c r="EJ18" s="13">
        <f>IF('Données projet'!$A$192&gt;35,EJ17+EI18-ER17,IF(A18&lt;'Données projet'!$A$192,$EG$205^A18,IF(A18='Données projet'!$A$192,'Données projet'!$B$192,EJ17+EI18-ER17)))</f>
        <v>26.603287217402478</v>
      </c>
      <c r="EK18" s="18">
        <f>EJ18*VLOOKUP('Données projet'!$B$15,Paramètres!$A$1:$I$89,3,0)*VLOOKUP('Données projet'!$B$15,Paramètres!$A$1:$I$89,5,0)</f>
        <v>15.908765756006684</v>
      </c>
      <c r="EL18" s="14">
        <f t="shared" si="45"/>
        <v>5.312733913945455</v>
      </c>
      <c r="EM18" s="22">
        <f t="shared" si="19"/>
        <v>36.960778591833304</v>
      </c>
      <c r="EN18" s="60">
        <f t="shared" si="20"/>
        <v>311.96077859183333</v>
      </c>
      <c r="EO18" s="60">
        <f ca="1">AVERAGE(OFFSET($EN$3,0,0,'Données projet'!$E$15+1,1))-AVERAGE(OFFSET($H$3,0,0,'Données projet'!$E$15+1,1))</f>
        <v>392.62423122800357</v>
      </c>
      <c r="EP18" s="60">
        <f t="shared" si="46"/>
        <v>314.09619163968642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88.859000000000009</v>
      </c>
      <c r="FC18" s="13">
        <f>VLOOKUP(A18,'Données projet'!$A$217:$I$237,9,0)</f>
        <v>18.453500000000005</v>
      </c>
      <c r="FD18" s="13">
        <f t="array" ref="FD18">INDEX(FC:FC,MIN(IF(ISNUMBER(FC18:FC214),ROW(FC18:FC214),"")))</f>
        <v>18.453500000000005</v>
      </c>
      <c r="FE18" s="13">
        <f>IF('Données projet'!$A$218&gt;35,FE17+FD18-FM17,IF(A18&lt;'Données projet'!$A$218,$FB$205^A18,IF(A18='Données projet'!$A$218,'Données projet'!$B$218,FE17+FD18-FM17)))</f>
        <v>88.859000000000009</v>
      </c>
      <c r="FF18" s="18">
        <f>FE18*VLOOKUP('Données projet'!$B$16,Paramètres!$A$1:$I$89,3,0)*VLOOKUP('Données projet'!$B$16,Paramètres!$A$1:$I$89,5,0)</f>
        <v>53.137682000000012</v>
      </c>
      <c r="FG18" s="14">
        <f t="shared" si="47"/>
        <v>15.421187125360523</v>
      </c>
      <c r="FH18" s="22">
        <f t="shared" si="22"/>
        <v>119.40669706000294</v>
      </c>
      <c r="FI18" s="60">
        <f t="shared" si="23"/>
        <v>394.40669706000295</v>
      </c>
      <c r="FJ18" s="60">
        <f ca="1">AVERAGE(OFFSET($FI$3,0,0,'Données projet'!$E$16+1,1))-AVERAGE(OFFSET($H$3,0,0,'Données projet'!$E$16+1,1))</f>
        <v>207.03241199974599</v>
      </c>
      <c r="FK18" s="60">
        <f t="shared" si="48"/>
        <v>314.188568589113</v>
      </c>
      <c r="FL18" s="16">
        <f>IF(ISNA(VLOOKUP(A18,'Données projet'!$A$217:$I$237,3,0)),0,VLOOKUP(A18,'Données projet'!$A$217:$I$237,3,0))</f>
        <v>1</v>
      </c>
      <c r="FM18" s="16">
        <f>IF(ISNA(VLOOKUP(A18,'Données projet'!$A$217:$I$237,4,0)),0,VLOOKUP(A18,'Données projet'!$A$217:$I$237,4,0))</f>
        <v>23.3155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0.22500000000000001</v>
      </c>
      <c r="FP18" s="17">
        <f>IF(ISNA(VLOOKUP(A18,'Données projet'!$A$217:$I$237,7,0)),0%,VLOOKUP(A18,'Données projet'!$A$217:$I$237,7,0))</f>
        <v>0.5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4.1451803783874421</v>
      </c>
      <c r="FS18" s="23">
        <f>EXP(-LN(2)/2)*FS17+(1-EXP(-LN(2)/2))/(LN(2)/2)*FM18*FP18*VLOOKUP('Données projet'!$B$16,Paramètres!$A$1:$I$89,3,0)*0.475*44/12</f>
        <v>7.8931700777605167</v>
      </c>
      <c r="FT18" s="24">
        <f t="shared" si="24"/>
        <v>12.03835045614796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5.8974358974358978</v>
      </c>
      <c r="N19" s="14">
        <f>IF('Données projet'!$A$36&gt;35,N18+M19-V18,IF(A19&lt;'Données projet'!$A$36,$K$205^A19,IF(A19='Données projet'!$A$36,'Données projet'!$B$36,N18+M19-V18)))</f>
        <v>39.871794871794869</v>
      </c>
      <c r="O19" s="14">
        <f>N19*VLOOKUP('Données projet'!$B$9,Paramètres!$A$1:$I$89,3,0)*VLOOKUP('Données projet'!$B$9,Paramètres!$A$1:$I$89,5,0)</f>
        <v>37.941999999999993</v>
      </c>
      <c r="P19" s="14">
        <f t="shared" si="33"/>
        <v>11.45150826835841</v>
      </c>
      <c r="Q19" s="22">
        <f t="shared" si="2"/>
        <v>86.027026900724209</v>
      </c>
      <c r="R19" s="60">
        <f t="shared" si="0"/>
        <v>362.24924912294642</v>
      </c>
      <c r="S19" s="60">
        <f ca="1">AVERAGE(OFFSET($R$3,0,0,'Données projet'!$E$9+1,1))-AVERAGE(OFFSET($H$3,0,0,'Données projet'!$E$9+1,1))</f>
        <v>353.61481736740694</v>
      </c>
      <c r="T19" s="60">
        <f t="shared" si="34"/>
        <v>244.7141066773861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19.236042156311996</v>
      </c>
      <c r="AK19" s="14">
        <f t="shared" si="35"/>
        <v>6.2834290449348904</v>
      </c>
      <c r="AL19" s="22">
        <f t="shared" si="4"/>
        <v>44.446412342171662</v>
      </c>
      <c r="AM19" s="60">
        <f t="shared" si="5"/>
        <v>320.66863456439387</v>
      </c>
      <c r="AN19" s="60">
        <f ca="1">AVERAGE(OFFSET($AM$3,0,0,'Données projet'!$E$10+1,1))-AVERAGE(OFFSET($H$3,0,0,'Données projet'!$E$10+1,1))</f>
        <v>455.50822833641354</v>
      </c>
      <c r="AO19" s="60">
        <f t="shared" si="36"/>
        <v>261.14722581688039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20.787335878595226</v>
      </c>
      <c r="BF19" s="14">
        <f t="shared" si="37"/>
        <v>6.7291330295225098</v>
      </c>
      <c r="BG19" s="22">
        <f t="shared" si="7"/>
        <v>47.924516681638387</v>
      </c>
      <c r="BH19" s="60">
        <f t="shared" si="8"/>
        <v>324.14673890386064</v>
      </c>
      <c r="BI19" s="60">
        <f ca="1">AVERAGE(OFFSET($BH$3,0,0,'Données projet'!$E$11+1,1))-AVERAGE(OFFSET($H$3,0,0,'Données projet'!$E$11+1,1))</f>
        <v>488.7825919901664</v>
      </c>
      <c r="BJ19" s="60">
        <f t="shared" si="38"/>
        <v>278.78817181412438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20.166818389681932</v>
      </c>
      <c r="CA19" s="14">
        <f t="shared" si="39"/>
        <v>6.5513327797938032</v>
      </c>
      <c r="CB19" s="22">
        <f t="shared" si="10"/>
        <v>46.534113286836906</v>
      </c>
      <c r="CC19" s="60">
        <f t="shared" si="11"/>
        <v>322.75633550905911</v>
      </c>
      <c r="CD19" s="60">
        <f ca="1">AVERAGE(OFFSET($CC$3,0,0,'Données projet'!$E$12+1,1))-AVERAGE(OFFSET($H$3,0,0,'Données projet'!$E$12+1,1))</f>
        <v>475.47920969424894</v>
      </c>
      <c r="CE19" s="60">
        <f t="shared" si="40"/>
        <v>271.73544012419364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17.995007178485412</v>
      </c>
      <c r="CV19" s="14">
        <f t="shared" si="41"/>
        <v>5.9238546434872337</v>
      </c>
      <c r="CW19" s="22">
        <f t="shared" si="13"/>
        <v>41.658684339935689</v>
      </c>
      <c r="CX19" s="60">
        <f t="shared" si="14"/>
        <v>317.88090656215792</v>
      </c>
      <c r="CY19" s="60">
        <f ca="1">AVERAGE(OFFSET($CX$3,0,0,'Données projet'!$E$13+1,1))-AVERAGE(OFFSET($H$3,0,0,'Données projet'!$E$13+1,1))</f>
        <v>428.8489304403459</v>
      </c>
      <c r="CZ19" s="60">
        <f t="shared" si="42"/>
        <v>247.01165577562966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21.407853367508512</v>
      </c>
      <c r="DQ19" s="14">
        <f t="shared" si="43"/>
        <v>6.906316464991046</v>
      </c>
      <c r="DR19" s="22">
        <f t="shared" si="16"/>
        <v>49.313845791603399</v>
      </c>
      <c r="DS19" s="60">
        <f t="shared" si="17"/>
        <v>325.53606801382563</v>
      </c>
      <c r="DT19" s="60">
        <f ca="1">AVERAGE(OFFSET($DS$3,0,0,'Données projet'!$E$14+1,1))-AVERAGE(OFFSET($H$3,0,0,'Données projet'!$E$14+1,1))</f>
        <v>502.07782026233912</v>
      </c>
      <c r="DU19" s="60">
        <f t="shared" si="44"/>
        <v>285.83623046025156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5.5909090909090908</v>
      </c>
      <c r="EJ19" s="13">
        <f>IF('Données projet'!$A$192&gt;35,EJ18+EI19-ER18,IF(A19&lt;'Données projet'!$A$192,$EG$205^A19,IF(A19='Données projet'!$A$192,'Données projet'!$B$192,EJ18+EI19-ER18)))</f>
        <v>33.107850856996748</v>
      </c>
      <c r="EK19" s="18">
        <f>EJ19*VLOOKUP('Données projet'!$B$15,Paramètres!$A$1:$I$89,3,0)*VLOOKUP('Données projet'!$B$15,Paramètres!$A$1:$I$89,5,0)</f>
        <v>19.798494812484059</v>
      </c>
      <c r="EL19" s="14">
        <f t="shared" si="45"/>
        <v>6.4454946747588586</v>
      </c>
      <c r="EM19" s="22">
        <f t="shared" si="19"/>
        <v>45.70828169028141</v>
      </c>
      <c r="EN19" s="60">
        <f t="shared" si="20"/>
        <v>321.93050391250364</v>
      </c>
      <c r="EO19" s="60">
        <f ca="1">AVERAGE(OFFSET($EN$3,0,0,'Données projet'!$E$15+1,1))-AVERAGE(OFFSET($H$3,0,0,'Données projet'!$E$15+1,1))</f>
        <v>392.62423122800357</v>
      </c>
      <c r="EP19" s="60">
        <f t="shared" si="46"/>
        <v>314.09619163968642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>
        <f>VLOOKUP(A19,'Données projet'!$A$217:$I$237,2,0)</f>
        <v>78.208500000000001</v>
      </c>
      <c r="FC19" s="13">
        <f>VLOOKUP(A19,'Données projet'!$A$217:$I$237,9,0)</f>
        <v>12.664999999999992</v>
      </c>
      <c r="FD19" s="13">
        <f t="array" ref="FD19">INDEX(FC:FC,MIN(IF(ISNUMBER(FC19:FC215),ROW(FC19:FC215),"")))</f>
        <v>12.664999999999992</v>
      </c>
      <c r="FE19" s="13">
        <f>IF('Données projet'!$A$218&gt;35,FE18+FD19-FM18,IF(A19&lt;'Données projet'!$A$218,$FB$205^A19,IF(A19='Données projet'!$A$218,'Données projet'!$B$218,FE18+FD19-FM18)))</f>
        <v>78.208500000000001</v>
      </c>
      <c r="FF19" s="18">
        <f>FE19*VLOOKUP('Données projet'!$B$16,Paramètres!$A$1:$I$89,3,0)*VLOOKUP('Données projet'!$B$16,Paramètres!$A$1:$I$89,5,0)</f>
        <v>46.768683000000003</v>
      </c>
      <c r="FG19" s="14">
        <f t="shared" si="47"/>
        <v>13.776041008898259</v>
      </c>
      <c r="FH19" s="22">
        <f t="shared" si="22"/>
        <v>105.44872764883114</v>
      </c>
      <c r="FI19" s="60">
        <f t="shared" si="23"/>
        <v>381.67094987105338</v>
      </c>
      <c r="FJ19" s="60">
        <f ca="1">AVERAGE(OFFSET($FI$3,0,0,'Données projet'!$E$16+1,1))-AVERAGE(OFFSET($H$3,0,0,'Données projet'!$E$16+1,1))</f>
        <v>207.03241199974599</v>
      </c>
      <c r="FK19" s="60">
        <f t="shared" si="48"/>
        <v>314.188568589113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4.0318302029548754</v>
      </c>
      <c r="FS19" s="23">
        <f>EXP(-LN(2)/2)*FS18+(1-EXP(-LN(2)/2))/(LN(2)/2)*FM19*FP19*VLOOKUP('Données projet'!$B$16,Paramètres!$A$1:$I$89,3,0)*0.475*44/12</f>
        <v>5.5813140870432107</v>
      </c>
      <c r="FT19" s="24">
        <f t="shared" si="24"/>
        <v>9.6131442899980861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5.8974358974358978</v>
      </c>
      <c r="N20" s="14">
        <f>IF('Données projet'!$A$36&gt;35,N19+M20-V19,IF(A20&lt;'Données projet'!$A$36,$K$205^A20,IF(A20='Données projet'!$A$36,'Données projet'!$B$36,N19+M20-V19)))</f>
        <v>45.769230769230766</v>
      </c>
      <c r="O20" s="14">
        <f>N20*VLOOKUP('Données projet'!$B$9,Paramètres!$A$1:$I$89,3,0)*VLOOKUP('Données projet'!$B$9,Paramètres!$A$1:$I$89,5,0)</f>
        <v>43.554000000000002</v>
      </c>
      <c r="P20" s="14">
        <f t="shared" si="33"/>
        <v>12.935917793577156</v>
      </c>
      <c r="Q20" s="22">
        <f t="shared" si="2"/>
        <v>98.386606823813551</v>
      </c>
      <c r="R20" s="60">
        <f t="shared" si="0"/>
        <v>375.83105126825802</v>
      </c>
      <c r="S20" s="60">
        <f ca="1">AVERAGE(OFFSET($R$3,0,0,'Données projet'!$E$9+1,1))-AVERAGE(OFFSET($H$3,0,0,'Données projet'!$E$9+1,1))</f>
        <v>353.61481736740694</v>
      </c>
      <c r="T20" s="60">
        <f t="shared" si="34"/>
        <v>244.7141066773861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23.188795185384055</v>
      </c>
      <c r="AK20" s="14">
        <f t="shared" si="35"/>
        <v>7.4115982288884323</v>
      </c>
      <c r="AL20" s="22">
        <f t="shared" si="4"/>
        <v>53.29568519652458</v>
      </c>
      <c r="AM20" s="60">
        <f t="shared" si="5"/>
        <v>330.74012964096903</v>
      </c>
      <c r="AN20" s="60">
        <f ca="1">AVERAGE(OFFSET($AM$3,0,0,'Données projet'!$E$10+1,1))-AVERAGE(OFFSET($H$3,0,0,'Données projet'!$E$10+1,1))</f>
        <v>455.50822833641354</v>
      </c>
      <c r="AO20" s="60">
        <f t="shared" si="36"/>
        <v>261.14722581688039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25.058859313237608</v>
      </c>
      <c r="BF20" s="14">
        <f t="shared" si="37"/>
        <v>7.9373269097018113</v>
      </c>
      <c r="BG20" s="22">
        <f t="shared" si="7"/>
        <v>57.468357671619486</v>
      </c>
      <c r="BH20" s="60">
        <f t="shared" si="8"/>
        <v>334.91280211606397</v>
      </c>
      <c r="BI20" s="60">
        <f ca="1">AVERAGE(OFFSET($BH$3,0,0,'Données projet'!$E$11+1,1))-AVERAGE(OFFSET($H$3,0,0,'Données projet'!$E$11+1,1))</f>
        <v>488.7825919901664</v>
      </c>
      <c r="BJ20" s="60">
        <f t="shared" si="38"/>
        <v>278.78817181412438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24.31083366209619</v>
      </c>
      <c r="CA20" s="14">
        <f t="shared" si="39"/>
        <v>7.7276032052466093</v>
      </c>
      <c r="CB20" s="22">
        <f t="shared" si="10"/>
        <v>55.800277543955367</v>
      </c>
      <c r="CC20" s="60">
        <f t="shared" si="11"/>
        <v>333.24472198839982</v>
      </c>
      <c r="CD20" s="60">
        <f ca="1">AVERAGE(OFFSET($CC$3,0,0,'Données projet'!$E$12+1,1))-AVERAGE(OFFSET($H$3,0,0,'Données projet'!$E$12+1,1))</f>
        <v>475.47920969424894</v>
      </c>
      <c r="CE20" s="60">
        <f t="shared" si="40"/>
        <v>271.73544012419364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21.692743883101215</v>
      </c>
      <c r="CV20" s="14">
        <f t="shared" si="41"/>
        <v>6.98746341685115</v>
      </c>
      <c r="CW20" s="22">
        <f t="shared" si="13"/>
        <v>49.951361047417038</v>
      </c>
      <c r="CX20" s="60">
        <f t="shared" si="14"/>
        <v>327.39580549186149</v>
      </c>
      <c r="CY20" s="60">
        <f ca="1">AVERAGE(OFFSET($CX$3,0,0,'Données projet'!$E$13+1,1))-AVERAGE(OFFSET($H$3,0,0,'Données projet'!$E$13+1,1))</f>
        <v>428.8489304403459</v>
      </c>
      <c r="CZ20" s="60">
        <f t="shared" si="42"/>
        <v>247.01165577562966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25.80688496437903</v>
      </c>
      <c r="DQ20" s="14">
        <f t="shared" si="43"/>
        <v>8.146323052908933</v>
      </c>
      <c r="DR20" s="22">
        <f t="shared" si="16"/>
        <v>59.135170630109862</v>
      </c>
      <c r="DS20" s="60">
        <f t="shared" si="17"/>
        <v>336.57961507455434</v>
      </c>
      <c r="DT20" s="60">
        <f ca="1">AVERAGE(OFFSET($DS$3,0,0,'Données projet'!$E$14+1,1))-AVERAGE(OFFSET($H$3,0,0,'Données projet'!$E$14+1,1))</f>
        <v>502.07782026233912</v>
      </c>
      <c r="DU20" s="60">
        <f t="shared" si="44"/>
        <v>285.83623046025156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5.5909090909090908</v>
      </c>
      <c r="EJ20" s="13">
        <f>IF('Données projet'!$A$192&gt;35,EJ19+EI20-ER19,IF(A20&lt;'Données projet'!$A$192,$EG$205^A20,IF(A20='Données projet'!$A$192,'Données projet'!$B$192,EJ19+EI20-ER19)))</f>
        <v>41.202794955809431</v>
      </c>
      <c r="EK20" s="18">
        <f>EJ20*VLOOKUP('Données projet'!$B$15,Paramètres!$A$1:$I$89,3,0)*VLOOKUP('Données projet'!$B$15,Paramètres!$A$1:$I$89,5,0)</f>
        <v>24.639271383574041</v>
      </c>
      <c r="EL20" s="14">
        <f t="shared" si="45"/>
        <v>7.8197783429910519</v>
      </c>
      <c r="EM20" s="22">
        <f t="shared" si="19"/>
        <v>56.532844940434195</v>
      </c>
      <c r="EN20" s="60">
        <f t="shared" si="20"/>
        <v>333.97728938487865</v>
      </c>
      <c r="EO20" s="60">
        <f ca="1">AVERAGE(OFFSET($EN$3,0,0,'Données projet'!$E$15+1,1))-AVERAGE(OFFSET($H$3,0,0,'Données projet'!$E$15+1,1))</f>
        <v>392.62423122800357</v>
      </c>
      <c r="EP20" s="60">
        <f t="shared" si="46"/>
        <v>314.09619163968642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>
        <f>VLOOKUP(A20,'Données projet'!$A$217:$I$237,2,0)</f>
        <v>88.340500000000006</v>
      </c>
      <c r="FC20" s="13">
        <f>VLOOKUP(A20,'Données projet'!$A$217:$I$237,9,0)</f>
        <v>10.132000000000005</v>
      </c>
      <c r="FD20" s="13">
        <f t="array" ref="FD20">INDEX(FC:FC,MIN(IF(ISNUMBER(FC20:FC216),ROW(FC20:FC216),"")))</f>
        <v>10.132000000000005</v>
      </c>
      <c r="FE20" s="13">
        <f>IF('Données projet'!$A$218&gt;35,FE19+FD20-FM19,IF(A20&lt;'Données projet'!$A$218,$FB$205^A20,IF(A20='Données projet'!$A$218,'Données projet'!$B$218,FE19+FD20-FM19)))</f>
        <v>88.340500000000006</v>
      </c>
      <c r="FF20" s="18">
        <f>FE20*VLOOKUP('Données projet'!$B$16,Paramètres!$A$1:$I$89,3,0)*VLOOKUP('Données projet'!$B$16,Paramètres!$A$1:$I$89,5,0)</f>
        <v>52.827619000000006</v>
      </c>
      <c r="FG20" s="14">
        <f t="shared" si="47"/>
        <v>15.341650229603808</v>
      </c>
      <c r="FH20" s="22">
        <f t="shared" si="22"/>
        <v>118.72814390822663</v>
      </c>
      <c r="FI20" s="60">
        <f t="shared" si="23"/>
        <v>396.17258835267108</v>
      </c>
      <c r="FJ20" s="60">
        <f ca="1">AVERAGE(OFFSET($FI$3,0,0,'Données projet'!$E$16+1,1))-AVERAGE(OFFSET($H$3,0,0,'Données projet'!$E$16+1,1))</f>
        <v>207.03241199974599</v>
      </c>
      <c r="FK20" s="60">
        <f t="shared" si="48"/>
        <v>314.188568589113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3.9215795940303386</v>
      </c>
      <c r="FS20" s="23">
        <f>EXP(-LN(2)/2)*FS19+(1-EXP(-LN(2)/2))/(LN(2)/2)*FM20*FP20*VLOOKUP('Données projet'!$B$16,Paramètres!$A$1:$I$89,3,0)*0.475*44/12</f>
        <v>3.9465850388802592</v>
      </c>
      <c r="FT20" s="24">
        <f t="shared" si="24"/>
        <v>7.8681646329105979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5.8974358974358978</v>
      </c>
      <c r="N21" s="14">
        <f>IF('Données projet'!$A$36&gt;35,N20+M21-V20,IF(A21&lt;'Données projet'!$A$36,$K$205^A21,IF(A21='Données projet'!$A$36,'Données projet'!$B$36,N20+M21-V20)))</f>
        <v>51.666666666666664</v>
      </c>
      <c r="O21" s="14">
        <f>N21*VLOOKUP('Données projet'!$B$9,Paramètres!$A$1:$I$89,3,0)*VLOOKUP('Données projet'!$B$9,Paramètres!$A$1:$I$89,5,0)</f>
        <v>49.165999999999997</v>
      </c>
      <c r="P21" s="14">
        <f t="shared" si="33"/>
        <v>14.398165127385489</v>
      </c>
      <c r="Q21" s="22">
        <f t="shared" si="2"/>
        <v>110.70758759686305</v>
      </c>
      <c r="R21" s="60">
        <f t="shared" si="0"/>
        <v>389.37425426352974</v>
      </c>
      <c r="S21" s="60">
        <f ca="1">AVERAGE(OFFSET($R$3,0,0,'Données projet'!$E$9+1,1))-AVERAGE(OFFSET($H$3,0,0,'Données projet'!$E$9+1,1))</f>
        <v>353.61481736740694</v>
      </c>
      <c r="T21" s="60">
        <f t="shared" si="34"/>
        <v>244.7141066773861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27.953786843477392</v>
      </c>
      <c r="AK21" s="14">
        <f t="shared" si="35"/>
        <v>8.7423265089215931</v>
      </c>
      <c r="AL21" s="22">
        <f t="shared" si="4"/>
        <v>63.912397422094891</v>
      </c>
      <c r="AM21" s="60">
        <f t="shared" si="5"/>
        <v>342.57906408876158</v>
      </c>
      <c r="AN21" s="60">
        <f ca="1">AVERAGE(OFFSET($AM$3,0,0,'Données projet'!$E$10+1,1))-AVERAGE(OFFSET($H$3,0,0,'Données projet'!$E$10+1,1))</f>
        <v>455.50822833641354</v>
      </c>
      <c r="AO21" s="60">
        <f t="shared" si="36"/>
        <v>261.14722581688039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30.208124492144925</v>
      </c>
      <c r="BF21" s="14">
        <f t="shared" si="37"/>
        <v>9.3624480590699601</v>
      </c>
      <c r="BG21" s="22">
        <f t="shared" si="7"/>
        <v>68.918747193365917</v>
      </c>
      <c r="BH21" s="60">
        <f t="shared" si="8"/>
        <v>347.58541386003259</v>
      </c>
      <c r="BI21" s="60">
        <f ca="1">AVERAGE(OFFSET($BH$3,0,0,'Données projet'!$E$11+1,1))-AVERAGE(OFFSET($H$3,0,0,'Données projet'!$E$11+1,1))</f>
        <v>488.7825919901664</v>
      </c>
      <c r="BJ21" s="60">
        <f t="shared" si="38"/>
        <v>278.78817181412438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29.306389432677911</v>
      </c>
      <c r="CA21" s="14">
        <f t="shared" si="39"/>
        <v>9.1150691477493808</v>
      </c>
      <c r="CB21" s="22">
        <f t="shared" si="10"/>
        <v>66.917373694244205</v>
      </c>
      <c r="CC21" s="60">
        <f t="shared" si="11"/>
        <v>345.58404036091088</v>
      </c>
      <c r="CD21" s="60">
        <f ca="1">AVERAGE(OFFSET($CC$3,0,0,'Données projet'!$E$12+1,1))-AVERAGE(OFFSET($H$3,0,0,'Données projet'!$E$12+1,1))</f>
        <v>475.47920969424894</v>
      </c>
      <c r="CE21" s="60">
        <f t="shared" si="40"/>
        <v>271.73544012419364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26.150316724543362</v>
      </c>
      <c r="CV21" s="14">
        <f t="shared" si="41"/>
        <v>8.2420396752158016</v>
      </c>
      <c r="CW21" s="22">
        <f t="shared" si="13"/>
        <v>59.900020729580547</v>
      </c>
      <c r="CX21" s="60">
        <f t="shared" si="14"/>
        <v>338.56668739624723</v>
      </c>
      <c r="CY21" s="60">
        <f ca="1">AVERAGE(OFFSET($CX$3,0,0,'Données projet'!$E$13+1,1))-AVERAGE(OFFSET($H$3,0,0,'Données projet'!$E$13+1,1))</f>
        <v>428.8489304403459</v>
      </c>
      <c r="CZ21" s="60">
        <f t="shared" si="42"/>
        <v>247.01165577562966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31.109859551611933</v>
      </c>
      <c r="DQ21" s="14">
        <f t="shared" si="43"/>
        <v>9.6089687778941872</v>
      </c>
      <c r="DR21" s="22">
        <f t="shared" si="16"/>
        <v>70.918626007223153</v>
      </c>
      <c r="DS21" s="60">
        <f t="shared" si="17"/>
        <v>349.58529267388985</v>
      </c>
      <c r="DT21" s="60">
        <f ca="1">AVERAGE(OFFSET($DS$3,0,0,'Données projet'!$E$14+1,1))-AVERAGE(OFFSET($H$3,0,0,'Données projet'!$E$14+1,1))</f>
        <v>502.07782026233912</v>
      </c>
      <c r="DU21" s="60">
        <f t="shared" si="44"/>
        <v>285.83623046025156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5.5909090909090908</v>
      </c>
      <c r="EJ21" s="13">
        <f>IF('Données projet'!$A$192&gt;35,EJ20+EI21-ER20,IF(A21&lt;'Données projet'!$A$192,$EG$205^A21,IF(A21='Données projet'!$A$192,'Données projet'!$B$192,EJ20+EI21-ER20)))</f>
        <v>51.276971117915458</v>
      </c>
      <c r="EK21" s="18">
        <f>EJ21*VLOOKUP('Données projet'!$B$15,Paramètres!$A$1:$I$89,3,0)*VLOOKUP('Données projet'!$B$15,Paramètres!$A$1:$I$89,5,0)</f>
        <v>30.663628728513448</v>
      </c>
      <c r="EL21" s="14">
        <f t="shared" si="45"/>
        <v>9.4870815071768995</v>
      </c>
      <c r="EM21" s="22">
        <f t="shared" si="19"/>
        <v>69.929153660494023</v>
      </c>
      <c r="EN21" s="60">
        <f t="shared" si="20"/>
        <v>348.59582032716071</v>
      </c>
      <c r="EO21" s="60">
        <f ca="1">AVERAGE(OFFSET($EN$3,0,0,'Données projet'!$E$15+1,1))-AVERAGE(OFFSET($H$3,0,0,'Données projet'!$E$15+1,1))</f>
        <v>392.62423122800357</v>
      </c>
      <c r="EP21" s="60">
        <f t="shared" si="46"/>
        <v>314.09619163968642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>
        <f>VLOOKUP(A21,'Données projet'!$A$217:$I$237,2,0)</f>
        <v>100.55499999999999</v>
      </c>
      <c r="FC21" s="13">
        <f>VLOOKUP(A21,'Données projet'!$A$217:$I$237,9,0)</f>
        <v>12.214499999999987</v>
      </c>
      <c r="FD21" s="13">
        <f t="array" ref="FD21">INDEX(FC:FC,MIN(IF(ISNUMBER(FC21:FC217),ROW(FC21:FC217),"")))</f>
        <v>12.214499999999987</v>
      </c>
      <c r="FE21" s="13">
        <f>IF('Données projet'!$A$218&gt;35,FE20+FD21-FM20,IF(A21&lt;'Données projet'!$A$218,$FB$205^A21,IF(A21='Données projet'!$A$218,'Données projet'!$B$218,FE20+FD21-FM20)))</f>
        <v>100.55499999999999</v>
      </c>
      <c r="FF21" s="18">
        <f>FE21*VLOOKUP('Données projet'!$B$16,Paramètres!$A$1:$I$89,3,0)*VLOOKUP('Données projet'!$B$16,Paramètres!$A$1:$I$89,5,0)</f>
        <v>60.131889999999999</v>
      </c>
      <c r="FG21" s="14">
        <f t="shared" si="47"/>
        <v>17.20161067997558</v>
      </c>
      <c r="FH21" s="22">
        <f t="shared" si="22"/>
        <v>134.68918035095743</v>
      </c>
      <c r="FI21" s="60">
        <f t="shared" si="23"/>
        <v>413.35584701762411</v>
      </c>
      <c r="FJ21" s="60">
        <f ca="1">AVERAGE(OFFSET($FI$3,0,0,'Données projet'!$E$16+1,1))-AVERAGE(OFFSET($H$3,0,0,'Données projet'!$E$16+1,1))</f>
        <v>207.03241199974599</v>
      </c>
      <c r="FK21" s="60">
        <f t="shared" si="48"/>
        <v>314.188568589113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3.8143437938046709</v>
      </c>
      <c r="FS21" s="23">
        <f>EXP(-LN(2)/2)*FS20+(1-EXP(-LN(2)/2))/(LN(2)/2)*FM21*FP21*VLOOKUP('Données projet'!$B$16,Paramètres!$A$1:$I$89,3,0)*0.475*44/12</f>
        <v>2.7906570435216058</v>
      </c>
      <c r="FT21" s="24">
        <f t="shared" si="24"/>
        <v>6.6050008373262763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5.8974358974358978</v>
      </c>
      <c r="N22" s="14">
        <f>IF('Données projet'!$A$36&gt;35,N21+M22-V21,IF(A22&lt;'Données projet'!$A$36,$K$205^A22,IF(A22='Données projet'!$A$36,'Données projet'!$B$36,N21+M22-V21)))</f>
        <v>57.564102564102562</v>
      </c>
      <c r="O22" s="14">
        <f>N22*VLOOKUP('Données projet'!$B$9,Paramètres!$A$1:$I$89,3,0)*VLOOKUP('Données projet'!$B$9,Paramètres!$A$1:$I$89,5,0)</f>
        <v>54.777999999999992</v>
      </c>
      <c r="P22" s="14">
        <f t="shared" si="33"/>
        <v>15.841068726644904</v>
      </c>
      <c r="Q22" s="22">
        <f t="shared" si="2"/>
        <v>122.99487803223985</v>
      </c>
      <c r="R22" s="60">
        <f t="shared" si="0"/>
        <v>402.88376692112871</v>
      </c>
      <c r="S22" s="60">
        <f ca="1">AVERAGE(OFFSET($R$3,0,0,'Données projet'!$E$9+1,1))-AVERAGE(OFFSET($H$3,0,0,'Données projet'!$E$9+1,1))</f>
        <v>353.61481736740694</v>
      </c>
      <c r="T22" s="60">
        <f t="shared" si="34"/>
        <v>244.7141066773861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33.697921459200977</v>
      </c>
      <c r="AK22" s="14">
        <f t="shared" si="35"/>
        <v>10.31198270984201</v>
      </c>
      <c r="AL22" s="22">
        <f t="shared" si="4"/>
        <v>76.650583094416518</v>
      </c>
      <c r="AM22" s="60">
        <f t="shared" si="5"/>
        <v>356.53947198330536</v>
      </c>
      <c r="AN22" s="60">
        <f ca="1">AVERAGE(OFFSET($AM$3,0,0,'Données projet'!$E$10+1,1))-AVERAGE(OFFSET($H$3,0,0,'Données projet'!$E$10+1,1))</f>
        <v>455.50822833641354</v>
      </c>
      <c r="AO22" s="60">
        <f t="shared" si="36"/>
        <v>261.14722581688039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36.415495770426872</v>
      </c>
      <c r="BF22" s="14">
        <f t="shared" si="37"/>
        <v>11.043445061037035</v>
      </c>
      <c r="BG22" s="22">
        <f t="shared" si="7"/>
        <v>82.65765528146629</v>
      </c>
      <c r="BH22" s="60">
        <f t="shared" si="8"/>
        <v>362.54654417035516</v>
      </c>
      <c r="BI22" s="60">
        <f ca="1">AVERAGE(OFFSET($BH$3,0,0,'Données projet'!$E$11+1,1))-AVERAGE(OFFSET($H$3,0,0,'Données projet'!$E$11+1,1))</f>
        <v>488.7825919901664</v>
      </c>
      <c r="BJ22" s="60">
        <f t="shared" si="38"/>
        <v>278.78817181412438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35.328466045936516</v>
      </c>
      <c r="CA22" s="14">
        <f t="shared" si="39"/>
        <v>10.751650073316766</v>
      </c>
      <c r="CB22" s="22">
        <f t="shared" si="10"/>
        <v>80.256202241032796</v>
      </c>
      <c r="CC22" s="60">
        <f t="shared" si="11"/>
        <v>360.14509112992164</v>
      </c>
      <c r="CD22" s="60">
        <f ca="1">AVERAGE(OFFSET($CC$3,0,0,'Données projet'!$E$12+1,1))-AVERAGE(OFFSET($H$3,0,0,'Données projet'!$E$12+1,1))</f>
        <v>475.47920969424894</v>
      </c>
      <c r="CE22" s="60">
        <f t="shared" si="40"/>
        <v>271.73544012419364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31.52386201022027</v>
      </c>
      <c r="CV22" s="14">
        <f t="shared" si="41"/>
        <v>9.7218710074397983</v>
      </c>
      <c r="CW22" s="22">
        <f t="shared" si="13"/>
        <v>71.836318339091292</v>
      </c>
      <c r="CX22" s="60">
        <f t="shared" si="14"/>
        <v>351.72520722798015</v>
      </c>
      <c r="CY22" s="60">
        <f ca="1">AVERAGE(OFFSET($CX$3,0,0,'Données projet'!$E$13+1,1))-AVERAGE(OFFSET($H$3,0,0,'Données projet'!$E$13+1,1))</f>
        <v>428.8489304403459</v>
      </c>
      <c r="CZ22" s="60">
        <f t="shared" si="42"/>
        <v>247.01165577562966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37.502525494917215</v>
      </c>
      <c r="DQ22" s="14">
        <f t="shared" si="43"/>
        <v>11.334227770598273</v>
      </c>
      <c r="DR22" s="22">
        <f t="shared" si="16"/>
        <v>85.057345270772814</v>
      </c>
      <c r="DS22" s="60">
        <f t="shared" si="17"/>
        <v>364.94623415966169</v>
      </c>
      <c r="DT22" s="60">
        <f ca="1">AVERAGE(OFFSET($DS$3,0,0,'Données projet'!$E$14+1,1))-AVERAGE(OFFSET($H$3,0,0,'Données projet'!$E$14+1,1))</f>
        <v>502.07782026233912</v>
      </c>
      <c r="DU22" s="60">
        <f t="shared" si="44"/>
        <v>285.83623046025156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5.5909090909090908</v>
      </c>
      <c r="EJ22" s="13">
        <f>IF('Données projet'!$A$192&gt;35,EJ21+EI22-ER21,IF(A22&lt;'Données projet'!$A$192,$EG$205^A22,IF(A22='Données projet'!$A$192,'Données projet'!$B$192,EJ21+EI22-ER21)))</f>
        <v>63.814306040343304</v>
      </c>
      <c r="EK22" s="18">
        <f>EJ22*VLOOKUP('Données projet'!$B$15,Paramètres!$A$1:$I$89,3,0)*VLOOKUP('Données projet'!$B$15,Paramètres!$A$1:$I$89,5,0)</f>
        <v>38.160955012125299</v>
      </c>
      <c r="EL22" s="14">
        <f t="shared" si="45"/>
        <v>11.509880661066306</v>
      </c>
      <c r="EM22" s="22">
        <f t="shared" si="19"/>
        <v>86.510038797475374</v>
      </c>
      <c r="EN22" s="60">
        <f t="shared" si="20"/>
        <v>366.39892768636423</v>
      </c>
      <c r="EO22" s="60">
        <f ca="1">AVERAGE(OFFSET($EN$3,0,0,'Données projet'!$E$15+1,1))-AVERAGE(OFFSET($H$3,0,0,'Données projet'!$E$15+1,1))</f>
        <v>392.62423122800357</v>
      </c>
      <c r="EP22" s="60">
        <f t="shared" si="46"/>
        <v>314.09619163968642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>
        <f>VLOOKUP(A22,'Données projet'!$A$217:$I$237,2,0)</f>
        <v>113.679</v>
      </c>
      <c r="FC22" s="13">
        <f>VLOOKUP(A22,'Données projet'!$A$217:$I$237,9,0)</f>
        <v>13.124000000000009</v>
      </c>
      <c r="FD22" s="13">
        <f t="array" ref="FD22">INDEX(FC:FC,MIN(IF(ISNUMBER(FC22:FC218),ROW(FC22:FC218),"")))</f>
        <v>13.124000000000009</v>
      </c>
      <c r="FE22" s="13">
        <f>IF('Données projet'!$A$218&gt;35,FE21+FD22-FM21,IF(A22&lt;'Données projet'!$A$218,$FB$205^A22,IF(A22='Données projet'!$A$218,'Données projet'!$B$218,FE21+FD22-FM21)))</f>
        <v>113.679</v>
      </c>
      <c r="FF22" s="18">
        <f>FE22*VLOOKUP('Données projet'!$B$16,Paramètres!$A$1:$I$89,3,0)*VLOOKUP('Données projet'!$B$16,Paramètres!$A$1:$I$89,5,0)</f>
        <v>67.980042000000012</v>
      </c>
      <c r="FG22" s="14">
        <f t="shared" si="47"/>
        <v>19.170979162871237</v>
      </c>
      <c r="FH22" s="22">
        <f t="shared" si="22"/>
        <v>151.78802852533406</v>
      </c>
      <c r="FI22" s="60">
        <f t="shared" si="23"/>
        <v>431.67691741422288</v>
      </c>
      <c r="FJ22" s="60">
        <f ca="1">AVERAGE(OFFSET($FI$3,0,0,'Données projet'!$E$16+1,1))-AVERAGE(OFFSET($H$3,0,0,'Données projet'!$E$16+1,1))</f>
        <v>207.03241199974599</v>
      </c>
      <c r="FK22" s="60">
        <f t="shared" si="48"/>
        <v>314.188568589113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3.7100403621754601</v>
      </c>
      <c r="FS22" s="23">
        <f>EXP(-LN(2)/2)*FS21+(1-EXP(-LN(2)/2))/(LN(2)/2)*FM22*FP22*VLOOKUP('Données projet'!$B$16,Paramètres!$A$1:$I$89,3,0)*0.475*44/12</f>
        <v>1.9732925194401298</v>
      </c>
      <c r="FT22" s="24">
        <f t="shared" si="24"/>
        <v>5.6833328816155895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63.46153846153846</v>
      </c>
      <c r="L23" s="13">
        <f>VLOOKUP(A23,'Données projet'!$A$35:$I$55,9,0)</f>
        <v>5.8974358974358978</v>
      </c>
      <c r="M23" s="13">
        <f t="array" ref="M23">INDEX(L:L,MIN(IF(ISNUMBER(L23:L219),ROW(L23:L219),"")))</f>
        <v>5.8974358974358978</v>
      </c>
      <c r="N23" s="14">
        <f>IF('Données projet'!$A$36&gt;35,N22+M23-V22,IF(A23&lt;'Données projet'!$A$36,$K$205^A23,IF(A23='Données projet'!$A$36,'Données projet'!$B$36,N22+M23-V22)))</f>
        <v>63.46153846153846</v>
      </c>
      <c r="O23" s="14">
        <f>N23*VLOOKUP('Données projet'!$B$9,Paramètres!$A$1:$I$89,3,0)*VLOOKUP('Données projet'!$B$9,Paramètres!$A$1:$I$89,5,0)</f>
        <v>60.39</v>
      </c>
      <c r="P23" s="14">
        <f t="shared" si="33"/>
        <v>17.266836036680591</v>
      </c>
      <c r="Q23" s="22">
        <f t="shared" si="2"/>
        <v>135.25232276388536</v>
      </c>
      <c r="R23" s="60">
        <f t="shared" si="0"/>
        <v>416.36343387499653</v>
      </c>
      <c r="S23" s="60">
        <f ca="1">AVERAGE(OFFSET($R$3,0,0,'Données projet'!$E$9+1,1))-AVERAGE(OFFSET($H$3,0,0,'Données projet'!$E$9+1,1))</f>
        <v>353.61481736740694</v>
      </c>
      <c r="T23" s="60">
        <f t="shared" si="34"/>
        <v>244.7141066773861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40.622399999999999</v>
      </c>
      <c r="AK23" s="14">
        <f t="shared" si="35"/>
        <v>12.163465560290264</v>
      </c>
      <c r="AL23" s="22">
        <f t="shared" si="4"/>
        <v>91.935382517505545</v>
      </c>
      <c r="AM23" s="60">
        <f t="shared" si="5"/>
        <v>373.0464936286167</v>
      </c>
      <c r="AN23" s="60">
        <f ca="1">AVERAGE(OFFSET($AM$3,0,0,'Données projet'!$E$10+1,1))-AVERAGE(OFFSET($H$3,0,0,'Données projet'!$E$10+1,1))</f>
        <v>455.50822833641354</v>
      </c>
      <c r="AO23" s="60">
        <f t="shared" si="36"/>
        <v>261.14722581688039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43.898400000000002</v>
      </c>
      <c r="BF23" s="14">
        <f t="shared" si="37"/>
        <v>13.026259590086106</v>
      </c>
      <c r="BG23" s="22">
        <f t="shared" si="7"/>
        <v>99.143782119399972</v>
      </c>
      <c r="BH23" s="60">
        <f t="shared" si="8"/>
        <v>380.25489323051113</v>
      </c>
      <c r="BI23" s="60">
        <f ca="1">AVERAGE(OFFSET($BH$3,0,0,'Données projet'!$E$11+1,1))-AVERAGE(OFFSET($H$3,0,0,'Données projet'!$E$11+1,1))</f>
        <v>488.7825919901664</v>
      </c>
      <c r="BJ23" s="60">
        <f t="shared" si="38"/>
        <v>278.78817181412438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42.588000000000001</v>
      </c>
      <c r="CA23" s="14">
        <f t="shared" si="39"/>
        <v>12.682073764365764</v>
      </c>
      <c r="CB23" s="22">
        <f t="shared" si="10"/>
        <v>96.262045139603686</v>
      </c>
      <c r="CC23" s="60">
        <f t="shared" si="11"/>
        <v>377.37315625071483</v>
      </c>
      <c r="CD23" s="60">
        <f ca="1">AVERAGE(OFFSET($CC$3,0,0,'Données projet'!$E$12+1,1))-AVERAGE(OFFSET($H$3,0,0,'Données projet'!$E$12+1,1))</f>
        <v>475.47920969424894</v>
      </c>
      <c r="CE23" s="60">
        <f t="shared" si="40"/>
        <v>271.73544012419364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38.001600000000003</v>
      </c>
      <c r="CV23" s="14">
        <f t="shared" si="41"/>
        <v>11.467401227090512</v>
      </c>
      <c r="CW23" s="22">
        <f t="shared" si="13"/>
        <v>86.158510470515978</v>
      </c>
      <c r="CX23" s="60">
        <f t="shared" si="14"/>
        <v>367.26962158162712</v>
      </c>
      <c r="CY23" s="60">
        <f ca="1">AVERAGE(OFFSET($CX$3,0,0,'Données projet'!$E$13+1,1))-AVERAGE(OFFSET($H$3,0,0,'Données projet'!$E$13+1,1))</f>
        <v>428.8489304403459</v>
      </c>
      <c r="CZ23" s="60">
        <f t="shared" si="42"/>
        <v>247.01165577562966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45.208799999999997</v>
      </c>
      <c r="DQ23" s="14">
        <f t="shared" si="43"/>
        <v>13.369251386406743</v>
      </c>
      <c r="DR23" s="22">
        <f t="shared" si="16"/>
        <v>102.02343949799173</v>
      </c>
      <c r="DS23" s="60">
        <f t="shared" si="17"/>
        <v>383.13455060910286</v>
      </c>
      <c r="DT23" s="60">
        <f ca="1">AVERAGE(OFFSET($DS$3,0,0,'Données projet'!$E$14+1,1))-AVERAGE(OFFSET($H$3,0,0,'Données projet'!$E$14+1,1))</f>
        <v>502.07782026233912</v>
      </c>
      <c r="DU23" s="60">
        <f t="shared" si="44"/>
        <v>285.83623046025156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5.5909090909090908</v>
      </c>
      <c r="EJ23" s="13">
        <f>IF('Données projet'!$A$192&gt;35,EJ22+EI23-ER22,IF(A23&lt;'Données projet'!$A$192,$EG$205^A23,IF(A23='Données projet'!$A$192,'Données projet'!$B$192,EJ22+EI23-ER22)))</f>
        <v>79.417047587426694</v>
      </c>
      <c r="EK23" s="18">
        <f>EJ23*VLOOKUP('Données projet'!$B$15,Paramètres!$A$1:$I$89,3,0)*VLOOKUP('Données projet'!$B$15,Paramètres!$A$1:$I$89,5,0)</f>
        <v>47.49139445728116</v>
      </c>
      <c r="EL23" s="14">
        <f t="shared" si="45"/>
        <v>13.96397329692701</v>
      </c>
      <c r="EM23" s="22">
        <f t="shared" si="19"/>
        <v>107.03476550524589</v>
      </c>
      <c r="EN23" s="60">
        <f t="shared" si="20"/>
        <v>388.14587661635704</v>
      </c>
      <c r="EO23" s="60">
        <f ca="1">AVERAGE(OFFSET($EN$3,0,0,'Données projet'!$E$15+1,1))-AVERAGE(OFFSET($H$3,0,0,'Données projet'!$E$15+1,1))</f>
        <v>392.62423122800357</v>
      </c>
      <c r="EP23" s="60">
        <f t="shared" si="46"/>
        <v>314.09619163968642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130.203</v>
      </c>
      <c r="FC23" s="13">
        <f>VLOOKUP(A23,'Données projet'!$A$217:$I$237,9,0)</f>
        <v>16.524000000000001</v>
      </c>
      <c r="FD23" s="13">
        <f t="array" ref="FD23">INDEX(FC:FC,MIN(IF(ISNUMBER(FC23:FC219),ROW(FC23:FC219),"")))</f>
        <v>16.524000000000001</v>
      </c>
      <c r="FE23" s="13">
        <f>IF('Données projet'!$A$218&gt;35,FE22+FD23-FM22,IF(A23&lt;'Données projet'!$A$218,$FB$205^A23,IF(A23='Données projet'!$A$218,'Données projet'!$B$218,FE22+FD23-FM22)))</f>
        <v>130.203</v>
      </c>
      <c r="FF23" s="18">
        <f>FE23*VLOOKUP('Données projet'!$B$16,Paramètres!$A$1:$I$89,3,0)*VLOOKUP('Données projet'!$B$16,Paramètres!$A$1:$I$89,5,0)</f>
        <v>77.861394000000004</v>
      </c>
      <c r="FG23" s="14">
        <f t="shared" si="47"/>
        <v>21.613462087022899</v>
      </c>
      <c r="FH23" s="22">
        <f t="shared" si="22"/>
        <v>173.25204101823155</v>
      </c>
      <c r="FI23" s="60">
        <f t="shared" si="23"/>
        <v>454.36315212934267</v>
      </c>
      <c r="FJ23" s="60">
        <f ca="1">AVERAGE(OFFSET($FI$3,0,0,'Données projet'!$E$16+1,1))-AVERAGE(OFFSET($H$3,0,0,'Données projet'!$E$16+1,1))</f>
        <v>207.03241199974599</v>
      </c>
      <c r="FK23" s="60">
        <f t="shared" si="48"/>
        <v>314.188568589113</v>
      </c>
      <c r="FL23" s="16">
        <f>IF(ISNA(VLOOKUP(A23,'Données projet'!$A$217:$I$237,3,0)),0,VLOOKUP(A23,'Données projet'!$A$217:$I$237,3,0))</f>
        <v>2</v>
      </c>
      <c r="FM23" s="16">
        <f>IF(ISNA(VLOOKUP(A23,'Données projet'!$A$217:$I$237,4,0)),0,VLOOKUP(A23,'Données projet'!$A$217:$I$237,4,0))</f>
        <v>34.110500000000002</v>
      </c>
      <c r="FN23" s="17">
        <f>IF(ISNA(VLOOKUP(A23,'Données projet'!$A$217:$I$237,5,0)),0%,VLOOKUP(A23,'Données projet'!$A$217:$I$237,5,0)*VLOOKUP('Données projet'!$B$16,Paramètres!$A$1:$I$89,7,0))</f>
        <v>0.1125</v>
      </c>
      <c r="FO23" s="17">
        <f>IF(ISNA(VLOOKUP(A23,'Données projet'!$A$217:$I$237,6,0)),0%,VLOOKUP(A23,'Données projet'!$A$217:$I$237,6,0)*VLOOKUP('Données projet'!$B$16,Paramètres!$A$1:$I$89,7,0))</f>
        <v>0.16875000000000001</v>
      </c>
      <c r="FP23" s="17">
        <f>IF(ISNA(VLOOKUP(A23,'Données projet'!$A$217:$I$237,7,0)),0%,VLOOKUP(A23,'Données projet'!$A$217:$I$237,7,0))</f>
        <v>0.375</v>
      </c>
      <c r="FQ23" s="23">
        <f>EXP(-LN(2)/35)*FQ22+(1-EXP(-LN(2)/35))/(LN(2)/35)*FM23*FN23*VLOOKUP('Données projet'!$B$16,Paramètres!$A$1:$I$89,3,0)*0.475*44/12</f>
        <v>3.0441787380728691</v>
      </c>
      <c r="FR23" s="23">
        <f>EXP(-LN(2)/25)*FR22+(1-EXP(-LN(2)/25))/(LN(2)/25)*Calculateur!FM23*Calculateur!FO23*VLOOKUP('Données projet'!$B$16,Paramètres!$A$1:$I$89,3,0)*0.475*44/12</f>
        <v>8.1568780830562897</v>
      </c>
      <c r="FS23" s="23">
        <f>EXP(-LN(2)/2)*FS22+(1-EXP(-LN(2)/2))/(LN(2)/2)*FM23*FP23*VLOOKUP('Données projet'!$B$16,Paramètres!$A$1:$I$89,3,0)*0.475*44/12</f>
        <v>10.056089965996938</v>
      </c>
      <c r="FT23" s="24">
        <f t="shared" si="24"/>
        <v>21.257146787126096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6.1538461538461533</v>
      </c>
      <c r="N24" s="14">
        <f>IF('Données projet'!$A$36&gt;35,N23+M24-V23,IF(A24&lt;'Données projet'!$A$36,$K$205^A24,IF(A24='Données projet'!$A$36,'Données projet'!$B$36,N23+M24-V23)))</f>
        <v>69.615384615384613</v>
      </c>
      <c r="O24" s="14">
        <f>N24*VLOOKUP('Données projet'!$B$9,Paramètres!$A$1:$I$89,3,0)*VLOOKUP('Données projet'!$B$9,Paramètres!$A$1:$I$89,5,0)</f>
        <v>66.245999999999995</v>
      </c>
      <c r="P24" s="14">
        <f t="shared" si="33"/>
        <v>18.738237565286223</v>
      </c>
      <c r="Q24" s="22">
        <f t="shared" si="2"/>
        <v>148.01421375954016</v>
      </c>
      <c r="R24" s="60">
        <f t="shared" si="0"/>
        <v>430.34754709287347</v>
      </c>
      <c r="S24" s="60">
        <f ca="1">AVERAGE(OFFSET($R$3,0,0,'Données projet'!$E$9+1,1))-AVERAGE(OFFSET($H$3,0,0,'Données projet'!$E$9+1,1))</f>
        <v>353.61481736740694</v>
      </c>
      <c r="T24" s="60">
        <f t="shared" si="34"/>
        <v>244.7141066773861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46.038720000000005</v>
      </c>
      <c r="AK24" s="14">
        <f t="shared" si="35"/>
        <v>13.585879560828786</v>
      </c>
      <c r="AL24" s="22">
        <f t="shared" si="4"/>
        <v>103.84617756844348</v>
      </c>
      <c r="AM24" s="60">
        <f t="shared" si="5"/>
        <v>386.17951090177678</v>
      </c>
      <c r="AN24" s="60">
        <f ca="1">AVERAGE(OFFSET($AM$3,0,0,'Données projet'!$E$10+1,1))-AVERAGE(OFFSET($H$3,0,0,'Données projet'!$E$10+1,1))</f>
        <v>455.50822833641354</v>
      </c>
      <c r="AO24" s="60">
        <f t="shared" si="36"/>
        <v>261.14722581688039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49.751520000000006</v>
      </c>
      <c r="BF24" s="14">
        <f t="shared" si="37"/>
        <v>14.549570025236916</v>
      </c>
      <c r="BG24" s="22">
        <f t="shared" si="7"/>
        <v>111.99106512728763</v>
      </c>
      <c r="BH24" s="60">
        <f t="shared" si="8"/>
        <v>394.32439846062096</v>
      </c>
      <c r="BI24" s="60">
        <f ca="1">AVERAGE(OFFSET($BH$3,0,0,'Données projet'!$E$11+1,1))-AVERAGE(OFFSET($H$3,0,0,'Données projet'!$E$11+1,1))</f>
        <v>488.7825919901664</v>
      </c>
      <c r="BJ24" s="60">
        <f t="shared" si="38"/>
        <v>278.78817181412438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48.266400000000004</v>
      </c>
      <c r="CA24" s="14">
        <f t="shared" si="39"/>
        <v>14.165134590154434</v>
      </c>
      <c r="CB24" s="22">
        <f t="shared" si="10"/>
        <v>108.73492274451898</v>
      </c>
      <c r="CC24" s="60">
        <f t="shared" si="11"/>
        <v>391.06825607785231</v>
      </c>
      <c r="CD24" s="60">
        <f ca="1">AVERAGE(OFFSET($CC$3,0,0,'Données projet'!$E$12+1,1))-AVERAGE(OFFSET($H$3,0,0,'Données projet'!$E$12+1,1))</f>
        <v>475.47920969424894</v>
      </c>
      <c r="CE24" s="60">
        <f t="shared" si="40"/>
        <v>271.73544012419364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43.068480000000001</v>
      </c>
      <c r="CV24" s="14">
        <f t="shared" si="41"/>
        <v>12.808416415102187</v>
      </c>
      <c r="CW24" s="22">
        <f t="shared" si="13"/>
        <v>97.318927922969635</v>
      </c>
      <c r="CX24" s="60">
        <f t="shared" si="14"/>
        <v>379.65226125630295</v>
      </c>
      <c r="CY24" s="60">
        <f ca="1">AVERAGE(OFFSET($CX$3,0,0,'Données projet'!$E$13+1,1))-AVERAGE(OFFSET($H$3,0,0,'Données projet'!$E$13+1,1))</f>
        <v>428.8489304403459</v>
      </c>
      <c r="CZ24" s="60">
        <f t="shared" si="42"/>
        <v>247.01165577562966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51.236640000000001</v>
      </c>
      <c r="DQ24" s="14">
        <f t="shared" si="43"/>
        <v>14.932671799321549</v>
      </c>
      <c r="DR24" s="22">
        <f t="shared" si="16"/>
        <v>115.24488471715169</v>
      </c>
      <c r="DS24" s="60">
        <f t="shared" si="17"/>
        <v>397.57821805048502</v>
      </c>
      <c r="DT24" s="60">
        <f ca="1">AVERAGE(OFFSET($DS$3,0,0,'Données projet'!$E$14+1,1))-AVERAGE(OFFSET($H$3,0,0,'Données projet'!$E$14+1,1))</f>
        <v>502.07782026233912</v>
      </c>
      <c r="DU24" s="60">
        <f t="shared" si="44"/>
        <v>285.83623046025156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5.5909090909090908</v>
      </c>
      <c r="EJ24" s="13">
        <f>IF('Données projet'!$A$192&gt;35,EJ23+EI24-ER23,IF(A24&lt;'Données projet'!$A$192,$EG$205^A24,IF(A24='Données projet'!$A$192,'Données projet'!$B$192,EJ23+EI24-ER23)))</f>
        <v>98.834694582689295</v>
      </c>
      <c r="EK24" s="18">
        <f>EJ24*VLOOKUP('Données projet'!$B$15,Paramètres!$A$1:$I$89,3,0)*VLOOKUP('Données projet'!$B$15,Paramètres!$A$1:$I$89,5,0)</f>
        <v>59.103147360448204</v>
      </c>
      <c r="EL24" s="14">
        <f t="shared" si="45"/>
        <v>16.94131815778756</v>
      </c>
      <c r="EM24" s="22">
        <f t="shared" si="19"/>
        <v>132.44411077759398</v>
      </c>
      <c r="EN24" s="60">
        <f t="shared" si="20"/>
        <v>414.77744411092726</v>
      </c>
      <c r="EO24" s="60">
        <f ca="1">AVERAGE(OFFSET($EN$3,0,0,'Données projet'!$E$15+1,1))-AVERAGE(OFFSET($H$3,0,0,'Données projet'!$E$15+1,1))</f>
        <v>392.62423122800357</v>
      </c>
      <c r="EP24" s="60">
        <f t="shared" si="46"/>
        <v>314.09619163968642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>
        <f>VLOOKUP(A24,'Données projet'!$A$217:$I$237,2,0)</f>
        <v>110.82299999999999</v>
      </c>
      <c r="FC24" s="13">
        <f>VLOOKUP(A24,'Données projet'!$A$217:$I$237,9,0)</f>
        <v>14.730499999999992</v>
      </c>
      <c r="FD24" s="13">
        <f t="array" ref="FD24">INDEX(FC:FC,MIN(IF(ISNUMBER(FC24:FC220),ROW(FC24:FC220),"")))</f>
        <v>14.730499999999992</v>
      </c>
      <c r="FE24" s="13">
        <f>IF('Données projet'!$A$218&gt;35,FE23+FD24-FM23,IF(A24&lt;'Données projet'!$A$218,$FB$205^A24,IF(A24='Données projet'!$A$218,'Données projet'!$B$218,FE23+FD24-FM23)))</f>
        <v>110.82299999999998</v>
      </c>
      <c r="FF24" s="18">
        <f>FE24*VLOOKUP('Données projet'!$B$16,Paramètres!$A$1:$I$89,3,0)*VLOOKUP('Données projet'!$B$16,Paramètres!$A$1:$I$89,5,0)</f>
        <v>66.272154</v>
      </c>
      <c r="FG24" s="14">
        <f t="shared" si="47"/>
        <v>18.744774180635133</v>
      </c>
      <c r="FH24" s="22">
        <f t="shared" si="22"/>
        <v>148.07114991460617</v>
      </c>
      <c r="FI24" s="60">
        <f t="shared" si="23"/>
        <v>430.40448324793948</v>
      </c>
      <c r="FJ24" s="60">
        <f ca="1">AVERAGE(OFFSET($FI$3,0,0,'Données projet'!$E$16+1,1))-AVERAGE(OFFSET($H$3,0,0,'Données projet'!$E$16+1,1))</f>
        <v>207.03241199974599</v>
      </c>
      <c r="FK24" s="60">
        <f t="shared" si="48"/>
        <v>314.188568589113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2.9844842497849502</v>
      </c>
      <c r="FR24" s="23">
        <f>EXP(-LN(2)/25)*FR23+(1-EXP(-LN(2)/25))/(LN(2)/25)*Calculateur!FM24*Calculateur!FO24*VLOOKUP('Données projet'!$B$16,Paramètres!$A$1:$I$89,3,0)*0.475*44/12</f>
        <v>7.9338278229235399</v>
      </c>
      <c r="FS24" s="23">
        <f>EXP(-LN(2)/2)*FS23+(1-EXP(-LN(2)/2))/(LN(2)/2)*FM24*FP24*VLOOKUP('Données projet'!$B$16,Paramètres!$A$1:$I$89,3,0)*0.475*44/12</f>
        <v>7.1107294071784333</v>
      </c>
      <c r="FT24" s="24">
        <f t="shared" si="24"/>
        <v>18.029041479886924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6.1538461538461533</v>
      </c>
      <c r="N25" s="14">
        <f>IF('Données projet'!$A$36&gt;35,N24+M25-V24,IF(A25&lt;'Données projet'!$A$36,$K$205^A25,IF(A25='Données projet'!$A$36,'Données projet'!$B$36,N24+M25-V24)))</f>
        <v>75.769230769230774</v>
      </c>
      <c r="O25" s="14">
        <f>N25*VLOOKUP('Données projet'!$B$9,Paramètres!$A$1:$I$89,3,0)*VLOOKUP('Données projet'!$B$9,Paramètres!$A$1:$I$89,5,0)</f>
        <v>72.102000000000004</v>
      </c>
      <c r="P25" s="14">
        <f t="shared" si="33"/>
        <v>20.194556009371063</v>
      </c>
      <c r="Q25" s="22">
        <f t="shared" si="2"/>
        <v>160.74983504965459</v>
      </c>
      <c r="R25" s="60">
        <f t="shared" si="0"/>
        <v>444.30539060521016</v>
      </c>
      <c r="S25" s="60">
        <f ca="1">AVERAGE(OFFSET($R$3,0,0,'Données projet'!$E$9+1,1))-AVERAGE(OFFSET($H$3,0,0,'Données projet'!$E$9+1,1))</f>
        <v>353.61481736740694</v>
      </c>
      <c r="T25" s="60">
        <f t="shared" si="34"/>
        <v>244.7141066773861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51.455040000000004</v>
      </c>
      <c r="AK25" s="14">
        <f t="shared" si="35"/>
        <v>14.988900446655085</v>
      </c>
      <c r="AL25" s="22">
        <f t="shared" si="4"/>
        <v>115.72319627792427</v>
      </c>
      <c r="AM25" s="60">
        <f t="shared" si="5"/>
        <v>399.27875183347982</v>
      </c>
      <c r="AN25" s="60">
        <f ca="1">AVERAGE(OFFSET($AM$3,0,0,'Données projet'!$E$10+1,1))-AVERAGE(OFFSET($H$3,0,0,'Données projet'!$E$10+1,1))</f>
        <v>455.50822833641354</v>
      </c>
      <c r="AO25" s="60">
        <f t="shared" si="36"/>
        <v>261.14722581688039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55.604640000000011</v>
      </c>
      <c r="BF25" s="14">
        <f t="shared" si="37"/>
        <v>16.052111729202565</v>
      </c>
      <c r="BG25" s="22">
        <f t="shared" si="7"/>
        <v>124.80217592836114</v>
      </c>
      <c r="BH25" s="60">
        <f t="shared" si="8"/>
        <v>408.35773148391667</v>
      </c>
      <c r="BI25" s="60">
        <f ca="1">AVERAGE(OFFSET($BH$3,0,0,'Données projet'!$E$11+1,1))-AVERAGE(OFFSET($H$3,0,0,'Données projet'!$E$11+1,1))</f>
        <v>488.7825919901664</v>
      </c>
      <c r="BJ25" s="60">
        <f t="shared" si="38"/>
        <v>278.78817181412438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53.944800000000008</v>
      </c>
      <c r="CA25" s="14">
        <f t="shared" si="39"/>
        <v>15.627975445731321</v>
      </c>
      <c r="CB25" s="22">
        <f t="shared" si="10"/>
        <v>121.17258390131538</v>
      </c>
      <c r="CC25" s="60">
        <f t="shared" si="11"/>
        <v>404.72813945687091</v>
      </c>
      <c r="CD25" s="60">
        <f ca="1">AVERAGE(OFFSET($CC$3,0,0,'Données projet'!$E$12+1,1))-AVERAGE(OFFSET($H$3,0,0,'Données projet'!$E$12+1,1))</f>
        <v>475.47920969424894</v>
      </c>
      <c r="CE25" s="60">
        <f t="shared" si="40"/>
        <v>271.73544012419364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48.135359999999999</v>
      </c>
      <c r="CV25" s="14">
        <f t="shared" si="41"/>
        <v>14.131148275361113</v>
      </c>
      <c r="CW25" s="22">
        <f t="shared" si="13"/>
        <v>108.4475019129206</v>
      </c>
      <c r="CX25" s="60">
        <f t="shared" si="14"/>
        <v>392.00305746847613</v>
      </c>
      <c r="CY25" s="60">
        <f ca="1">AVERAGE(OFFSET($CX$3,0,0,'Données projet'!$E$13+1,1))-AVERAGE(OFFSET($H$3,0,0,'Données projet'!$E$13+1,1))</f>
        <v>428.8489304403459</v>
      </c>
      <c r="CZ25" s="60">
        <f t="shared" si="42"/>
        <v>247.01165577562966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57.264479999999999</v>
      </c>
      <c r="DQ25" s="14">
        <f t="shared" si="43"/>
        <v>16.474776623807379</v>
      </c>
      <c r="DR25" s="22">
        <f t="shared" si="16"/>
        <v>128.42920528646451</v>
      </c>
      <c r="DS25" s="60">
        <f t="shared" si="17"/>
        <v>411.98476084202002</v>
      </c>
      <c r="DT25" s="60">
        <f ca="1">AVERAGE(OFFSET($DS$3,0,0,'Données projet'!$E$14+1,1))-AVERAGE(OFFSET($H$3,0,0,'Données projet'!$E$14+1,1))</f>
        <v>502.07782026233912</v>
      </c>
      <c r="DU25" s="60">
        <f t="shared" si="44"/>
        <v>285.83623046025156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>
        <f>VLOOKUP(A25,'Données projet'!$A$191:$I$211,2,0)</f>
        <v>123</v>
      </c>
      <c r="EH25" s="13">
        <f>VLOOKUP(A25,'Données projet'!$A$191:$I$211,9,0)</f>
        <v>5.5909090909090908</v>
      </c>
      <c r="EI25" s="13">
        <f t="array" ref="EI25">INDEX(EH:EH,MIN(IF(ISNUMBER(EH25:EH221),ROW(EH25:EH221),"")))</f>
        <v>5.5909090909090908</v>
      </c>
      <c r="EJ25" s="13">
        <f>IF('Données projet'!$A$192&gt;35,EJ24+EI25-ER24,IF(A25&lt;'Données projet'!$A$192,$EG$205^A25,IF(A25='Données projet'!$A$192,'Données projet'!$B$192,EJ24+EI25-ER24)))</f>
        <v>123</v>
      </c>
      <c r="EK25" s="18">
        <f>EJ25*VLOOKUP('Données projet'!$B$15,Paramètres!$A$1:$I$89,3,0)*VLOOKUP('Données projet'!$B$15,Paramètres!$A$1:$I$89,5,0)</f>
        <v>73.554000000000016</v>
      </c>
      <c r="EL25" s="14">
        <f t="shared" si="45"/>
        <v>20.553481077376691</v>
      </c>
      <c r="EM25" s="22">
        <f t="shared" si="19"/>
        <v>163.90386287643108</v>
      </c>
      <c r="EN25" s="60">
        <f t="shared" si="20"/>
        <v>447.45941843198659</v>
      </c>
      <c r="EO25" s="60">
        <f ca="1">AVERAGE(OFFSET($EN$3,0,0,'Données projet'!$E$15+1,1))-AVERAGE(OFFSET($H$3,0,0,'Données projet'!$E$15+1,1))</f>
        <v>392.62423122800357</v>
      </c>
      <c r="EP25" s="60">
        <f t="shared" si="46"/>
        <v>314.09619163968642</v>
      </c>
      <c r="EQ25" s="16">
        <f>IF(ISNA(VLOOKUP(A25,'Données projet'!$A$191:$I$211,3,0)),0,VLOOKUP(A25,'Données projet'!$A$191:$I$211,3,0))</f>
        <v>1</v>
      </c>
      <c r="ER25" s="16">
        <f>IF(ISNA(VLOOKUP(A25,'Données projet'!$A$191:$I$211,4,0)),0,VLOOKUP(A25,'Données projet'!$A$191:$I$211,4,0))</f>
        <v>16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0.22500000000000001</v>
      </c>
      <c r="EU25" s="17">
        <f>IF(ISNA(VLOOKUP(A25,'Données projet'!$A$191:$I$211,7,0)),0%,VLOOKUP(A25,'Données projet'!$A$191:$I$211,7,0))</f>
        <v>0.5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2.8445834768372578</v>
      </c>
      <c r="EX25" s="23">
        <f>EXP(-LN(2)/2)*EX24+(1-EXP(-LN(2)/2))/(LN(2)/2)*ER25*EU25*VLOOKUP('Données projet'!$B$15,Paramètres!$A$1:$I$89,3,0)*0.475*44/12</f>
        <v>5.4165993113666131</v>
      </c>
      <c r="EY25" s="24">
        <f t="shared" si="21"/>
        <v>8.2611827882038718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>
        <f>VLOOKUP(A25,'Données projet'!$A$217:$I$237,2,0)</f>
        <v>126.871</v>
      </c>
      <c r="FC25" s="13">
        <f>VLOOKUP(A25,'Données projet'!$A$217:$I$237,9,0)</f>
        <v>16.048000000000002</v>
      </c>
      <c r="FD25" s="13">
        <f t="array" ref="FD25">INDEX(FC:FC,MIN(IF(ISNUMBER(FC25:FC221),ROW(FC25:FC221),"")))</f>
        <v>16.048000000000002</v>
      </c>
      <c r="FE25" s="13">
        <f>IF('Données projet'!$A$218&gt;35,FE24+FD25-FM24,IF(A25&lt;'Données projet'!$A$218,$FB$205^A25,IF(A25='Données projet'!$A$218,'Données projet'!$B$218,FE24+FD25-FM24)))</f>
        <v>126.87099999999998</v>
      </c>
      <c r="FF25" s="18">
        <f>FE25*VLOOKUP('Données projet'!$B$16,Paramètres!$A$1:$I$89,3,0)*VLOOKUP('Données projet'!$B$16,Paramètres!$A$1:$I$89,5,0)</f>
        <v>75.868858000000003</v>
      </c>
      <c r="FG25" s="14">
        <f t="shared" si="47"/>
        <v>21.124002732140855</v>
      </c>
      <c r="FH25" s="22">
        <f t="shared" si="22"/>
        <v>168.92923244181199</v>
      </c>
      <c r="FI25" s="60">
        <f t="shared" si="23"/>
        <v>452.48478799736756</v>
      </c>
      <c r="FJ25" s="60">
        <f ca="1">AVERAGE(OFFSET($FI$3,0,0,'Données projet'!$E$16+1,1))-AVERAGE(OFFSET($H$3,0,0,'Données projet'!$E$16+1,1))</f>
        <v>207.03241199974599</v>
      </c>
      <c r="FK25" s="60">
        <f t="shared" si="48"/>
        <v>314.188568589113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2.9259603340023146</v>
      </c>
      <c r="FR25" s="23">
        <f>EXP(-LN(2)/25)*FR24+(1-EXP(-LN(2)/25))/(LN(2)/25)*Calculateur!FM25*Calculateur!FO25*VLOOKUP('Données projet'!$B$16,Paramètres!$A$1:$I$89,3,0)*0.475*44/12</f>
        <v>7.716876883883824</v>
      </c>
      <c r="FS25" s="23">
        <f>EXP(-LN(2)/2)*FS24+(1-EXP(-LN(2)/2))/(LN(2)/2)*FM25*FP25*VLOOKUP('Données projet'!$B$16,Paramètres!$A$1:$I$89,3,0)*0.475*44/12</f>
        <v>5.0280449829984697</v>
      </c>
      <c r="FT25" s="24">
        <f t="shared" si="24"/>
        <v>15.670882200884609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6.1538461538461533</v>
      </c>
      <c r="N26" s="14">
        <f>IF('Données projet'!$A$36&gt;35,N25+M26-V25,IF(A26&lt;'Données projet'!$A$36,$K$205^A26,IF(A26='Données projet'!$A$36,'Données projet'!$B$36,N25+M26-V25)))</f>
        <v>81.923076923076934</v>
      </c>
      <c r="O26" s="14">
        <f>N26*VLOOKUP('Données projet'!$B$9,Paramètres!$A$1:$I$89,3,0)*VLOOKUP('Données projet'!$B$9,Paramètres!$A$1:$I$89,5,0)</f>
        <v>77.958000000000013</v>
      </c>
      <c r="P26" s="14">
        <f t="shared" si="33"/>
        <v>21.637155663637412</v>
      </c>
      <c r="Q26" s="22">
        <f t="shared" si="2"/>
        <v>173.46156278083515</v>
      </c>
      <c r="R26" s="60">
        <f t="shared" si="0"/>
        <v>458.23934055861292</v>
      </c>
      <c r="S26" s="60">
        <f ca="1">AVERAGE(OFFSET($R$3,0,0,'Données projet'!$E$9+1,1))-AVERAGE(OFFSET($H$3,0,0,'Données projet'!$E$9+1,1))</f>
        <v>353.61481736740694</v>
      </c>
      <c r="T26" s="60">
        <f t="shared" si="34"/>
        <v>244.7141066773861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56.87136000000001</v>
      </c>
      <c r="AK26" s="14">
        <f t="shared" si="35"/>
        <v>16.374802181791551</v>
      </c>
      <c r="AL26" s="22">
        <f t="shared" si="4"/>
        <v>127.57039913328697</v>
      </c>
      <c r="AM26" s="60">
        <f t="shared" si="5"/>
        <v>412.34817691106474</v>
      </c>
      <c r="AN26" s="60">
        <f ca="1">AVERAGE(OFFSET($AM$3,0,0,'Données projet'!$E$10+1,1))-AVERAGE(OFFSET($H$3,0,0,'Données projet'!$E$10+1,1))</f>
        <v>455.50822833641354</v>
      </c>
      <c r="AO26" s="60">
        <f t="shared" si="36"/>
        <v>261.14722581688039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61.457760000000015</v>
      </c>
      <c r="BF26" s="14">
        <f t="shared" si="37"/>
        <v>17.536319965642669</v>
      </c>
      <c r="BG26" s="22">
        <f t="shared" si="7"/>
        <v>137.58135594016102</v>
      </c>
      <c r="BH26" s="60">
        <f t="shared" si="8"/>
        <v>422.35913371793879</v>
      </c>
      <c r="BI26" s="60">
        <f ca="1">AVERAGE(OFFSET($BH$3,0,0,'Données projet'!$E$11+1,1))-AVERAGE(OFFSET($H$3,0,0,'Données projet'!$E$11+1,1))</f>
        <v>488.7825919901664</v>
      </c>
      <c r="BJ26" s="60">
        <f t="shared" si="38"/>
        <v>278.78817181412438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59.623200000000011</v>
      </c>
      <c r="CA26" s="14">
        <f t="shared" si="39"/>
        <v>17.072967249098898</v>
      </c>
      <c r="CB26" s="22">
        <f t="shared" si="10"/>
        <v>133.57915795884725</v>
      </c>
      <c r="CC26" s="60">
        <f t="shared" si="11"/>
        <v>418.35693573662502</v>
      </c>
      <c r="CD26" s="60">
        <f ca="1">AVERAGE(OFFSET($CC$3,0,0,'Données projet'!$E$12+1,1))-AVERAGE(OFFSET($H$3,0,0,'Données projet'!$E$12+1,1))</f>
        <v>475.47920969424894</v>
      </c>
      <c r="CE26" s="60">
        <f t="shared" si="40"/>
        <v>271.73544012419364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53.202240000000003</v>
      </c>
      <c r="CV26" s="14">
        <f t="shared" si="41"/>
        <v>15.437740642425908</v>
      </c>
      <c r="CW26" s="22">
        <f t="shared" si="13"/>
        <v>119.54796628555846</v>
      </c>
      <c r="CX26" s="60">
        <f t="shared" si="14"/>
        <v>404.32574406333623</v>
      </c>
      <c r="CY26" s="60">
        <f ca="1">AVERAGE(OFFSET($CX$3,0,0,'Données projet'!$E$13+1,1))-AVERAGE(OFFSET($H$3,0,0,'Données projet'!$E$13+1,1))</f>
        <v>428.8489304403459</v>
      </c>
      <c r="CZ26" s="60">
        <f t="shared" si="42"/>
        <v>247.01165577562966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63.292320000000004</v>
      </c>
      <c r="DQ26" s="14">
        <f t="shared" si="43"/>
        <v>17.998065245956816</v>
      </c>
      <c r="DR26" s="22">
        <f t="shared" si="16"/>
        <v>141.58075430337479</v>
      </c>
      <c r="DS26" s="60">
        <f t="shared" si="17"/>
        <v>426.35853208115259</v>
      </c>
      <c r="DT26" s="60">
        <f ca="1">AVERAGE(OFFSET($DS$3,0,0,'Données projet'!$E$14+1,1))-AVERAGE(OFFSET($H$3,0,0,'Données projet'!$E$14+1,1))</f>
        <v>502.07782026233912</v>
      </c>
      <c r="DU26" s="60">
        <f t="shared" si="44"/>
        <v>285.83623046025156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12.333333333333334</v>
      </c>
      <c r="EJ26" s="13">
        <f>IF('Données projet'!$A$192&gt;35,EJ25+EI26-ER25,IF(A26&lt;'Données projet'!$A$192,$EG$205^A26,IF(A26='Données projet'!$A$192,'Données projet'!$B$192,EJ25+EI26-ER25)))</f>
        <v>119.33333333333334</v>
      </c>
      <c r="EK26" s="18">
        <f>EJ26*VLOOKUP('Données projet'!$B$15,Paramètres!$A$1:$I$89,3,0)*VLOOKUP('Données projet'!$B$15,Paramètres!$A$1:$I$89,5,0)</f>
        <v>71.361333333333349</v>
      </c>
      <c r="EL26" s="14">
        <f t="shared" si="45"/>
        <v>20.011144716858571</v>
      </c>
      <c r="EM26" s="22">
        <f t="shared" si="19"/>
        <v>159.14039927075092</v>
      </c>
      <c r="EN26" s="60">
        <f t="shared" si="20"/>
        <v>443.91817704852872</v>
      </c>
      <c r="EO26" s="60">
        <f ca="1">AVERAGE(OFFSET($EN$3,0,0,'Données projet'!$E$15+1,1))-AVERAGE(OFFSET($H$3,0,0,'Données projet'!$E$15+1,1))</f>
        <v>392.62423122800357</v>
      </c>
      <c r="EP26" s="60">
        <f t="shared" si="46"/>
        <v>314.09619163968642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2.7667981920729994</v>
      </c>
      <c r="EX26" s="23">
        <f>EXP(-LN(2)/2)*EX25+(1-EXP(-LN(2)/2))/(LN(2)/2)*ER26*EU26*VLOOKUP('Données projet'!$B$15,Paramètres!$A$1:$I$89,3,0)*0.475*44/12</f>
        <v>3.8301141040377158</v>
      </c>
      <c r="EY26" s="24">
        <f t="shared" si="21"/>
        <v>6.5969122961107152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>
        <f>VLOOKUP(A26,'Données projet'!$A$217:$I$237,2,0)</f>
        <v>143.72650000000002</v>
      </c>
      <c r="FC26" s="13">
        <f>VLOOKUP(A26,'Données projet'!$A$217:$I$237,9,0)</f>
        <v>16.855500000000021</v>
      </c>
      <c r="FD26" s="13">
        <f t="array" ref="FD26">INDEX(FC:FC,MIN(IF(ISNUMBER(FC26:FC222),ROW(FC26:FC222),"")))</f>
        <v>16.855500000000021</v>
      </c>
      <c r="FE26" s="13">
        <f>IF('Données projet'!$A$218&gt;35,FE25+FD26-FM25,IF(A26&lt;'Données projet'!$A$218,$FB$205^A26,IF(A26='Données projet'!$A$218,'Données projet'!$B$218,FE25+FD26-FM25)))</f>
        <v>143.72649999999999</v>
      </c>
      <c r="FF26" s="18">
        <f>FE26*VLOOKUP('Données projet'!$B$16,Paramètres!$A$1:$I$89,3,0)*VLOOKUP('Données projet'!$B$16,Paramètres!$A$1:$I$89,5,0)</f>
        <v>85.948447000000002</v>
      </c>
      <c r="FG26" s="14">
        <f t="shared" si="47"/>
        <v>23.585483929286731</v>
      </c>
      <c r="FH26" s="22">
        <f t="shared" si="22"/>
        <v>190.77159636850772</v>
      </c>
      <c r="FI26" s="60">
        <f t="shared" si="23"/>
        <v>475.54937414628546</v>
      </c>
      <c r="FJ26" s="60">
        <f ca="1">AVERAGE(OFFSET($FI$3,0,0,'Données projet'!$E$16+1,1))-AVERAGE(OFFSET($H$3,0,0,'Données projet'!$E$16+1,1))</f>
        <v>207.03241199974599</v>
      </c>
      <c r="FK26" s="60">
        <f t="shared" si="48"/>
        <v>314.188568589113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2.8685840365121122</v>
      </c>
      <c r="FR26" s="23">
        <f>EXP(-LN(2)/25)*FR25+(1-EXP(-LN(2)/25))/(LN(2)/25)*Calculateur!FM26*Calculateur!FO26*VLOOKUP('Données projet'!$B$16,Paramètres!$A$1:$I$89,3,0)*0.475*44/12</f>
        <v>7.5058584796811028</v>
      </c>
      <c r="FS26" s="23">
        <f>EXP(-LN(2)/2)*FS25+(1-EXP(-LN(2)/2))/(LN(2)/2)*FM26*FP26*VLOOKUP('Données projet'!$B$16,Paramètres!$A$1:$I$89,3,0)*0.475*44/12</f>
        <v>3.5553647035892171</v>
      </c>
      <c r="FT26" s="24">
        <f t="shared" si="24"/>
        <v>13.929807219782433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6.1538461538461533</v>
      </c>
      <c r="N27" s="14">
        <f>IF('Données projet'!$A$36&gt;35,N26+M27-V26,IF(A27&lt;'Données projet'!$A$36,$K$205^A27,IF(A27='Données projet'!$A$36,'Données projet'!$B$36,N26+M27-V26)))</f>
        <v>88.076923076923094</v>
      </c>
      <c r="O27" s="14">
        <f>N27*VLOOKUP('Données projet'!$B$9,Paramètres!$A$1:$I$89,3,0)*VLOOKUP('Données projet'!$B$9,Paramètres!$A$1:$I$89,5,0)</f>
        <v>83.814000000000021</v>
      </c>
      <c r="P27" s="14">
        <f t="shared" si="33"/>
        <v>23.067184225497325</v>
      </c>
      <c r="Q27" s="22">
        <f t="shared" si="2"/>
        <v>186.1513958594079</v>
      </c>
      <c r="R27" s="60">
        <f t="shared" si="0"/>
        <v>472.1513958594079</v>
      </c>
      <c r="S27" s="60">
        <f ca="1">AVERAGE(OFFSET($R$3,0,0,'Données projet'!$E$9+1,1))-AVERAGE(OFFSET($H$3,0,0,'Données projet'!$E$9+1,1))</f>
        <v>353.61481736740694</v>
      </c>
      <c r="T27" s="60">
        <f t="shared" si="34"/>
        <v>244.7141066773861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62.287680000000009</v>
      </c>
      <c r="AK27" s="14">
        <f t="shared" si="35"/>
        <v>17.745400652396182</v>
      </c>
      <c r="AL27" s="22">
        <f t="shared" si="4"/>
        <v>139.39094880292336</v>
      </c>
      <c r="AM27" s="60">
        <f t="shared" si="5"/>
        <v>425.39094880292339</v>
      </c>
      <c r="AN27" s="60">
        <f ca="1">AVERAGE(OFFSET($AM$3,0,0,'Données projet'!$E$10+1,1))-AVERAGE(OFFSET($H$3,0,0,'Données projet'!$E$10+1,1))</f>
        <v>455.50822833641354</v>
      </c>
      <c r="AO27" s="60">
        <f t="shared" si="36"/>
        <v>261.14722581688039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67.310880000000012</v>
      </c>
      <c r="BF27" s="14">
        <f t="shared" si="37"/>
        <v>19.004139427405065</v>
      </c>
      <c r="BG27" s="22">
        <f t="shared" si="7"/>
        <v>150.33199216939715</v>
      </c>
      <c r="BH27" s="60">
        <f t="shared" si="8"/>
        <v>436.33199216939715</v>
      </c>
      <c r="BI27" s="60">
        <f ca="1">AVERAGE(OFFSET($BH$3,0,0,'Données projet'!$E$11+1,1))-AVERAGE(OFFSET($H$3,0,0,'Données projet'!$E$11+1,1))</f>
        <v>488.7825919901664</v>
      </c>
      <c r="BJ27" s="60">
        <f t="shared" si="38"/>
        <v>278.78817181412438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65.301600000000008</v>
      </c>
      <c r="CA27" s="14">
        <f t="shared" si="39"/>
        <v>18.502003309535596</v>
      </c>
      <c r="CB27" s="22">
        <f t="shared" si="10"/>
        <v>145.95794243077449</v>
      </c>
      <c r="CC27" s="60">
        <f t="shared" si="11"/>
        <v>431.95794243077449</v>
      </c>
      <c r="CD27" s="60">
        <f ca="1">AVERAGE(OFFSET($CC$3,0,0,'Données projet'!$E$12+1,1))-AVERAGE(OFFSET($H$3,0,0,'Données projet'!$E$12+1,1))</f>
        <v>475.47920969424894</v>
      </c>
      <c r="CE27" s="60">
        <f t="shared" si="40"/>
        <v>271.73544012419364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58.269120000000008</v>
      </c>
      <c r="CV27" s="14">
        <f t="shared" si="41"/>
        <v>16.729905486873804</v>
      </c>
      <c r="CW27" s="22">
        <f t="shared" si="13"/>
        <v>130.62330272297189</v>
      </c>
      <c r="CX27" s="60">
        <f t="shared" si="14"/>
        <v>416.62330272297186</v>
      </c>
      <c r="CY27" s="60">
        <f ca="1">AVERAGE(OFFSET($CX$3,0,0,'Données projet'!$E$13+1,1))-AVERAGE(OFFSET($H$3,0,0,'Données projet'!$E$13+1,1))</f>
        <v>428.8489304403459</v>
      </c>
      <c r="CZ27" s="60">
        <f t="shared" si="42"/>
        <v>247.01165577562966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69.320160000000001</v>
      </c>
      <c r="DQ27" s="14">
        <f t="shared" si="43"/>
        <v>19.50453356393022</v>
      </c>
      <c r="DR27" s="22">
        <f t="shared" si="16"/>
        <v>154.70300795717847</v>
      </c>
      <c r="DS27" s="60">
        <f t="shared" si="17"/>
        <v>440.70300795717844</v>
      </c>
      <c r="DT27" s="60">
        <f ca="1">AVERAGE(OFFSET($DS$3,0,0,'Données projet'!$E$14+1,1))-AVERAGE(OFFSET($H$3,0,0,'Données projet'!$E$14+1,1))</f>
        <v>502.07782026233912</v>
      </c>
      <c r="DU27" s="60">
        <f t="shared" si="44"/>
        <v>285.83623046025156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12.333333333333334</v>
      </c>
      <c r="EJ27" s="13">
        <f>IF('Données projet'!$A$192&gt;35,EJ26+EI27-ER26,IF(A27&lt;'Données projet'!$A$192,$EG$205^A27,IF(A27='Données projet'!$A$192,'Données projet'!$B$192,EJ26+EI27-ER26)))</f>
        <v>131.66666666666669</v>
      </c>
      <c r="EK27" s="18">
        <f>EJ27*VLOOKUP('Données projet'!$B$15,Paramètres!$A$1:$I$89,3,0)*VLOOKUP('Données projet'!$B$15,Paramètres!$A$1:$I$89,5,0)</f>
        <v>78.736666666666679</v>
      </c>
      <c r="EL27" s="14">
        <f t="shared" si="45"/>
        <v>21.828006984037064</v>
      </c>
      <c r="EM27" s="22">
        <f t="shared" si="19"/>
        <v>175.15013994164235</v>
      </c>
      <c r="EN27" s="60">
        <f t="shared" si="20"/>
        <v>461.15013994164235</v>
      </c>
      <c r="EO27" s="60">
        <f ca="1">AVERAGE(OFFSET($EN$3,0,0,'Données projet'!$E$15+1,1))-AVERAGE(OFFSET($H$3,0,0,'Données projet'!$E$15+1,1))</f>
        <v>392.62423122800357</v>
      </c>
      <c r="EP27" s="60">
        <f t="shared" si="46"/>
        <v>314.09619163968642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2.6911399500111699</v>
      </c>
      <c r="EX27" s="23">
        <f>EXP(-LN(2)/2)*EX26+(1-EXP(-LN(2)/2))/(LN(2)/2)*ER27*EU27*VLOOKUP('Données projet'!$B$15,Paramètres!$A$1:$I$89,3,0)*0.475*44/12</f>
        <v>2.708299655683307</v>
      </c>
      <c r="EY27" s="24">
        <f t="shared" si="21"/>
        <v>5.3994396056944769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>
        <f>VLOOKUP(A27,'Données projet'!$A$217:$I$237,2,0)</f>
        <v>161.67850000000001</v>
      </c>
      <c r="FC27" s="13">
        <f>VLOOKUP(A27,'Données projet'!$A$217:$I$237,9,0)</f>
        <v>17.951999999999998</v>
      </c>
      <c r="FD27" s="13">
        <f t="array" ref="FD27">INDEX(FC:FC,MIN(IF(ISNUMBER(FC27:FC223),ROW(FC27:FC223),"")))</f>
        <v>17.951999999999998</v>
      </c>
      <c r="FE27" s="13">
        <f>IF('Données projet'!$A$218&gt;35,FE26+FD27-FM26,IF(A27&lt;'Données projet'!$A$218,$FB$205^A27,IF(A27='Données projet'!$A$218,'Données projet'!$B$218,FE26+FD27-FM26)))</f>
        <v>161.67849999999999</v>
      </c>
      <c r="FF27" s="18">
        <f>FE27*VLOOKUP('Données projet'!$B$16,Paramètres!$A$1:$I$89,3,0)*VLOOKUP('Données projet'!$B$16,Paramètres!$A$1:$I$89,5,0)</f>
        <v>96.683742999999993</v>
      </c>
      <c r="FG27" s="14">
        <f t="shared" si="47"/>
        <v>26.170401043006244</v>
      </c>
      <c r="FH27" s="22">
        <f t="shared" si="22"/>
        <v>213.97096754156919</v>
      </c>
      <c r="FI27" s="60">
        <f t="shared" si="23"/>
        <v>499.97096754156917</v>
      </c>
      <c r="FJ27" s="60">
        <f ca="1">AVERAGE(OFFSET($FI$3,0,0,'Données projet'!$E$16+1,1))-AVERAGE(OFFSET($H$3,0,0,'Données projet'!$E$16+1,1))</f>
        <v>207.03241199974599</v>
      </c>
      <c r="FK27" s="60">
        <f t="shared" si="48"/>
        <v>314.188568589113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2.812332853219607</v>
      </c>
      <c r="FR27" s="23">
        <f>EXP(-LN(2)/25)*FR26+(1-EXP(-LN(2)/25))/(LN(2)/25)*Calculateur!FM27*Calculateur!FO27*VLOOKUP('Données projet'!$B$16,Paramètres!$A$1:$I$89,3,0)*0.475*44/12</f>
        <v>7.3006103848382802</v>
      </c>
      <c r="FS27" s="23">
        <f>EXP(-LN(2)/2)*FS26+(1-EXP(-LN(2)/2))/(LN(2)/2)*FM27*FP27*VLOOKUP('Données projet'!$B$16,Paramètres!$A$1:$I$89,3,0)*0.475*44/12</f>
        <v>2.5140224914992353</v>
      </c>
      <c r="FT27" s="24">
        <f t="shared" si="24"/>
        <v>12.626965729557122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94.230769230769226</v>
      </c>
      <c r="L28" s="13">
        <f>VLOOKUP(A28,'Données projet'!$A$35:$I$55,9,0)</f>
        <v>6.1538461538461533</v>
      </c>
      <c r="M28" s="13">
        <f t="array" ref="M28">INDEX(L:L,MIN(IF(ISNUMBER(L28:L224),ROW(L28:L224),"")))</f>
        <v>6.1538461538461533</v>
      </c>
      <c r="N28" s="14">
        <f>IF('Données projet'!$A$36&gt;35,N27+M28-V27,IF(A28&lt;'Données projet'!$A$36,$K$205^A28,IF(A28='Données projet'!$A$36,'Données projet'!$B$36,N27+M28-V27)))</f>
        <v>94.230769230769255</v>
      </c>
      <c r="O28" s="14">
        <f>N28*VLOOKUP('Données projet'!$B$9,Paramètres!$A$1:$I$89,3,0)*VLOOKUP('Données projet'!$B$9,Paramètres!$A$1:$I$89,5,0)</f>
        <v>89.67000000000003</v>
      </c>
      <c r="P28" s="14">
        <f t="shared" si="33"/>
        <v>24.4856199329822</v>
      </c>
      <c r="Q28" s="22">
        <f t="shared" si="2"/>
        <v>198.82103804994404</v>
      </c>
      <c r="R28" s="60">
        <f t="shared" si="0"/>
        <v>486.04326027216626</v>
      </c>
      <c r="S28" s="60">
        <f ca="1">AVERAGE(OFFSET($R$3,0,0,'Données projet'!$E$9+1,1))-AVERAGE(OFFSET($H$3,0,0,'Données projet'!$E$9+1,1))</f>
        <v>353.61481736740694</v>
      </c>
      <c r="T28" s="60">
        <f t="shared" si="34"/>
        <v>244.7141066773861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26.923076923076923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67.703999999999994</v>
      </c>
      <c r="AK28" s="14">
        <f t="shared" si="35"/>
        <v>19.102177882771514</v>
      </c>
      <c r="AL28" s="22">
        <f t="shared" si="4"/>
        <v>151.18742647916039</v>
      </c>
      <c r="AM28" s="60">
        <f t="shared" si="5"/>
        <v>438.40964870138259</v>
      </c>
      <c r="AN28" s="60">
        <f ca="1">AVERAGE(OFFSET($AM$3,0,0,'Données projet'!$E$10+1,1))-AVERAGE(OFFSET($H$3,0,0,'Données projet'!$E$10+1,1))</f>
        <v>455.50822833641354</v>
      </c>
      <c r="AO28" s="60">
        <f t="shared" si="36"/>
        <v>261.14722581688039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73.164000000000016</v>
      </c>
      <c r="BF28" s="14">
        <f t="shared" si="37"/>
        <v>20.457157263578857</v>
      </c>
      <c r="BG28" s="22">
        <f t="shared" si="7"/>
        <v>163.0568489007332</v>
      </c>
      <c r="BH28" s="60">
        <f t="shared" si="8"/>
        <v>450.27907112295543</v>
      </c>
      <c r="BI28" s="60">
        <f ca="1">AVERAGE(OFFSET($BH$3,0,0,'Données projet'!$E$11+1,1))-AVERAGE(OFFSET($H$3,0,0,'Données projet'!$E$11+1,1))</f>
        <v>488.7825919901664</v>
      </c>
      <c r="BJ28" s="60">
        <f t="shared" si="38"/>
        <v>278.78817181412438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70.98</v>
      </c>
      <c r="CA28" s="14">
        <f t="shared" si="39"/>
        <v>19.916628839746853</v>
      </c>
      <c r="CB28" s="22">
        <f t="shared" si="10"/>
        <v>158.31162856255909</v>
      </c>
      <c r="CC28" s="60">
        <f t="shared" si="11"/>
        <v>445.53385078478129</v>
      </c>
      <c r="CD28" s="60">
        <f ca="1">AVERAGE(OFFSET($CC$3,0,0,'Données projet'!$E$12+1,1))-AVERAGE(OFFSET($H$3,0,0,'Données projet'!$E$12+1,1))</f>
        <v>475.47920969424894</v>
      </c>
      <c r="CE28" s="60">
        <f t="shared" si="40"/>
        <v>271.73544012419364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63.335999999999991</v>
      </c>
      <c r="CV28" s="14">
        <f t="shared" si="41"/>
        <v>18.009040022946227</v>
      </c>
      <c r="CW28" s="22">
        <f t="shared" si="13"/>
        <v>141.67594470663133</v>
      </c>
      <c r="CX28" s="60">
        <f t="shared" si="14"/>
        <v>428.89816692885358</v>
      </c>
      <c r="CY28" s="60">
        <f ca="1">AVERAGE(OFFSET($CX$3,0,0,'Données projet'!$E$13+1,1))-AVERAGE(OFFSET($H$3,0,0,'Données projet'!$E$13+1,1))</f>
        <v>428.8489304403459</v>
      </c>
      <c r="CZ28" s="60">
        <f t="shared" si="42"/>
        <v>247.01165577562966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75.347999999999999</v>
      </c>
      <c r="DQ28" s="14">
        <f t="shared" si="43"/>
        <v>20.99581051771704</v>
      </c>
      <c r="DR28" s="22">
        <f t="shared" si="16"/>
        <v>167.79880331835713</v>
      </c>
      <c r="DS28" s="60">
        <f t="shared" si="17"/>
        <v>455.02102554057933</v>
      </c>
      <c r="DT28" s="60">
        <f ca="1">AVERAGE(OFFSET($DS$3,0,0,'Données projet'!$E$14+1,1))-AVERAGE(OFFSET($H$3,0,0,'Données projet'!$E$14+1,1))</f>
        <v>502.07782026233912</v>
      </c>
      <c r="DU28" s="60">
        <f t="shared" si="44"/>
        <v>285.83623046025156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144</v>
      </c>
      <c r="EH28" s="13">
        <f>VLOOKUP(A28,'Données projet'!$A$191:$I$211,9,0)</f>
        <v>12.333333333333334</v>
      </c>
      <c r="EI28" s="13">
        <f t="array" ref="EI28">INDEX(EH:EH,MIN(IF(ISNUMBER(EH28:EH224),ROW(EH28:EH224),"")))</f>
        <v>12.333333333333334</v>
      </c>
      <c r="EJ28" s="13">
        <f>IF('Données projet'!$A$192&gt;35,EJ27+EI28-ER27,IF(A28&lt;'Données projet'!$A$192,$EG$205^A28,IF(A28='Données projet'!$A$192,'Données projet'!$B$192,EJ27+EI28-ER27)))</f>
        <v>144.00000000000003</v>
      </c>
      <c r="EK28" s="18">
        <f>EJ28*VLOOKUP('Données projet'!$B$15,Paramètres!$A$1:$I$89,3,0)*VLOOKUP('Données projet'!$B$15,Paramètres!$A$1:$I$89,5,0)</f>
        <v>86.112000000000009</v>
      </c>
      <c r="EL28" s="14">
        <f t="shared" si="45"/>
        <v>23.625136642852297</v>
      </c>
      <c r="EM28" s="22">
        <f t="shared" si="19"/>
        <v>191.12551298630106</v>
      </c>
      <c r="EN28" s="60">
        <f t="shared" si="20"/>
        <v>478.34773520852332</v>
      </c>
      <c r="EO28" s="60">
        <f ca="1">AVERAGE(OFFSET($EN$3,0,0,'Données projet'!$E$15+1,1))-AVERAGE(OFFSET($H$3,0,0,'Données projet'!$E$15+1,1))</f>
        <v>392.62423122800357</v>
      </c>
      <c r="EP28" s="60">
        <f t="shared" si="46"/>
        <v>314.09619163968642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2.6175505865572153</v>
      </c>
      <c r="EX28" s="23">
        <f>EXP(-LN(2)/2)*EX27+(1-EXP(-LN(2)/2))/(LN(2)/2)*ER28*EU28*VLOOKUP('Données projet'!$B$15,Paramètres!$A$1:$I$89,3,0)*0.475*44/12</f>
        <v>1.9150570520188583</v>
      </c>
      <c r="EY28" s="24">
        <f t="shared" si="21"/>
        <v>4.5326076385760734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180.251</v>
      </c>
      <c r="FC28" s="13">
        <f>VLOOKUP(A28,'Données projet'!$A$217:$I$237,9,0)</f>
        <v>18.572499999999991</v>
      </c>
      <c r="FD28" s="13">
        <f t="array" ref="FD28">INDEX(FC:FC,MIN(IF(ISNUMBER(FC28:FC224),ROW(FC28:FC224),"")))</f>
        <v>18.572499999999991</v>
      </c>
      <c r="FE28" s="13">
        <f>IF('Données projet'!$A$218&gt;35,FE27+FD28-FM27,IF(A28&lt;'Données projet'!$A$218,$FB$205^A28,IF(A28='Données projet'!$A$218,'Données projet'!$B$218,FE27+FD28-FM27)))</f>
        <v>180.25099999999998</v>
      </c>
      <c r="FF28" s="18">
        <f>FE28*VLOOKUP('Données projet'!$B$16,Paramètres!$A$1:$I$89,3,0)*VLOOKUP('Données projet'!$B$16,Paramètres!$A$1:$I$89,5,0)</f>
        <v>107.790098</v>
      </c>
      <c r="FG28" s="14">
        <f t="shared" si="47"/>
        <v>28.809701036494001</v>
      </c>
      <c r="FH28" s="22">
        <f t="shared" si="22"/>
        <v>237.91131665522707</v>
      </c>
      <c r="FI28" s="60">
        <f t="shared" si="23"/>
        <v>525.13353887744927</v>
      </c>
      <c r="FJ28" s="60">
        <f ca="1">AVERAGE(OFFSET($FI$3,0,0,'Données projet'!$E$16+1,1))-AVERAGE(OFFSET($H$3,0,0,'Données projet'!$E$16+1,1))</f>
        <v>207.03241199974599</v>
      </c>
      <c r="FK28" s="60">
        <f t="shared" si="48"/>
        <v>314.188568589113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2.7571847213216341</v>
      </c>
      <c r="FR28" s="23">
        <f>EXP(-LN(2)/25)*FR27+(1-EXP(-LN(2)/25))/(LN(2)/25)*Calculateur!FM28*Calculateur!FO28*VLOOKUP('Données projet'!$B$16,Paramètres!$A$1:$I$89,3,0)*0.475*44/12</f>
        <v>7.1009748099424632</v>
      </c>
      <c r="FS28" s="23">
        <f>EXP(-LN(2)/2)*FS27+(1-EXP(-LN(2)/2))/(LN(2)/2)*FM28*FP28*VLOOKUP('Données projet'!$B$16,Paramètres!$A$1:$I$89,3,0)*0.475*44/12</f>
        <v>1.777682351794609</v>
      </c>
      <c r="FT28" s="24">
        <f t="shared" si="24"/>
        <v>11.635841883058706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6.2820512820512819</v>
      </c>
      <c r="N29" s="14">
        <f>IF('Données projet'!$A$36&gt;35,N28+M29-V28,IF(A29&lt;'Données projet'!$A$36,$K$205^A29,IF(A29='Données projet'!$A$36,'Données projet'!$B$36,N28+M29-V28)))</f>
        <v>73.58974358974362</v>
      </c>
      <c r="O29" s="14">
        <f>N29*VLOOKUP('Données projet'!$B$9,Paramètres!$A$1:$I$89,3,0)*VLOOKUP('Données projet'!$B$9,Paramètres!$A$1:$I$89,5,0)</f>
        <v>70.028000000000034</v>
      </c>
      <c r="P29" s="14">
        <f t="shared" si="33"/>
        <v>19.680410796372318</v>
      </c>
      <c r="Q29" s="22">
        <f t="shared" si="2"/>
        <v>156.24214880368183</v>
      </c>
      <c r="R29" s="60">
        <f t="shared" si="0"/>
        <v>444.68659324812631</v>
      </c>
      <c r="S29" s="60">
        <f ca="1">AVERAGE(OFFSET($R$3,0,0,'Données projet'!$E$9+1,1))-AVERAGE(OFFSET($H$3,0,0,'Données projet'!$E$9+1,1))</f>
        <v>353.61481736740694</v>
      </c>
      <c r="T29" s="60">
        <f t="shared" si="34"/>
        <v>244.7141066773861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74.474400000000003</v>
      </c>
      <c r="AK29" s="14">
        <f t="shared" si="35"/>
        <v>20.780570274034375</v>
      </c>
      <c r="AL29" s="22">
        <f t="shared" si="4"/>
        <v>165.90240656060988</v>
      </c>
      <c r="AM29" s="60">
        <f t="shared" si="5"/>
        <v>454.3468510050543</v>
      </c>
      <c r="AN29" s="60">
        <f ca="1">AVERAGE(OFFSET($AM$3,0,0,'Données projet'!$E$10+1,1))-AVERAGE(OFFSET($H$3,0,0,'Données projet'!$E$10+1,1))</f>
        <v>455.50822833641354</v>
      </c>
      <c r="AO29" s="60">
        <f t="shared" si="36"/>
        <v>261.14722581688039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80.480400000000003</v>
      </c>
      <c r="BF29" s="14">
        <f t="shared" si="37"/>
        <v>22.254603466245904</v>
      </c>
      <c r="BG29" s="22">
        <f t="shared" si="7"/>
        <v>178.93013103704493</v>
      </c>
      <c r="BH29" s="60">
        <f t="shared" si="8"/>
        <v>467.37457548148939</v>
      </c>
      <c r="BI29" s="60">
        <f ca="1">AVERAGE(OFFSET($BH$3,0,0,'Données projet'!$E$11+1,1))-AVERAGE(OFFSET($H$3,0,0,'Données projet'!$E$11+1,1))</f>
        <v>488.7825919901664</v>
      </c>
      <c r="BJ29" s="60">
        <f t="shared" si="38"/>
        <v>278.78817181412438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78.078000000000003</v>
      </c>
      <c r="CA29" s="14">
        <f t="shared" si="39"/>
        <v>21.666582091642084</v>
      </c>
      <c r="CB29" s="22">
        <f t="shared" si="10"/>
        <v>173.72181380960993</v>
      </c>
      <c r="CC29" s="60">
        <f t="shared" si="11"/>
        <v>462.16625825405436</v>
      </c>
      <c r="CD29" s="60">
        <f ca="1">AVERAGE(OFFSET($CC$3,0,0,'Données projet'!$E$12+1,1))-AVERAGE(OFFSET($H$3,0,0,'Données projet'!$E$12+1,1))</f>
        <v>475.47920969424894</v>
      </c>
      <c r="CE29" s="60">
        <f t="shared" si="40"/>
        <v>271.73544012419364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69.669600000000003</v>
      </c>
      <c r="CV29" s="14">
        <f t="shared" si="41"/>
        <v>19.591385027476957</v>
      </c>
      <c r="CW29" s="22">
        <f t="shared" si="13"/>
        <v>155.46288225618903</v>
      </c>
      <c r="CX29" s="60">
        <f t="shared" si="14"/>
        <v>443.90732670063346</v>
      </c>
      <c r="CY29" s="60">
        <f ca="1">AVERAGE(OFFSET($CX$3,0,0,'Données projet'!$E$13+1,1))-AVERAGE(OFFSET($H$3,0,0,'Données projet'!$E$13+1,1))</f>
        <v>428.8489304403459</v>
      </c>
      <c r="CZ29" s="60">
        <f t="shared" si="42"/>
        <v>247.01165577562966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82.882799999999989</v>
      </c>
      <c r="DQ29" s="14">
        <f t="shared" si="43"/>
        <v>22.840584911380041</v>
      </c>
      <c r="DR29" s="22">
        <f t="shared" si="16"/>
        <v>184.1348953873202</v>
      </c>
      <c r="DS29" s="60">
        <f t="shared" si="17"/>
        <v>472.57933983176463</v>
      </c>
      <c r="DT29" s="60">
        <f ca="1">AVERAGE(OFFSET($DS$3,0,0,'Données projet'!$E$14+1,1))-AVERAGE(OFFSET($H$3,0,0,'Données projet'!$E$14+1,1))</f>
        <v>502.07782026233912</v>
      </c>
      <c r="DU29" s="60">
        <f t="shared" si="44"/>
        <v>285.83623046025156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13.4</v>
      </c>
      <c r="EJ29" s="13">
        <f>IF('Données projet'!$A$192&gt;35,EJ28+EI29-ER28,IF(A29&lt;'Données projet'!$A$192,$EG$205^A29,IF(A29='Données projet'!$A$192,'Données projet'!$B$192,EJ28+EI29-ER28)))</f>
        <v>157.40000000000003</v>
      </c>
      <c r="EK29" s="18">
        <f>EJ29*VLOOKUP('Données projet'!$B$15,Paramètres!$A$1:$I$89,3,0)*VLOOKUP('Données projet'!$B$15,Paramètres!$A$1:$I$89,5,0)</f>
        <v>94.125200000000035</v>
      </c>
      <c r="EL29" s="14">
        <f t="shared" si="45"/>
        <v>25.557514079834487</v>
      </c>
      <c r="EM29" s="22">
        <f t="shared" si="19"/>
        <v>208.44739368904513</v>
      </c>
      <c r="EN29" s="60">
        <f t="shared" si="20"/>
        <v>496.89183813348961</v>
      </c>
      <c r="EO29" s="60">
        <f ca="1">AVERAGE(OFFSET($EN$3,0,0,'Données projet'!$E$15+1,1))-AVERAGE(OFFSET($H$3,0,0,'Données projet'!$E$15+1,1))</f>
        <v>392.62423122800357</v>
      </c>
      <c r="EP29" s="60">
        <f t="shared" si="46"/>
        <v>314.09619163968642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2.5459735281168054</v>
      </c>
      <c r="EX29" s="23">
        <f>EXP(-LN(2)/2)*EX28+(1-EXP(-LN(2)/2))/(LN(2)/2)*ER29*EU29*VLOOKUP('Données projet'!$B$15,Paramètres!$A$1:$I$89,3,0)*0.475*44/12</f>
        <v>1.3541498278416537</v>
      </c>
      <c r="EY29" s="24">
        <f t="shared" si="21"/>
        <v>3.9001233559584589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19.056999999999988</v>
      </c>
      <c r="FE29" s="13">
        <f>IF('Données projet'!$A$218&gt;35,FE28+FD29-FM28,IF(A29&lt;'Données projet'!$A$218,$FB$205^A29,IF(A29='Données projet'!$A$218,'Données projet'!$B$218,FE28+FD29-FM28)))</f>
        <v>199.30799999999996</v>
      </c>
      <c r="FF29" s="18">
        <f>FE29*VLOOKUP('Données projet'!$B$16,Paramètres!$A$1:$I$89,3,0)*VLOOKUP('Données projet'!$B$16,Paramètres!$A$1:$I$89,5,0)</f>
        <v>119.18618399999998</v>
      </c>
      <c r="FG29" s="14">
        <f t="shared" si="47"/>
        <v>31.485114968902487</v>
      </c>
      <c r="FH29" s="22">
        <f t="shared" si="22"/>
        <v>262.4191790375051</v>
      </c>
      <c r="FI29" s="60">
        <f t="shared" si="23"/>
        <v>550.86362348194962</v>
      </c>
      <c r="FJ29" s="60">
        <f ca="1">AVERAGE(OFFSET($FI$3,0,0,'Données projet'!$E$16+1,1))-AVERAGE(OFFSET($H$3,0,0,'Données projet'!$E$16+1,1))</f>
        <v>207.03241199974599</v>
      </c>
      <c r="FK29" s="60">
        <f t="shared" si="48"/>
        <v>314.188568589113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2.7031180106531409</v>
      </c>
      <c r="FR29" s="23">
        <f>EXP(-LN(2)/25)*FR28+(1-EXP(-LN(2)/25))/(LN(2)/25)*Calculateur!FM29*Calculateur!FO29*VLOOKUP('Données projet'!$B$16,Paramètres!$A$1:$I$89,3,0)*0.475*44/12</f>
        <v>6.906798280340551</v>
      </c>
      <c r="FS29" s="23">
        <f>EXP(-LN(2)/2)*FS28+(1-EXP(-LN(2)/2))/(LN(2)/2)*FM29*FP29*VLOOKUP('Données projet'!$B$16,Paramètres!$A$1:$I$89,3,0)*0.475*44/12</f>
        <v>1.2570112457496179</v>
      </c>
      <c r="FT29" s="24">
        <f t="shared" si="24"/>
        <v>10.86692753674331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6.2820512820512819</v>
      </c>
      <c r="N30" s="14">
        <f>IF('Données projet'!$A$36&gt;35,N29+M30-V29,IF(A30&lt;'Données projet'!$A$36,$K$205^A30,IF(A30='Données projet'!$A$36,'Données projet'!$B$36,N29+M30-V29)))</f>
        <v>79.871794871794904</v>
      </c>
      <c r="O30" s="14">
        <f>N30*VLOOKUP('Données projet'!$B$9,Paramètres!$A$1:$I$89,3,0)*VLOOKUP('Données projet'!$B$9,Paramètres!$A$1:$I$89,5,0)</f>
        <v>76.006000000000029</v>
      </c>
      <c r="P30" s="14">
        <f t="shared" si="33"/>
        <v>21.157738701449713</v>
      </c>
      <c r="Q30" s="22">
        <f t="shared" si="2"/>
        <v>169.22684490502496</v>
      </c>
      <c r="R30" s="60">
        <f t="shared" si="0"/>
        <v>458.89351157169165</v>
      </c>
      <c r="S30" s="60">
        <f ca="1">AVERAGE(OFFSET($R$3,0,0,'Données projet'!$E$9+1,1))-AVERAGE(OFFSET($H$3,0,0,'Données projet'!$E$9+1,1))</f>
        <v>353.61481736740694</v>
      </c>
      <c r="T30" s="60">
        <f t="shared" si="34"/>
        <v>244.7141066773861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81.244799999999998</v>
      </c>
      <c r="AK30" s="14">
        <f t="shared" si="35"/>
        <v>22.441270156928962</v>
      </c>
      <c r="AL30" s="22">
        <f t="shared" si="4"/>
        <v>180.58657218998462</v>
      </c>
      <c r="AM30" s="60">
        <f t="shared" si="5"/>
        <v>470.25323885665131</v>
      </c>
      <c r="AN30" s="60">
        <f ca="1">AVERAGE(OFFSET($AM$3,0,0,'Données projet'!$E$10+1,1))-AVERAGE(OFFSET($H$3,0,0,'Données projet'!$E$10+1,1))</f>
        <v>455.50822833641354</v>
      </c>
      <c r="AO30" s="60">
        <f t="shared" si="36"/>
        <v>261.14722581688039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87.796800000000005</v>
      </c>
      <c r="BF30" s="14">
        <f t="shared" si="37"/>
        <v>24.033102173590827</v>
      </c>
      <c r="BG30" s="22">
        <f t="shared" si="7"/>
        <v>194.77041295233732</v>
      </c>
      <c r="BH30" s="60">
        <f t="shared" si="8"/>
        <v>484.43707961900401</v>
      </c>
      <c r="BI30" s="60">
        <f ca="1">AVERAGE(OFFSET($BH$3,0,0,'Données projet'!$E$11+1,1))-AVERAGE(OFFSET($H$3,0,0,'Données projet'!$E$11+1,1))</f>
        <v>488.7825919901664</v>
      </c>
      <c r="BJ30" s="60">
        <f t="shared" si="38"/>
        <v>278.78817181412438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85.176000000000002</v>
      </c>
      <c r="CA30" s="14">
        <f t="shared" si="39"/>
        <v>23.398088487656441</v>
      </c>
      <c r="CB30" s="22">
        <f t="shared" si="10"/>
        <v>189.09987078266829</v>
      </c>
      <c r="CC30" s="60">
        <f t="shared" si="11"/>
        <v>478.76653744933498</v>
      </c>
      <c r="CD30" s="60">
        <f ca="1">AVERAGE(OFFSET($CC$3,0,0,'Données projet'!$E$12+1,1))-AVERAGE(OFFSET($H$3,0,0,'Données projet'!$E$12+1,1))</f>
        <v>475.47920969424894</v>
      </c>
      <c r="CE30" s="60">
        <f t="shared" si="40"/>
        <v>271.73544012419364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76.003200000000007</v>
      </c>
      <c r="CV30" s="14">
        <f t="shared" si="41"/>
        <v>21.157049992000456</v>
      </c>
      <c r="CW30" s="22">
        <f t="shared" si="13"/>
        <v>169.22076873606747</v>
      </c>
      <c r="CX30" s="60">
        <f t="shared" si="14"/>
        <v>458.88743540273413</v>
      </c>
      <c r="CY30" s="60">
        <f ca="1">AVERAGE(OFFSET($CX$3,0,0,'Données projet'!$E$13+1,1))-AVERAGE(OFFSET($H$3,0,0,'Données projet'!$E$13+1,1))</f>
        <v>428.8489304403459</v>
      </c>
      <c r="CZ30" s="60">
        <f t="shared" si="42"/>
        <v>247.01165577562966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90.417599999999993</v>
      </c>
      <c r="DQ30" s="14">
        <f t="shared" si="43"/>
        <v>24.665912907068826</v>
      </c>
      <c r="DR30" s="22">
        <f t="shared" si="16"/>
        <v>200.43711831314488</v>
      </c>
      <c r="DS30" s="60">
        <f t="shared" si="17"/>
        <v>490.10378497981156</v>
      </c>
      <c r="DT30" s="60">
        <f ca="1">AVERAGE(OFFSET($DS$3,0,0,'Données projet'!$E$14+1,1))-AVERAGE(OFFSET($H$3,0,0,'Données projet'!$E$14+1,1))</f>
        <v>502.07782026233912</v>
      </c>
      <c r="DU30" s="60">
        <f t="shared" si="44"/>
        <v>285.83623046025156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13.4</v>
      </c>
      <c r="EJ30" s="13">
        <f>IF('Données projet'!$A$192&gt;35,EJ29+EI30-ER29,IF(A30&lt;'Données projet'!$A$192,$EG$205^A30,IF(A30='Données projet'!$A$192,'Données projet'!$B$192,EJ29+EI30-ER29)))</f>
        <v>170.80000000000004</v>
      </c>
      <c r="EK30" s="18">
        <f>EJ30*VLOOKUP('Données projet'!$B$15,Paramètres!$A$1:$I$89,3,0)*VLOOKUP('Données projet'!$B$15,Paramètres!$A$1:$I$89,5,0)</f>
        <v>102.13840000000003</v>
      </c>
      <c r="EL30" s="14">
        <f t="shared" si="45"/>
        <v>27.470812821300004</v>
      </c>
      <c r="EM30" s="22">
        <f t="shared" si="19"/>
        <v>225.73604566376423</v>
      </c>
      <c r="EN30" s="60">
        <f t="shared" si="20"/>
        <v>515.40271233043086</v>
      </c>
      <c r="EO30" s="60">
        <f ca="1">AVERAGE(OFFSET($EN$3,0,0,'Données projet'!$E$15+1,1))-AVERAGE(OFFSET($H$3,0,0,'Données projet'!$E$15+1,1))</f>
        <v>392.62423122800357</v>
      </c>
      <c r="EP30" s="60">
        <f t="shared" si="46"/>
        <v>314.09619163968642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2.4763537481035223</v>
      </c>
      <c r="EX30" s="23">
        <f>EXP(-LN(2)/2)*EX29+(1-EXP(-LN(2)/2))/(LN(2)/2)*ER30*EU30*VLOOKUP('Données projet'!$B$15,Paramètres!$A$1:$I$89,3,0)*0.475*44/12</f>
        <v>0.95752852600942928</v>
      </c>
      <c r="EY30" s="24">
        <f t="shared" si="21"/>
        <v>3.4338822741129515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>
        <f>VLOOKUP(A30,'Données projet'!$A$217:$I$237,2,0)</f>
        <v>218.36499999999998</v>
      </c>
      <c r="FC30" s="13">
        <f>VLOOKUP(A30,'Données projet'!$A$217:$I$237,9,0)</f>
        <v>19.056999999999988</v>
      </c>
      <c r="FD30" s="13">
        <f t="array" ref="FD30">INDEX(FC:FC,MIN(IF(ISNUMBER(FC30:FC226),ROW(FC30:FC226),"")))</f>
        <v>19.056999999999988</v>
      </c>
      <c r="FE30" s="13">
        <f>IF('Données projet'!$A$218&gt;35,FE29+FD30-FM29,IF(A30&lt;'Données projet'!$A$218,$FB$205^A30,IF(A30='Données projet'!$A$218,'Données projet'!$B$218,FE29+FD30-FM29)))</f>
        <v>218.36499999999995</v>
      </c>
      <c r="FF30" s="18">
        <f>FE30*VLOOKUP('Données projet'!$B$16,Paramètres!$A$1:$I$89,3,0)*VLOOKUP('Données projet'!$B$16,Paramètres!$A$1:$I$89,5,0)</f>
        <v>130.58226999999997</v>
      </c>
      <c r="FG30" s="14">
        <f t="shared" si="47"/>
        <v>34.13086981877764</v>
      </c>
      <c r="FH30" s="22">
        <f t="shared" si="22"/>
        <v>286.87538518437105</v>
      </c>
      <c r="FI30" s="60">
        <f t="shared" si="23"/>
        <v>576.54205185103774</v>
      </c>
      <c r="FJ30" s="60">
        <f ca="1">AVERAGE(OFFSET($FI$3,0,0,'Données projet'!$E$16+1,1))-AVERAGE(OFFSET($H$3,0,0,'Données projet'!$E$16+1,1))</f>
        <v>207.03241199974599</v>
      </c>
      <c r="FK30" s="60">
        <f t="shared" si="48"/>
        <v>314.188568589113</v>
      </c>
      <c r="FL30" s="16">
        <f>IF(ISNA(VLOOKUP(A30,'Données projet'!$A$217:$I$237,3,0)),0,VLOOKUP(A30,'Données projet'!$A$217:$I$237,3,0))</f>
        <v>3</v>
      </c>
      <c r="FM30" s="16">
        <f>IF(ISNA(VLOOKUP(A30,'Données projet'!$A$217:$I$237,4,0)),0,VLOOKUP(A30,'Données projet'!$A$217:$I$237,4,0))</f>
        <v>54.518999999999998</v>
      </c>
      <c r="FN30" s="17">
        <f>IF(ISNA(VLOOKUP(A30,'Données projet'!$A$217:$I$237,5,0)),0%,VLOOKUP(A30,'Données projet'!$A$217:$I$237,5,0)*VLOOKUP('Données projet'!$B$16,Paramètres!$A$1:$I$89,7,0))</f>
        <v>0.27</v>
      </c>
      <c r="FO30" s="17">
        <f>IF(ISNA(VLOOKUP(A30,'Données projet'!$A$217:$I$237,6,0)),0%,VLOOKUP(A30,'Données projet'!$A$217:$I$237,6,0)*VLOOKUP('Données projet'!$B$16,Paramètres!$A$1:$I$89,7,0))</f>
        <v>9.0000000000000011E-2</v>
      </c>
      <c r="FP30" s="17">
        <f>IF(ISNA(VLOOKUP(A30,'Données projet'!$A$217:$I$237,7,0)),0%,VLOOKUP(A30,'Données projet'!$A$217:$I$237,7,0))</f>
        <v>0.2</v>
      </c>
      <c r="FQ30" s="23">
        <f>EXP(-LN(2)/35)*FQ29+(1-EXP(-LN(2)/35))/(LN(2)/35)*FM30*FN30*VLOOKUP('Données projet'!$B$16,Paramètres!$A$1:$I$89,3,0)*0.475*44/12</f>
        <v>14.327377855198066</v>
      </c>
      <c r="FR30" s="23">
        <f>EXP(-LN(2)/25)*FR29+(1-EXP(-LN(2)/25))/(LN(2)/25)*Calculateur!FM30*Calculateur!FO30*VLOOKUP('Données projet'!$B$16,Paramètres!$A$1:$I$89,3,0)*0.475*44/12</f>
        <v>10.595027682494164</v>
      </c>
      <c r="FS30" s="23">
        <f>EXP(-LN(2)/2)*FS29+(1-EXP(-LN(2)/2))/(LN(2)/2)*FM30*FP30*VLOOKUP('Données projet'!$B$16,Paramètres!$A$1:$I$89,3,0)*0.475*44/12</f>
        <v>8.271530622307214</v>
      </c>
      <c r="FT30" s="24">
        <f t="shared" si="24"/>
        <v>33.193936159999438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6.2820512820512819</v>
      </c>
      <c r="N31" s="14">
        <f>IF('Données projet'!$A$36&gt;35,N30+M31-V30,IF(A31&lt;'Données projet'!$A$36,$K$205^A31,IF(A31='Données projet'!$A$36,'Données projet'!$B$36,N30+M31-V30)))</f>
        <v>86.153846153846189</v>
      </c>
      <c r="O31" s="14">
        <f>N31*VLOOKUP('Données projet'!$B$9,Paramètres!$A$1:$I$89,3,0)*VLOOKUP('Données projet'!$B$9,Paramètres!$A$1:$I$89,5,0)</f>
        <v>81.984000000000037</v>
      </c>
      <c r="P31" s="14">
        <f t="shared" si="33"/>
        <v>22.621588649697724</v>
      </c>
      <c r="Q31" s="22">
        <f t="shared" si="2"/>
        <v>182.18806689822361</v>
      </c>
      <c r="R31" s="60">
        <f t="shared" si="0"/>
        <v>473.07695578711247</v>
      </c>
      <c r="S31" s="60">
        <f ca="1">AVERAGE(OFFSET($R$3,0,0,'Données projet'!$E$9+1,1))-AVERAGE(OFFSET($H$3,0,0,'Données projet'!$E$9+1,1))</f>
        <v>353.61481736740694</v>
      </c>
      <c r="T31" s="60">
        <f t="shared" si="34"/>
        <v>244.7141066773861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88.015200000000007</v>
      </c>
      <c r="AK31" s="14">
        <f t="shared" si="35"/>
        <v>24.085919530575829</v>
      </c>
      <c r="AL31" s="22">
        <f t="shared" si="4"/>
        <v>195.24278318241954</v>
      </c>
      <c r="AM31" s="60">
        <f t="shared" si="5"/>
        <v>486.1316720713084</v>
      </c>
      <c r="AN31" s="60">
        <f ca="1">AVERAGE(OFFSET($AM$3,0,0,'Données projet'!$E$10+1,1))-AVERAGE(OFFSET($H$3,0,0,'Données projet'!$E$10+1,1))</f>
        <v>455.50822833641354</v>
      </c>
      <c r="AO31" s="60">
        <f t="shared" si="36"/>
        <v>261.14722581688039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95.113200000000006</v>
      </c>
      <c r="BF31" s="14">
        <f t="shared" si="37"/>
        <v>25.794411857052886</v>
      </c>
      <c r="BG31" s="22">
        <f t="shared" si="7"/>
        <v>210.58075731770046</v>
      </c>
      <c r="BH31" s="60">
        <f t="shared" si="8"/>
        <v>501.46964620658935</v>
      </c>
      <c r="BI31" s="60">
        <f ca="1">AVERAGE(OFFSET($BH$3,0,0,'Données projet'!$E$11+1,1))-AVERAGE(OFFSET($H$3,0,0,'Données projet'!$E$11+1,1))</f>
        <v>488.7825919901664</v>
      </c>
      <c r="BJ31" s="60">
        <f t="shared" si="38"/>
        <v>278.78817181412438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92.274000000000001</v>
      </c>
      <c r="CA31" s="14">
        <f t="shared" si="39"/>
        <v>25.112860036087575</v>
      </c>
      <c r="CB31" s="22">
        <f t="shared" si="10"/>
        <v>204.4487812295192</v>
      </c>
      <c r="CC31" s="60">
        <f t="shared" si="11"/>
        <v>495.33767011840803</v>
      </c>
      <c r="CD31" s="60">
        <f ca="1">AVERAGE(OFFSET($CC$3,0,0,'Données projet'!$E$12+1,1))-AVERAGE(OFFSET($H$3,0,0,'Données projet'!$E$12+1,1))</f>
        <v>475.47920969424894</v>
      </c>
      <c r="CE31" s="60">
        <f t="shared" si="40"/>
        <v>271.73544012419364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82.336799999999997</v>
      </c>
      <c r="CV31" s="14">
        <f t="shared" si="41"/>
        <v>22.707582950885364</v>
      </c>
      <c r="CW31" s="22">
        <f t="shared" si="13"/>
        <v>182.95230030612535</v>
      </c>
      <c r="CX31" s="60">
        <f t="shared" si="14"/>
        <v>473.84118919501418</v>
      </c>
      <c r="CY31" s="60">
        <f ca="1">AVERAGE(OFFSET($CX$3,0,0,'Données projet'!$E$13+1,1))-AVERAGE(OFFSET($H$3,0,0,'Données projet'!$E$13+1,1))</f>
        <v>428.8489304403459</v>
      </c>
      <c r="CZ31" s="60">
        <f t="shared" si="42"/>
        <v>247.01165577562966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97.952399999999997</v>
      </c>
      <c r="DQ31" s="14">
        <f t="shared" si="43"/>
        <v>26.473599278177087</v>
      </c>
      <c r="DR31" s="22">
        <f t="shared" si="16"/>
        <v>216.70861540949173</v>
      </c>
      <c r="DS31" s="60">
        <f t="shared" si="17"/>
        <v>507.59750429838061</v>
      </c>
      <c r="DT31" s="60">
        <f ca="1">AVERAGE(OFFSET($DS$3,0,0,'Données projet'!$E$14+1,1))-AVERAGE(OFFSET($H$3,0,0,'Données projet'!$E$14+1,1))</f>
        <v>502.07782026233912</v>
      </c>
      <c r="DU31" s="60">
        <f t="shared" si="44"/>
        <v>285.83623046025156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13.4</v>
      </c>
      <c r="EJ31" s="13">
        <f>IF('Données projet'!$A$192&gt;35,EJ30+EI31-ER30,IF(A31&lt;'Données projet'!$A$192,$EG$205^A31,IF(A31='Données projet'!$A$192,'Données projet'!$B$192,EJ30+EI31-ER30)))</f>
        <v>184.20000000000005</v>
      </c>
      <c r="EK31" s="18">
        <f>EJ31*VLOOKUP('Données projet'!$B$15,Paramètres!$A$1:$I$89,3,0)*VLOOKUP('Données projet'!$B$15,Paramètres!$A$1:$I$89,5,0)</f>
        <v>110.15160000000004</v>
      </c>
      <c r="EL31" s="14">
        <f t="shared" si="45"/>
        <v>29.366699851504961</v>
      </c>
      <c r="EM31" s="22">
        <f t="shared" si="19"/>
        <v>242.99437224137114</v>
      </c>
      <c r="EN31" s="60">
        <f t="shared" si="20"/>
        <v>533.88326113026005</v>
      </c>
      <c r="EO31" s="60">
        <f ca="1">AVERAGE(OFFSET($EN$3,0,0,'Données projet'!$E$15+1,1))-AVERAGE(OFFSET($H$3,0,0,'Données projet'!$E$15+1,1))</f>
        <v>392.62423122800357</v>
      </c>
      <c r="EP31" s="60">
        <f t="shared" si="46"/>
        <v>314.09619163968642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2.4086377246358475</v>
      </c>
      <c r="EX31" s="23">
        <f>EXP(-LN(2)/2)*EX30+(1-EXP(-LN(2)/2))/(LN(2)/2)*ER31*EU31*VLOOKUP('Données projet'!$B$15,Paramètres!$A$1:$I$89,3,0)*0.475*44/12</f>
        <v>0.67707491392082697</v>
      </c>
      <c r="EY31" s="24">
        <f t="shared" si="21"/>
        <v>3.0857126385566742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15.74200000000001</v>
      </c>
      <c r="FE31" s="13">
        <f>IF('Données projet'!$A$218&gt;35,FE30+FD31-FM30,IF(A31&lt;'Données projet'!$A$218,$FB$205^A31,IF(A31='Données projet'!$A$218,'Données projet'!$B$218,FE30+FD31-FM30)))</f>
        <v>179.58799999999997</v>
      </c>
      <c r="FF31" s="18">
        <f>FE31*VLOOKUP('Données projet'!$B$16,Paramètres!$A$1:$I$89,3,0)*VLOOKUP('Données projet'!$B$16,Paramètres!$A$1:$I$89,5,0)</f>
        <v>107.39362399999997</v>
      </c>
      <c r="FG31" s="14">
        <f t="shared" si="47"/>
        <v>28.716047670284119</v>
      </c>
      <c r="FH31" s="22">
        <f t="shared" si="22"/>
        <v>237.05767815907811</v>
      </c>
      <c r="FI31" s="60">
        <f t="shared" si="23"/>
        <v>527.94656704796694</v>
      </c>
      <c r="FJ31" s="60">
        <f ca="1">AVERAGE(OFFSET($FI$3,0,0,'Données projet'!$E$16+1,1))-AVERAGE(OFFSET($H$3,0,0,'Données projet'!$E$16+1,1))</f>
        <v>207.03241199974599</v>
      </c>
      <c r="FK31" s="60">
        <f t="shared" si="48"/>
        <v>314.188568589113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14.046426714295235</v>
      </c>
      <c r="FR31" s="23">
        <f>EXP(-LN(2)/25)*FR30+(1-EXP(-LN(2)/25))/(LN(2)/25)*Calculateur!FM31*Calculateur!FO31*VLOOKUP('Données projet'!$B$16,Paramètres!$A$1:$I$89,3,0)*0.475*44/12</f>
        <v>10.30530609334807</v>
      </c>
      <c r="FS31" s="23">
        <f>EXP(-LN(2)/2)*FS30+(1-EXP(-LN(2)/2))/(LN(2)/2)*FM31*FP31*VLOOKUP('Données projet'!$B$16,Paramètres!$A$1:$I$89,3,0)*0.475*44/12</f>
        <v>5.8488553938256151</v>
      </c>
      <c r="FT31" s="24">
        <f t="shared" si="24"/>
        <v>30.200588201468921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6.2820512820512819</v>
      </c>
      <c r="N32" s="14">
        <f>IF('Données projet'!$A$36&gt;35,N31+M32-V31,IF(A32&lt;'Données projet'!$A$36,$K$205^A32,IF(A32='Données projet'!$A$36,'Données projet'!$B$36,N31+M32-V31)))</f>
        <v>92.435897435897473</v>
      </c>
      <c r="O32" s="14">
        <f>N32*VLOOKUP('Données projet'!$B$9,Paramètres!$A$1:$I$89,3,0)*VLOOKUP('Données projet'!$B$9,Paramètres!$A$1:$I$89,5,0)</f>
        <v>87.962000000000032</v>
      </c>
      <c r="P32" s="14">
        <f t="shared" si="33"/>
        <v>24.073055170979362</v>
      </c>
      <c r="Q32" s="22">
        <f t="shared" si="2"/>
        <v>195.12772108945578</v>
      </c>
      <c r="R32" s="60">
        <f t="shared" si="0"/>
        <v>487.23883220056689</v>
      </c>
      <c r="S32" s="60">
        <f ca="1">AVERAGE(OFFSET($R$3,0,0,'Données projet'!$E$9+1,1))-AVERAGE(OFFSET($H$3,0,0,'Données projet'!$E$9+1,1))</f>
        <v>353.61481736740694</v>
      </c>
      <c r="T32" s="60">
        <f t="shared" si="34"/>
        <v>244.7141066773861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94.785600000000002</v>
      </c>
      <c r="AK32" s="14">
        <f t="shared" si="35"/>
        <v>25.715893428674526</v>
      </c>
      <c r="AL32" s="22">
        <f t="shared" si="4"/>
        <v>209.87343438827483</v>
      </c>
      <c r="AM32" s="60">
        <f t="shared" si="5"/>
        <v>501.98454549938594</v>
      </c>
      <c r="AN32" s="60">
        <f ca="1">AVERAGE(OFFSET($AM$3,0,0,'Données projet'!$E$10+1,1))-AVERAGE(OFFSET($H$3,0,0,'Données projet'!$E$10+1,1))</f>
        <v>455.50822833641354</v>
      </c>
      <c r="AO32" s="60">
        <f t="shared" si="36"/>
        <v>261.14722581688039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102.42960000000002</v>
      </c>
      <c r="BF32" s="14">
        <f t="shared" si="37"/>
        <v>27.540005085928001</v>
      </c>
      <c r="BG32" s="22">
        <f t="shared" si="7"/>
        <v>226.3637288579913</v>
      </c>
      <c r="BH32" s="60">
        <f t="shared" si="8"/>
        <v>518.4748399691025</v>
      </c>
      <c r="BI32" s="60">
        <f ca="1">AVERAGE(OFFSET($BH$3,0,0,'Données projet'!$E$11+1,1))-AVERAGE(OFFSET($H$3,0,0,'Données projet'!$E$11+1,1))</f>
        <v>488.7825919901664</v>
      </c>
      <c r="BJ32" s="60">
        <f t="shared" si="38"/>
        <v>278.78817181412438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99.372000000000014</v>
      </c>
      <c r="CA32" s="14">
        <f t="shared" si="39"/>
        <v>26.812330397327713</v>
      </c>
      <c r="CB32" s="22">
        <f t="shared" si="10"/>
        <v>219.7710421086791</v>
      </c>
      <c r="CC32" s="60">
        <f t="shared" si="11"/>
        <v>511.88215321979021</v>
      </c>
      <c r="CD32" s="60">
        <f ca="1">AVERAGE(OFFSET($CC$3,0,0,'Données projet'!$E$12+1,1))-AVERAGE(OFFSET($H$3,0,0,'Données projet'!$E$12+1,1))</f>
        <v>475.47920969424894</v>
      </c>
      <c r="CE32" s="60">
        <f t="shared" si="40"/>
        <v>271.73544012419364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88.670400000000001</v>
      </c>
      <c r="CV32" s="14">
        <f t="shared" si="41"/>
        <v>24.244280250395512</v>
      </c>
      <c r="CW32" s="22">
        <f t="shared" si="13"/>
        <v>196.65973476943884</v>
      </c>
      <c r="CX32" s="60">
        <f t="shared" si="14"/>
        <v>488.77084588054998</v>
      </c>
      <c r="CY32" s="60">
        <f ca="1">AVERAGE(OFFSET($CX$3,0,0,'Données projet'!$E$13+1,1))-AVERAGE(OFFSET($H$3,0,0,'Données projet'!$E$13+1,1))</f>
        <v>428.8489304403459</v>
      </c>
      <c r="CZ32" s="60">
        <f t="shared" si="42"/>
        <v>247.01165577562966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105.48719999999999</v>
      </c>
      <c r="DQ32" s="14">
        <f t="shared" si="43"/>
        <v>28.265155367923839</v>
      </c>
      <c r="DR32" s="22">
        <f t="shared" si="16"/>
        <v>232.95201893246733</v>
      </c>
      <c r="DS32" s="60">
        <f t="shared" si="17"/>
        <v>525.06313004357844</v>
      </c>
      <c r="DT32" s="60">
        <f ca="1">AVERAGE(OFFSET($DS$3,0,0,'Données projet'!$E$14+1,1))-AVERAGE(OFFSET($H$3,0,0,'Données projet'!$E$14+1,1))</f>
        <v>502.07782026233912</v>
      </c>
      <c r="DU32" s="60">
        <f t="shared" si="44"/>
        <v>285.83623046025156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13.4</v>
      </c>
      <c r="EJ32" s="13">
        <f>IF('Données projet'!$A$192&gt;35,EJ31+EI32-ER31,IF(A32&lt;'Données projet'!$A$192,$EG$205^A32,IF(A32='Données projet'!$A$192,'Données projet'!$B$192,EJ31+EI32-ER31)))</f>
        <v>197.60000000000005</v>
      </c>
      <c r="EK32" s="18">
        <f>EJ32*VLOOKUP('Données projet'!$B$15,Paramètres!$A$1:$I$89,3,0)*VLOOKUP('Données projet'!$B$15,Paramètres!$A$1:$I$89,5,0)</f>
        <v>118.16480000000004</v>
      </c>
      <c r="EL32" s="14">
        <f t="shared" si="45"/>
        <v>31.246585867858006</v>
      </c>
      <c r="EM32" s="22">
        <f t="shared" si="19"/>
        <v>260.22483038651944</v>
      </c>
      <c r="EN32" s="60">
        <f t="shared" si="20"/>
        <v>552.33594149763053</v>
      </c>
      <c r="EO32" s="60">
        <f ca="1">AVERAGE(OFFSET($EN$3,0,0,'Données projet'!$E$15+1,1))-AVERAGE(OFFSET($H$3,0,0,'Données projet'!$E$15+1,1))</f>
        <v>392.62423122800357</v>
      </c>
      <c r="EP32" s="60">
        <f t="shared" si="46"/>
        <v>314.09619163968642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2.3427733993909272</v>
      </c>
      <c r="EX32" s="23">
        <f>EXP(-LN(2)/2)*EX31+(1-EXP(-LN(2)/2))/(LN(2)/2)*ER32*EU32*VLOOKUP('Données projet'!$B$15,Paramètres!$A$1:$I$89,3,0)*0.475*44/12</f>
        <v>0.47876426300471475</v>
      </c>
      <c r="EY32" s="24">
        <f t="shared" si="21"/>
        <v>2.8215376623956421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15.74200000000001</v>
      </c>
      <c r="FE32" s="13">
        <f>IF('Données projet'!$A$218&gt;35,FE31+FD32-FM31,IF(A32&lt;'Données projet'!$A$218,$FB$205^A32,IF(A32='Données projet'!$A$218,'Données projet'!$B$218,FE31+FD32-FM31)))</f>
        <v>195.32999999999998</v>
      </c>
      <c r="FF32" s="18">
        <f>FE32*VLOOKUP('Données projet'!$B$16,Paramètres!$A$1:$I$89,3,0)*VLOOKUP('Données projet'!$B$16,Paramètres!$A$1:$I$89,5,0)</f>
        <v>116.80734</v>
      </c>
      <c r="FG32" s="14">
        <f t="shared" si="47"/>
        <v>30.929199175797681</v>
      </c>
      <c r="FH32" s="22">
        <f t="shared" si="22"/>
        <v>257.30780573118091</v>
      </c>
      <c r="FI32" s="60">
        <f t="shared" si="23"/>
        <v>549.41891684229199</v>
      </c>
      <c r="FJ32" s="60">
        <f ca="1">AVERAGE(OFFSET($FI$3,0,0,'Données projet'!$E$16+1,1))-AVERAGE(OFFSET($H$3,0,0,'Données projet'!$E$16+1,1))</f>
        <v>207.03241199974599</v>
      </c>
      <c r="FK32" s="60">
        <f t="shared" si="48"/>
        <v>314.188568589113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13.770984853902233</v>
      </c>
      <c r="FR32" s="23">
        <f>EXP(-LN(2)/25)*FR31+(1-EXP(-LN(2)/25))/(LN(2)/25)*Calculateur!FM32*Calculateur!FO32*VLOOKUP('Données projet'!$B$16,Paramètres!$A$1:$I$89,3,0)*0.475*44/12</f>
        <v>10.023506956292973</v>
      </c>
      <c r="FS32" s="23">
        <f>EXP(-LN(2)/2)*FS31+(1-EXP(-LN(2)/2))/(LN(2)/2)*FM32*FP32*VLOOKUP('Données projet'!$B$16,Paramètres!$A$1:$I$89,3,0)*0.475*44/12</f>
        <v>4.1357653111536079</v>
      </c>
      <c r="FT32" s="24">
        <f t="shared" si="24"/>
        <v>27.930257121348813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98.717948717948715</v>
      </c>
      <c r="L33" s="13">
        <f>VLOOKUP(A33,'Données projet'!$A$35:$I$55,9,0)</f>
        <v>6.2820512820512819</v>
      </c>
      <c r="M33" s="13">
        <f t="array" ref="M33">INDEX(L:L,MIN(IF(ISNUMBER(L33:L229),ROW(L33:L229),"")))</f>
        <v>6.2820512820512819</v>
      </c>
      <c r="N33" s="14">
        <f>IF('Données projet'!$A$36&gt;35,N32+M33-V32,IF(A33&lt;'Données projet'!$A$36,$K$205^A33,IF(A33='Données projet'!$A$36,'Données projet'!$B$36,N32+M33-V32)))</f>
        <v>98.717948717948758</v>
      </c>
      <c r="O33" s="14">
        <f>N33*VLOOKUP('Données projet'!$B$9,Paramètres!$A$1:$I$89,3,0)*VLOOKUP('Données projet'!$B$9,Paramètres!$A$1:$I$89,5,0)</f>
        <v>93.94000000000004</v>
      </c>
      <c r="P33" s="14">
        <f t="shared" si="33"/>
        <v>25.513075604240793</v>
      </c>
      <c r="Q33" s="22">
        <f t="shared" si="2"/>
        <v>208.04744001071947</v>
      </c>
      <c r="R33" s="60">
        <f t="shared" si="0"/>
        <v>501.38077334405278</v>
      </c>
      <c r="S33" s="60">
        <f ca="1">AVERAGE(OFFSET($R$3,0,0,'Données projet'!$E$9+1,1))-AVERAGE(OFFSET($H$3,0,0,'Données projet'!$E$9+1,1))</f>
        <v>353.61481736740694</v>
      </c>
      <c r="T33" s="60">
        <f t="shared" si="34"/>
        <v>244.7141066773861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101.556</v>
      </c>
      <c r="AK33" s="14">
        <f t="shared" si="35"/>
        <v>27.332359320696909</v>
      </c>
      <c r="AL33" s="22">
        <f t="shared" si="4"/>
        <v>224.48055915021379</v>
      </c>
      <c r="AM33" s="60">
        <f t="shared" si="5"/>
        <v>517.81389248354708</v>
      </c>
      <c r="AN33" s="60">
        <f ca="1">AVERAGE(OFFSET($AM$3,0,0,'Données projet'!$E$10+1,1))-AVERAGE(OFFSET($H$3,0,0,'Données projet'!$E$10+1,1))</f>
        <v>455.50822833641354</v>
      </c>
      <c r="AO33" s="60">
        <f t="shared" si="36"/>
        <v>261.14722581688039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109.74600000000002</v>
      </c>
      <c r="BF33" s="14">
        <f t="shared" si="37"/>
        <v>29.271132142080997</v>
      </c>
      <c r="BG33" s="22">
        <f t="shared" si="7"/>
        <v>242.12150514745778</v>
      </c>
      <c r="BH33" s="60">
        <f t="shared" si="8"/>
        <v>535.45483848079107</v>
      </c>
      <c r="BI33" s="60">
        <f ca="1">AVERAGE(OFFSET($BH$3,0,0,'Données projet'!$E$11+1,1))-AVERAGE(OFFSET($H$3,0,0,'Données projet'!$E$11+1,1))</f>
        <v>488.7825919901664</v>
      </c>
      <c r="BJ33" s="60">
        <f t="shared" si="38"/>
        <v>278.78817181412438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106.47</v>
      </c>
      <c r="CA33" s="14">
        <f t="shared" si="39"/>
        <v>28.49771681771891</v>
      </c>
      <c r="CB33" s="22">
        <f t="shared" si="10"/>
        <v>235.06877345752704</v>
      </c>
      <c r="CC33" s="60">
        <f t="shared" si="11"/>
        <v>528.40210679086033</v>
      </c>
      <c r="CD33" s="60">
        <f ca="1">AVERAGE(OFFSET($CC$3,0,0,'Données projet'!$E$12+1,1))-AVERAGE(OFFSET($H$3,0,0,'Données projet'!$E$12+1,1))</f>
        <v>475.47920969424894</v>
      </c>
      <c r="CE33" s="60">
        <f t="shared" si="40"/>
        <v>271.73544012419364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95.004000000000005</v>
      </c>
      <c r="CV33" s="14">
        <f t="shared" si="41"/>
        <v>25.768242550600785</v>
      </c>
      <c r="CW33" s="22">
        <f t="shared" si="13"/>
        <v>210.34498910896306</v>
      </c>
      <c r="CX33" s="60">
        <f t="shared" si="14"/>
        <v>503.67832244229635</v>
      </c>
      <c r="CY33" s="60">
        <f ca="1">AVERAGE(OFFSET($CX$3,0,0,'Données projet'!$E$13+1,1))-AVERAGE(OFFSET($H$3,0,0,'Données projet'!$E$13+1,1))</f>
        <v>428.8489304403459</v>
      </c>
      <c r="CZ33" s="60">
        <f t="shared" si="42"/>
        <v>247.01165577562966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113.02199999999999</v>
      </c>
      <c r="DQ33" s="14">
        <f t="shared" si="43"/>
        <v>30.041864379091852</v>
      </c>
      <c r="DR33" s="22">
        <f t="shared" si="16"/>
        <v>249.16956379358496</v>
      </c>
      <c r="DS33" s="60">
        <f t="shared" si="17"/>
        <v>542.50289712691824</v>
      </c>
      <c r="DT33" s="60">
        <f ca="1">AVERAGE(OFFSET($DS$3,0,0,'Données projet'!$E$14+1,1))-AVERAGE(OFFSET($H$3,0,0,'Données projet'!$E$14+1,1))</f>
        <v>502.07782026233912</v>
      </c>
      <c r="DU33" s="60">
        <f t="shared" si="44"/>
        <v>285.83623046025156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211</v>
      </c>
      <c r="EH33" s="13">
        <f>VLOOKUP(A33,'Données projet'!$A$191:$I$211,9,0)</f>
        <v>13.4</v>
      </c>
      <c r="EI33" s="13">
        <f t="array" ref="EI33">INDEX(EH:EH,MIN(IF(ISNUMBER(EH33:EH229),ROW(EH33:EH229),"")))</f>
        <v>13.4</v>
      </c>
      <c r="EJ33" s="13">
        <f>IF('Données projet'!$A$192&gt;35,EJ32+EI33-ER32,IF(A33&lt;'Données projet'!$A$192,$EG$205^A33,IF(A33='Données projet'!$A$192,'Données projet'!$B$192,EJ32+EI33-ER32)))</f>
        <v>211.00000000000006</v>
      </c>
      <c r="EK33" s="18">
        <f>EJ33*VLOOKUP('Données projet'!$B$15,Paramètres!$A$1:$I$89,3,0)*VLOOKUP('Données projet'!$B$15,Paramètres!$A$1:$I$89,5,0)</f>
        <v>126.17800000000004</v>
      </c>
      <c r="EL33" s="14">
        <f t="shared" si="45"/>
        <v>33.111679410346248</v>
      </c>
      <c r="EM33" s="22">
        <f t="shared" si="19"/>
        <v>277.4295249730198</v>
      </c>
      <c r="EN33" s="60">
        <f t="shared" si="20"/>
        <v>570.76285830635311</v>
      </c>
      <c r="EO33" s="60">
        <f ca="1">AVERAGE(OFFSET($EN$3,0,0,'Données projet'!$E$15+1,1))-AVERAGE(OFFSET($H$3,0,0,'Données projet'!$E$15+1,1))</f>
        <v>392.62423122800357</v>
      </c>
      <c r="EP33" s="60">
        <f t="shared" si="46"/>
        <v>314.09619163968642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51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0.22500000000000001</v>
      </c>
      <c r="EU33" s="17">
        <f>IF(ISNA(VLOOKUP(A33,'Données projet'!$A$191:$I$211,7,0)),0%,VLOOKUP(A33,'Données projet'!$A$191:$I$211,7,0))</f>
        <v>0.5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11.345819970002243</v>
      </c>
      <c r="EX33" s="23">
        <f>EXP(-LN(2)/2)*EX32+(1-EXP(-LN(2)/2))/(LN(2)/2)*ER33*EU33*VLOOKUP('Données projet'!$B$15,Paramètres!$A$1:$I$89,3,0)*0.475*44/12</f>
        <v>17.603947761941491</v>
      </c>
      <c r="EY33" s="24">
        <f t="shared" si="21"/>
        <v>28.949767731943734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211.072</v>
      </c>
      <c r="FC33" s="13">
        <f>VLOOKUP(A33,'Données projet'!$A$217:$I$237,9,0)</f>
        <v>15.74200000000001</v>
      </c>
      <c r="FD33" s="13">
        <f t="array" ref="FD33">INDEX(FC:FC,MIN(IF(ISNUMBER(FC33:FC229),ROW(FC33:FC229),"")))</f>
        <v>15.74200000000001</v>
      </c>
      <c r="FE33" s="13">
        <f>IF('Données projet'!$A$218&gt;35,FE32+FD33-FM32,IF(A33&lt;'Données projet'!$A$218,$FB$205^A33,IF(A33='Données projet'!$A$218,'Données projet'!$B$218,FE32+FD33-FM32)))</f>
        <v>211.072</v>
      </c>
      <c r="FF33" s="18">
        <f>FE33*VLOOKUP('Données projet'!$B$16,Paramètres!$A$1:$I$89,3,0)*VLOOKUP('Données projet'!$B$16,Paramètres!$A$1:$I$89,5,0)</f>
        <v>126.221056</v>
      </c>
      <c r="FG33" s="14">
        <f t="shared" si="47"/>
        <v>33.121662807146215</v>
      </c>
      <c r="FH33" s="22">
        <f t="shared" si="22"/>
        <v>277.52190192244632</v>
      </c>
      <c r="FI33" s="60">
        <f t="shared" si="23"/>
        <v>570.85523525577969</v>
      </c>
      <c r="FJ33" s="60">
        <f ca="1">AVERAGE(OFFSET($FI$3,0,0,'Données projet'!$E$16+1,1))-AVERAGE(OFFSET($H$3,0,0,'Données projet'!$E$16+1,1))</f>
        <v>207.03241199974599</v>
      </c>
      <c r="FK33" s="60">
        <f t="shared" si="48"/>
        <v>314.188568589113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13.500944240388591</v>
      </c>
      <c r="FR33" s="23">
        <f>EXP(-LN(2)/25)*FR32+(1-EXP(-LN(2)/25))/(LN(2)/25)*Calculateur!FM33*Calculateur!FO33*VLOOKUP('Données projet'!$B$16,Paramètres!$A$1:$I$89,3,0)*0.475*44/12</f>
        <v>9.7494136314598201</v>
      </c>
      <c r="FS33" s="23">
        <f>EXP(-LN(2)/2)*FS32+(1-EXP(-LN(2)/2))/(LN(2)/2)*FM33*FP33*VLOOKUP('Données projet'!$B$16,Paramètres!$A$1:$I$89,3,0)*0.475*44/12</f>
        <v>2.924427696912808</v>
      </c>
      <c r="FT33" s="24">
        <f t="shared" si="24"/>
        <v>26.174785568761219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6.1538461538461515</v>
      </c>
      <c r="N34" s="14">
        <f>IF('Données projet'!$A$36&gt;35,N33+M34-V33,IF(A34&lt;'Données projet'!$A$36,$K$205^A34,IF(A34='Données projet'!$A$36,'Données projet'!$B$36,N33+M34-V33)))</f>
        <v>104.8717948717949</v>
      </c>
      <c r="O34" s="14">
        <f>N34*VLOOKUP('Données projet'!$B$9,Paramètres!$A$1:$I$89,3,0)*VLOOKUP('Données projet'!$B$9,Paramètres!$A$1:$I$89,5,0)</f>
        <v>99.796000000000035</v>
      </c>
      <c r="P34" s="14">
        <f t="shared" si="33"/>
        <v>26.913391586854008</v>
      </c>
      <c r="Q34" s="22">
        <f t="shared" si="2"/>
        <v>220.68552368043743</v>
      </c>
      <c r="R34" s="60">
        <f t="shared" si="0"/>
        <v>514.01885701377068</v>
      </c>
      <c r="S34" s="60">
        <f ca="1">AVERAGE(OFFSET($R$3,0,0,'Données projet'!$E$9+1,1))-AVERAGE(OFFSET($H$3,0,0,'Données projet'!$E$9+1,1))</f>
        <v>353.61481736740694</v>
      </c>
      <c r="T34" s="60">
        <f t="shared" si="34"/>
        <v>244.7141066773861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81.244799999999998</v>
      </c>
      <c r="AK34" s="14">
        <f t="shared" si="35"/>
        <v>22.441270156928962</v>
      </c>
      <c r="AL34" s="22">
        <f t="shared" si="4"/>
        <v>180.58657218998462</v>
      </c>
      <c r="AM34" s="60">
        <f t="shared" si="5"/>
        <v>473.91990552331794</v>
      </c>
      <c r="AN34" s="60">
        <f ca="1">AVERAGE(OFFSET($AM$3,0,0,'Données projet'!$E$10+1,1))-AVERAGE(OFFSET($H$3,0,0,'Données projet'!$E$10+1,1))</f>
        <v>455.50822833641354</v>
      </c>
      <c r="AO34" s="60">
        <f t="shared" si="36"/>
        <v>261.14722581688039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87.796800000000005</v>
      </c>
      <c r="BF34" s="14">
        <f t="shared" si="37"/>
        <v>24.033102173590827</v>
      </c>
      <c r="BG34" s="22">
        <f t="shared" si="7"/>
        <v>194.77041295233732</v>
      </c>
      <c r="BH34" s="60">
        <f t="shared" si="8"/>
        <v>488.10374628567064</v>
      </c>
      <c r="BI34" s="60">
        <f ca="1">AVERAGE(OFFSET($BH$3,0,0,'Données projet'!$E$11+1,1))-AVERAGE(OFFSET($H$3,0,0,'Données projet'!$E$11+1,1))</f>
        <v>488.7825919901664</v>
      </c>
      <c r="BJ34" s="60">
        <f t="shared" si="38"/>
        <v>278.78817181412438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85.176000000000002</v>
      </c>
      <c r="CA34" s="14">
        <f t="shared" si="39"/>
        <v>23.398088487656441</v>
      </c>
      <c r="CB34" s="22">
        <f t="shared" si="10"/>
        <v>189.09987078266829</v>
      </c>
      <c r="CC34" s="60">
        <f t="shared" si="11"/>
        <v>482.4332041160016</v>
      </c>
      <c r="CD34" s="60">
        <f ca="1">AVERAGE(OFFSET($CC$3,0,0,'Données projet'!$E$12+1,1))-AVERAGE(OFFSET($H$3,0,0,'Données projet'!$E$12+1,1))</f>
        <v>475.47920969424894</v>
      </c>
      <c r="CE34" s="60">
        <f t="shared" si="40"/>
        <v>271.73544012419364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76.003200000000007</v>
      </c>
      <c r="CV34" s="14">
        <f t="shared" si="41"/>
        <v>21.157049992000456</v>
      </c>
      <c r="CW34" s="22">
        <f t="shared" si="13"/>
        <v>169.22076873606747</v>
      </c>
      <c r="CX34" s="60">
        <f t="shared" si="14"/>
        <v>462.55410206940076</v>
      </c>
      <c r="CY34" s="60">
        <f ca="1">AVERAGE(OFFSET($CX$3,0,0,'Données projet'!$E$13+1,1))-AVERAGE(OFFSET($H$3,0,0,'Données projet'!$E$13+1,1))</f>
        <v>428.8489304403459</v>
      </c>
      <c r="CZ34" s="60">
        <f t="shared" si="42"/>
        <v>247.01165577562966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90.417599999999993</v>
      </c>
      <c r="DQ34" s="14">
        <f t="shared" si="43"/>
        <v>24.665912907068826</v>
      </c>
      <c r="DR34" s="22">
        <f t="shared" si="16"/>
        <v>200.43711831314488</v>
      </c>
      <c r="DS34" s="60">
        <f t="shared" si="17"/>
        <v>493.77045164647819</v>
      </c>
      <c r="DT34" s="60">
        <f ca="1">AVERAGE(OFFSET($DS$3,0,0,'Données projet'!$E$14+1,1))-AVERAGE(OFFSET($H$3,0,0,'Données projet'!$E$14+1,1))</f>
        <v>502.07782026233912</v>
      </c>
      <c r="DU34" s="60">
        <f t="shared" si="44"/>
        <v>285.83623046025156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14.6</v>
      </c>
      <c r="EJ34" s="13">
        <f>IF('Données projet'!$A$192&gt;35,EJ33+EI34-ER33,IF(A34&lt;'Données projet'!$A$192,$EG$205^A34,IF(A34='Données projet'!$A$192,'Données projet'!$B$192,EJ33+EI34-ER33)))</f>
        <v>174.60000000000005</v>
      </c>
      <c r="EK34" s="18">
        <f>EJ34*VLOOKUP('Données projet'!$B$15,Paramètres!$A$1:$I$89,3,0)*VLOOKUP('Données projet'!$B$15,Paramètres!$A$1:$I$89,5,0)</f>
        <v>104.41080000000004</v>
      </c>
      <c r="EL34" s="14">
        <f t="shared" si="45"/>
        <v>28.010155571424168</v>
      </c>
      <c r="EM34" s="22">
        <f t="shared" si="19"/>
        <v>230.63316428689714</v>
      </c>
      <c r="EN34" s="60">
        <f t="shared" si="20"/>
        <v>523.96649762023048</v>
      </c>
      <c r="EO34" s="60">
        <f ca="1">AVERAGE(OFFSET($EN$3,0,0,'Données projet'!$E$15+1,1))-AVERAGE(OFFSET($H$3,0,0,'Données projet'!$E$15+1,1))</f>
        <v>392.62423122800357</v>
      </c>
      <c r="EP34" s="60">
        <f t="shared" si="46"/>
        <v>314.09619163968642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11.03556792627179</v>
      </c>
      <c r="EX34" s="23">
        <f>EXP(-LN(2)/2)*EX33+(1-EXP(-LN(2)/2))/(LN(2)/2)*ER34*EU34*VLOOKUP('Données projet'!$B$15,Paramètres!$A$1:$I$89,3,0)*0.475*44/12</f>
        <v>12.447870838122576</v>
      </c>
      <c r="EY34" s="24">
        <f t="shared" si="21"/>
        <v>23.483438764394364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16.145750000000007</v>
      </c>
      <c r="FE34" s="13">
        <f>IF('Données projet'!$A$218&gt;35,FE33+FD34-FM33,IF(A34&lt;'Données projet'!$A$218,$FB$205^A34,IF(A34='Données projet'!$A$218,'Données projet'!$B$218,FE33+FD34-FM33)))</f>
        <v>227.21775000000002</v>
      </c>
      <c r="FF34" s="18">
        <f>FE34*VLOOKUP('Données projet'!$B$16,Paramètres!$A$1:$I$89,3,0)*VLOOKUP('Données projet'!$B$16,Paramètres!$A$1:$I$89,5,0)</f>
        <v>135.87621450000003</v>
      </c>
      <c r="FG34" s="14">
        <f t="shared" si="47"/>
        <v>35.350666593853582</v>
      </c>
      <c r="FH34" s="22">
        <f t="shared" si="22"/>
        <v>298.22015123846171</v>
      </c>
      <c r="FI34" s="60">
        <f t="shared" si="23"/>
        <v>591.55348457179502</v>
      </c>
      <c r="FJ34" s="60">
        <f ca="1">AVERAGE(OFFSET($FI$3,0,0,'Données projet'!$E$16+1,1))-AVERAGE(OFFSET($H$3,0,0,'Données projet'!$E$16+1,1))</f>
        <v>207.03241199974599</v>
      </c>
      <c r="FK34" s="60">
        <f t="shared" si="48"/>
        <v>314.188568589113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13.236198958597443</v>
      </c>
      <c r="FR34" s="23">
        <f>EXP(-LN(2)/25)*FR33+(1-EXP(-LN(2)/25))/(LN(2)/25)*Calculateur!FM34*Calculateur!FO34*VLOOKUP('Données projet'!$B$16,Paramètres!$A$1:$I$89,3,0)*0.475*44/12</f>
        <v>9.4828154030081713</v>
      </c>
      <c r="FS34" s="23">
        <f>EXP(-LN(2)/2)*FS33+(1-EXP(-LN(2)/2))/(LN(2)/2)*FM34*FP34*VLOOKUP('Données projet'!$B$16,Paramètres!$A$1:$I$89,3,0)*0.475*44/12</f>
        <v>2.0678826555768044</v>
      </c>
      <c r="FT34" s="24">
        <f t="shared" si="24"/>
        <v>24.786897017182419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6.1538461538461515</v>
      </c>
      <c r="N35" s="14">
        <f>IF('Données projet'!$A$36&gt;35,N34+M35-V34,IF(A35&lt;'Données projet'!$A$36,$K$205^A35,IF(A35='Données projet'!$A$36,'Données projet'!$B$36,N34+M35-V34)))</f>
        <v>111.02564102564105</v>
      </c>
      <c r="O35" s="14">
        <f>N35*VLOOKUP('Données projet'!$B$9,Paramètres!$A$1:$I$89,3,0)*VLOOKUP('Données projet'!$B$9,Paramètres!$A$1:$I$89,5,0)</f>
        <v>105.65200000000003</v>
      </c>
      <c r="P35" s="14">
        <f t="shared" si="33"/>
        <v>28.304169779393426</v>
      </c>
      <c r="Q35" s="22">
        <f t="shared" ref="Q35:Q66" si="53">(O35+P35)*0.475*44/12</f>
        <v>233.30699569911027</v>
      </c>
      <c r="R35" s="60">
        <f t="shared" si="0"/>
        <v>526.64032903244356</v>
      </c>
      <c r="S35" s="60">
        <f ca="1">AVERAGE(OFFSET($R$3,0,0,'Données projet'!$E$9+1,1))-AVERAGE(OFFSET($H$3,0,0,'Données projet'!$E$9+1,1))</f>
        <v>353.61481736740694</v>
      </c>
      <c r="T35" s="60">
        <f t="shared" si="34"/>
        <v>244.7141066773861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88.982399999999998</v>
      </c>
      <c r="AK35" s="14">
        <f t="shared" si="35"/>
        <v>24.31964219550628</v>
      </c>
      <c r="AL35" s="22">
        <f t="shared" si="4"/>
        <v>197.3343901571734</v>
      </c>
      <c r="AM35" s="60">
        <f t="shared" si="5"/>
        <v>490.66772349050672</v>
      </c>
      <c r="AN35" s="60">
        <f ca="1">AVERAGE(OFFSET($AM$3,0,0,'Données projet'!$E$10+1,1))-AVERAGE(OFFSET($H$3,0,0,'Données projet'!$E$10+1,1))</f>
        <v>455.50822833641354</v>
      </c>
      <c r="AO35" s="60">
        <f t="shared" si="36"/>
        <v>261.14722581688039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96.1584</v>
      </c>
      <c r="BF35" s="14">
        <f t="shared" si="37"/>
        <v>26.044713228021536</v>
      </c>
      <c r="BG35" s="22">
        <f t="shared" si="7"/>
        <v>212.83708887213751</v>
      </c>
      <c r="BH35" s="60">
        <f t="shared" si="8"/>
        <v>506.1704222054708</v>
      </c>
      <c r="BI35" s="60">
        <f ca="1">AVERAGE(OFFSET($BH$3,0,0,'Données projet'!$E$11+1,1))-AVERAGE(OFFSET($H$3,0,0,'Données projet'!$E$11+1,1))</f>
        <v>488.7825919901664</v>
      </c>
      <c r="BJ35" s="60">
        <f t="shared" si="38"/>
        <v>278.78817181412438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93.288000000000011</v>
      </c>
      <c r="CA35" s="14">
        <f t="shared" si="39"/>
        <v>25.356547829040977</v>
      </c>
      <c r="CB35" s="22">
        <f t="shared" si="10"/>
        <v>206.63925413557971</v>
      </c>
      <c r="CC35" s="60">
        <f t="shared" si="11"/>
        <v>499.97258746891305</v>
      </c>
      <c r="CD35" s="60">
        <f ca="1">AVERAGE(OFFSET($CC$3,0,0,'Données projet'!$E$12+1,1))-AVERAGE(OFFSET($H$3,0,0,'Données projet'!$E$12+1,1))</f>
        <v>475.47920969424894</v>
      </c>
      <c r="CE35" s="60">
        <f t="shared" si="40"/>
        <v>271.73544012419364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83.241600000000005</v>
      </c>
      <c r="CV35" s="14">
        <f t="shared" si="41"/>
        <v>22.927930643846508</v>
      </c>
      <c r="CW35" s="22">
        <f t="shared" si="13"/>
        <v>184.91193253803269</v>
      </c>
      <c r="CX35" s="60">
        <f t="shared" si="14"/>
        <v>478.24526587136597</v>
      </c>
      <c r="CY35" s="60">
        <f ca="1">AVERAGE(OFFSET($CX$3,0,0,'Données projet'!$E$13+1,1))-AVERAGE(OFFSET($H$3,0,0,'Données projet'!$E$13+1,1))</f>
        <v>428.8489304403459</v>
      </c>
      <c r="CZ35" s="60">
        <f t="shared" si="42"/>
        <v>247.01165577562966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99.028800000000004</v>
      </c>
      <c r="DQ35" s="14">
        <f t="shared" si="43"/>
        <v>26.730491283721712</v>
      </c>
      <c r="DR35" s="22">
        <f t="shared" si="16"/>
        <v>219.03076565248196</v>
      </c>
      <c r="DS35" s="60">
        <f t="shared" si="17"/>
        <v>512.3640989858153</v>
      </c>
      <c r="DT35" s="60">
        <f ca="1">AVERAGE(OFFSET($DS$3,0,0,'Données projet'!$E$14+1,1))-AVERAGE(OFFSET($H$3,0,0,'Données projet'!$E$14+1,1))</f>
        <v>502.07782026233912</v>
      </c>
      <c r="DU35" s="60">
        <f t="shared" si="44"/>
        <v>285.83623046025156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14.6</v>
      </c>
      <c r="EJ35" s="13">
        <f>IF('Données projet'!$A$192&gt;35,EJ34+EI35-ER34,IF(A35&lt;'Données projet'!$A$192,$EG$205^A35,IF(A35='Données projet'!$A$192,'Données projet'!$B$192,EJ34+EI35-ER34)))</f>
        <v>189.20000000000005</v>
      </c>
      <c r="EK35" s="18">
        <f>EJ35*VLOOKUP('Données projet'!$B$15,Paramètres!$A$1:$I$89,3,0)*VLOOKUP('Données projet'!$B$15,Paramètres!$A$1:$I$89,5,0)</f>
        <v>113.14160000000004</v>
      </c>
      <c r="EL35" s="14">
        <f t="shared" si="45"/>
        <v>30.069952587742019</v>
      </c>
      <c r="EM35" s="22">
        <f t="shared" si="19"/>
        <v>249.42678742365072</v>
      </c>
      <c r="EN35" s="60">
        <f t="shared" si="20"/>
        <v>542.76012075698407</v>
      </c>
      <c r="EO35" s="60">
        <f ca="1">AVERAGE(OFFSET($EN$3,0,0,'Données projet'!$E$15+1,1))-AVERAGE(OFFSET($H$3,0,0,'Données projet'!$E$15+1,1))</f>
        <v>392.62423122800357</v>
      </c>
      <c r="EP35" s="60">
        <f t="shared" si="46"/>
        <v>314.09619163968642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10.733799740992593</v>
      </c>
      <c r="EX35" s="23">
        <f>EXP(-LN(2)/2)*EX34+(1-EXP(-LN(2)/2))/(LN(2)/2)*ER35*EU35*VLOOKUP('Données projet'!$B$15,Paramètres!$A$1:$I$89,3,0)*0.475*44/12</f>
        <v>8.8019738809707473</v>
      </c>
      <c r="EY35" s="24">
        <f t="shared" si="21"/>
        <v>19.53577362196334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>
        <f>VLOOKUP(A35,'Données projet'!$A$217:$I$237,2,0)</f>
        <v>243.36350000000002</v>
      </c>
      <c r="FC35" s="13">
        <f>VLOOKUP(A35,'Données projet'!$A$217:$I$237,9,0)</f>
        <v>16.145750000000007</v>
      </c>
      <c r="FD35" s="13">
        <f t="array" ref="FD35">INDEX(FC:FC,MIN(IF(ISNUMBER(FC35:FC231),ROW(FC35:FC231),"")))</f>
        <v>16.145750000000007</v>
      </c>
      <c r="FE35" s="13">
        <f>IF('Données projet'!$A$218&gt;35,FE34+FD35-FM34,IF(A35&lt;'Données projet'!$A$218,$FB$205^A35,IF(A35='Données projet'!$A$218,'Données projet'!$B$218,FE34+FD35-FM34)))</f>
        <v>243.36350000000004</v>
      </c>
      <c r="FF35" s="18">
        <f>FE35*VLOOKUP('Données projet'!$B$16,Paramètres!$A$1:$I$89,3,0)*VLOOKUP('Données projet'!$B$16,Paramètres!$A$1:$I$89,5,0)</f>
        <v>145.53137300000003</v>
      </c>
      <c r="FG35" s="14">
        <f t="shared" si="47"/>
        <v>37.561293545308772</v>
      </c>
      <c r="FH35" s="22">
        <f t="shared" si="22"/>
        <v>318.8863942330795</v>
      </c>
      <c r="FI35" s="60">
        <f t="shared" si="23"/>
        <v>612.21972756641276</v>
      </c>
      <c r="FJ35" s="60">
        <f ca="1">AVERAGE(OFFSET($FI$3,0,0,'Données projet'!$E$16+1,1))-AVERAGE(OFFSET($H$3,0,0,'Données projet'!$E$16+1,1))</f>
        <v>207.03241199974599</v>
      </c>
      <c r="FK35" s="60">
        <f t="shared" si="48"/>
        <v>314.188568589113</v>
      </c>
      <c r="FL35" s="16">
        <f>IF(ISNA(VLOOKUP(A35,'Données projet'!$A$217:$I$237,3,0)),0,VLOOKUP(A35,'Données projet'!$A$217:$I$237,3,0))</f>
        <v>4</v>
      </c>
      <c r="FM35" s="16">
        <f>IF(ISNA(VLOOKUP(A35,'Données projet'!$A$217:$I$237,4,0)),0,VLOOKUP(A35,'Données projet'!$A$217:$I$237,4,0))</f>
        <v>62.73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12.976645170303541</v>
      </c>
      <c r="FR35" s="23">
        <f>EXP(-LN(2)/25)*FR34+(1-EXP(-LN(2)/25))/(LN(2)/25)*Calculateur!FM35*Calculateur!FO35*VLOOKUP('Données projet'!$B$16,Paramètres!$A$1:$I$89,3,0)*0.475*44/12</f>
        <v>9.2235073171333237</v>
      </c>
      <c r="FS35" s="23">
        <f>EXP(-LN(2)/2)*FS34+(1-EXP(-LN(2)/2))/(LN(2)/2)*FM35*FP35*VLOOKUP('Données projet'!$B$16,Paramètres!$A$1:$I$89,3,0)*0.475*44/12</f>
        <v>1.4622138484564045</v>
      </c>
      <c r="FT35" s="24">
        <f t="shared" si="24"/>
        <v>23.662366335893271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6.1538461538461515</v>
      </c>
      <c r="N36" s="14">
        <f>IF('Données projet'!$A$36&gt;35,N35+M36-V35,IF(A36&lt;'Données projet'!$A$36,$K$205^A36,IF(A36='Données projet'!$A$36,'Données projet'!$B$36,N35+M36-V35)))</f>
        <v>117.1794871794872</v>
      </c>
      <c r="O36" s="14">
        <f>N36*VLOOKUP('Données projet'!$B$9,Paramètres!$A$1:$I$89,3,0)*VLOOKUP('Données projet'!$B$9,Paramètres!$A$1:$I$89,5,0)</f>
        <v>111.50800000000002</v>
      </c>
      <c r="P36" s="14">
        <f t="shared" si="33"/>
        <v>29.685999090183582</v>
      </c>
      <c r="Q36" s="22">
        <f t="shared" si="53"/>
        <v>245.9128817487364</v>
      </c>
      <c r="R36" s="60">
        <f t="shared" si="0"/>
        <v>539.24621508206974</v>
      </c>
      <c r="S36" s="60">
        <f ca="1">AVERAGE(OFFSET($R$3,0,0,'Données projet'!$E$9+1,1))-AVERAGE(OFFSET($H$3,0,0,'Données projet'!$E$9+1,1))</f>
        <v>353.61481736740694</v>
      </c>
      <c r="T36" s="60">
        <f t="shared" si="34"/>
        <v>244.7141066773861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96.72</v>
      </c>
      <c r="AK36" s="14">
        <f t="shared" si="35"/>
        <v>26.179072558792139</v>
      </c>
      <c r="AL36" s="22">
        <f t="shared" si="4"/>
        <v>214.04921803989632</v>
      </c>
      <c r="AM36" s="60">
        <f t="shared" si="5"/>
        <v>507.3825513732296</v>
      </c>
      <c r="AN36" s="60">
        <f ca="1">AVERAGE(OFFSET($AM$3,0,0,'Données projet'!$E$10+1,1))-AVERAGE(OFFSET($H$3,0,0,'Données projet'!$E$10+1,1))</f>
        <v>455.50822833641354</v>
      </c>
      <c r="AO36" s="60">
        <f t="shared" si="36"/>
        <v>261.14722581688039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104.52000000000001</v>
      </c>
      <c r="BF36" s="14">
        <f t="shared" si="37"/>
        <v>28.036039012748962</v>
      </c>
      <c r="BG36" s="22">
        <f t="shared" si="7"/>
        <v>230.86843461387113</v>
      </c>
      <c r="BH36" s="60">
        <f t="shared" si="8"/>
        <v>524.20176794720442</v>
      </c>
      <c r="BI36" s="60">
        <f ca="1">AVERAGE(OFFSET($BH$3,0,0,'Données projet'!$E$11+1,1))-AVERAGE(OFFSET($H$3,0,0,'Données projet'!$E$11+1,1))</f>
        <v>488.7825919901664</v>
      </c>
      <c r="BJ36" s="60">
        <f t="shared" si="38"/>
        <v>278.78817181412438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101.4</v>
      </c>
      <c r="CA36" s="14">
        <f t="shared" si="39"/>
        <v>27.295257887453797</v>
      </c>
      <c r="CB36" s="22">
        <f t="shared" si="10"/>
        <v>224.14424082064872</v>
      </c>
      <c r="CC36" s="60">
        <f t="shared" si="11"/>
        <v>517.477574153982</v>
      </c>
      <c r="CD36" s="60">
        <f ca="1">AVERAGE(OFFSET($CC$3,0,0,'Données projet'!$E$12+1,1))-AVERAGE(OFFSET($H$3,0,0,'Données projet'!$E$12+1,1))</f>
        <v>475.47920969424894</v>
      </c>
      <c r="CE36" s="60">
        <f t="shared" si="40"/>
        <v>271.73544012419364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90.47999999999999</v>
      </c>
      <c r="CV36" s="14">
        <f t="shared" si="41"/>
        <v>24.680953573367994</v>
      </c>
      <c r="CW36" s="22">
        <f t="shared" si="13"/>
        <v>200.57199414028256</v>
      </c>
      <c r="CX36" s="60">
        <f t="shared" si="14"/>
        <v>493.9053274736159</v>
      </c>
      <c r="CY36" s="60">
        <f ca="1">AVERAGE(OFFSET($CX$3,0,0,'Données projet'!$E$13+1,1))-AVERAGE(OFFSET($H$3,0,0,'Données projet'!$E$13+1,1))</f>
        <v>428.8489304403459</v>
      </c>
      <c r="CZ36" s="60">
        <f t="shared" si="42"/>
        <v>247.01165577562966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107.64</v>
      </c>
      <c r="DQ36" s="14">
        <f t="shared" si="43"/>
        <v>28.774250263353583</v>
      </c>
      <c r="DR36" s="22">
        <f t="shared" si="16"/>
        <v>237.58815254200749</v>
      </c>
      <c r="DS36" s="60">
        <f t="shared" si="17"/>
        <v>530.92148587534075</v>
      </c>
      <c r="DT36" s="60">
        <f ca="1">AVERAGE(OFFSET($DS$3,0,0,'Données projet'!$E$14+1,1))-AVERAGE(OFFSET($H$3,0,0,'Données projet'!$E$14+1,1))</f>
        <v>502.07782026233912</v>
      </c>
      <c r="DU36" s="60">
        <f t="shared" si="44"/>
        <v>285.83623046025156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14.6</v>
      </c>
      <c r="EJ36" s="13">
        <f>IF('Données projet'!$A$192&gt;35,EJ35+EI36-ER35,IF(A36&lt;'Données projet'!$A$192,$EG$205^A36,IF(A36='Données projet'!$A$192,'Données projet'!$B$192,EJ35+EI36-ER35)))</f>
        <v>203.80000000000004</v>
      </c>
      <c r="EK36" s="18">
        <f>EJ36*VLOOKUP('Données projet'!$B$15,Paramètres!$A$1:$I$89,3,0)*VLOOKUP('Données projet'!$B$15,Paramètres!$A$1:$I$89,5,0)</f>
        <v>121.87240000000003</v>
      </c>
      <c r="EL36" s="14">
        <f t="shared" si="45"/>
        <v>32.111311550408985</v>
      </c>
      <c r="EM36" s="22">
        <f t="shared" si="19"/>
        <v>268.1882976169623</v>
      </c>
      <c r="EN36" s="60">
        <f t="shared" si="20"/>
        <v>561.52163095029562</v>
      </c>
      <c r="EO36" s="60">
        <f ca="1">AVERAGE(OFFSET($EN$3,0,0,'Données projet'!$E$15+1,1))-AVERAGE(OFFSET($H$3,0,0,'Données projet'!$E$15+1,1))</f>
        <v>392.62423122800357</v>
      </c>
      <c r="EP36" s="60">
        <f t="shared" si="46"/>
        <v>314.09619163968642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10.440283422609154</v>
      </c>
      <c r="EX36" s="23">
        <f>EXP(-LN(2)/2)*EX35+(1-EXP(-LN(2)/2))/(LN(2)/2)*ER36*EU36*VLOOKUP('Données projet'!$B$15,Paramètres!$A$1:$I$89,3,0)*0.475*44/12</f>
        <v>6.2239354190612888</v>
      </c>
      <c r="EY36" s="24">
        <f t="shared" si="21"/>
        <v>16.664218841670444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12.938699999999994</v>
      </c>
      <c r="FE36" s="13">
        <f>IF('Données projet'!$A$218&gt;35,FE35+FD36-FM35,IF(A36&lt;'Données projet'!$A$218,$FB$205^A36,IF(A36='Données projet'!$A$218,'Données projet'!$B$218,FE35+FD36-FM35)))</f>
        <v>193.57220000000004</v>
      </c>
      <c r="FF36" s="18">
        <f>FE36*VLOOKUP('Données projet'!$B$16,Paramètres!$A$1:$I$89,3,0)*VLOOKUP('Données projet'!$B$16,Paramètres!$A$1:$I$89,5,0)</f>
        <v>115.75617560000003</v>
      </c>
      <c r="FG36" s="14">
        <f t="shared" si="47"/>
        <v>30.683132354258433</v>
      </c>
      <c r="FH36" s="22">
        <f t="shared" si="22"/>
        <v>255.0484613536668</v>
      </c>
      <c r="FI36" s="60">
        <f t="shared" si="23"/>
        <v>548.38179468700014</v>
      </c>
      <c r="FJ36" s="60">
        <f ca="1">AVERAGE(OFFSET($FI$3,0,0,'Données projet'!$E$16+1,1))-AVERAGE(OFFSET($H$3,0,0,'Données projet'!$E$16+1,1))</f>
        <v>207.03241199974599</v>
      </c>
      <c r="FK36" s="60">
        <f t="shared" si="48"/>
        <v>314.188568589113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12.722181073485904</v>
      </c>
      <c r="FR36" s="23">
        <f>EXP(-LN(2)/25)*FR35+(1-EXP(-LN(2)/25))/(LN(2)/25)*Calculateur!FM36*Calculateur!FO36*VLOOKUP('Données projet'!$B$16,Paramètres!$A$1:$I$89,3,0)*0.475*44/12</f>
        <v>8.9712900245031442</v>
      </c>
      <c r="FS36" s="23">
        <f>EXP(-LN(2)/2)*FS35+(1-EXP(-LN(2)/2))/(LN(2)/2)*FM36*FP36*VLOOKUP('Données projet'!$B$16,Paramètres!$A$1:$I$89,3,0)*0.475*44/12</f>
        <v>1.0339413277884024</v>
      </c>
      <c r="FT36" s="24">
        <f t="shared" si="24"/>
        <v>22.727412425777448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6.1538461538461515</v>
      </c>
      <c r="N37" s="14">
        <f>IF('Données projet'!$A$36&gt;35,N36+M37-V36,IF(A37&lt;'Données projet'!$A$36,$K$205^A37,IF(A37='Données projet'!$A$36,'Données projet'!$B$36,N36+M37-V36)))</f>
        <v>123.33333333333334</v>
      </c>
      <c r="O37" s="14">
        <f>N37*VLOOKUP('Données projet'!$B$9,Paramètres!$A$1:$I$89,3,0)*VLOOKUP('Données projet'!$B$9,Paramètres!$A$1:$I$89,5,0)</f>
        <v>117.364</v>
      </c>
      <c r="P37" s="14">
        <f t="shared" si="33"/>
        <v>31.059403079292686</v>
      </c>
      <c r="Q37" s="22">
        <f t="shared" si="53"/>
        <v>258.50409369643472</v>
      </c>
      <c r="R37" s="60">
        <f t="shared" si="0"/>
        <v>551.83742702976804</v>
      </c>
      <c r="S37" s="60">
        <f ca="1">AVERAGE(OFFSET($R$3,0,0,'Données projet'!$E$9+1,1))-AVERAGE(OFFSET($H$3,0,0,'Données projet'!$E$9+1,1))</f>
        <v>353.61481736740694</v>
      </c>
      <c r="T37" s="60">
        <f t="shared" si="34"/>
        <v>244.7141066773861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104.4576</v>
      </c>
      <c r="AK37" s="14">
        <f t="shared" si="35"/>
        <v>28.021248860498272</v>
      </c>
      <c r="AL37" s="22">
        <f t="shared" si="4"/>
        <v>230.73399509870114</v>
      </c>
      <c r="AM37" s="60">
        <f t="shared" si="5"/>
        <v>524.0673284320344</v>
      </c>
      <c r="AN37" s="60">
        <f ca="1">AVERAGE(OFFSET($AM$3,0,0,'Données projet'!$E$10+1,1))-AVERAGE(OFFSET($H$3,0,0,'Données projet'!$E$10+1,1))</f>
        <v>455.50822833641354</v>
      </c>
      <c r="AO37" s="60">
        <f t="shared" si="36"/>
        <v>261.14722581688039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112.88160000000001</v>
      </c>
      <c r="BF37" s="14">
        <f t="shared" si="37"/>
        <v>30.008886849394283</v>
      </c>
      <c r="BG37" s="22">
        <f t="shared" si="7"/>
        <v>248.86759792936172</v>
      </c>
      <c r="BH37" s="60">
        <f t="shared" si="8"/>
        <v>542.20093126269501</v>
      </c>
      <c r="BI37" s="60">
        <f ca="1">AVERAGE(OFFSET($BH$3,0,0,'Données projet'!$E$11+1,1))-AVERAGE(OFFSET($H$3,0,0,'Données projet'!$E$11+1,1))</f>
        <v>488.7825919901664</v>
      </c>
      <c r="BJ37" s="60">
        <f t="shared" si="38"/>
        <v>278.78817181412438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109.51200000000001</v>
      </c>
      <c r="CA37" s="14">
        <f t="shared" si="39"/>
        <v>29.215978230632555</v>
      </c>
      <c r="CB37" s="22">
        <f t="shared" si="10"/>
        <v>241.61789541835174</v>
      </c>
      <c r="CC37" s="60">
        <f t="shared" si="11"/>
        <v>534.95122875168499</v>
      </c>
      <c r="CD37" s="60">
        <f ca="1">AVERAGE(OFFSET($CC$3,0,0,'Données projet'!$E$12+1,1))-AVERAGE(OFFSET($H$3,0,0,'Données projet'!$E$12+1,1))</f>
        <v>475.47920969424894</v>
      </c>
      <c r="CE37" s="60">
        <f t="shared" si="40"/>
        <v>271.73544012419364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97.718399999999988</v>
      </c>
      <c r="CV37" s="14">
        <f t="shared" si="41"/>
        <v>26.417709819192194</v>
      </c>
      <c r="CW37" s="22">
        <f t="shared" si="13"/>
        <v>216.20372460175972</v>
      </c>
      <c r="CX37" s="60">
        <f t="shared" si="14"/>
        <v>509.537057935093</v>
      </c>
      <c r="CY37" s="60">
        <f ca="1">AVERAGE(OFFSET($CX$3,0,0,'Données projet'!$E$13+1,1))-AVERAGE(OFFSET($H$3,0,0,'Données projet'!$E$13+1,1))</f>
        <v>428.8489304403459</v>
      </c>
      <c r="CZ37" s="60">
        <f t="shared" si="42"/>
        <v>247.01165577562966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116.2512</v>
      </c>
      <c r="DQ37" s="14">
        <f t="shared" si="43"/>
        <v>30.799044755804328</v>
      </c>
      <c r="DR37" s="22">
        <f t="shared" si="16"/>
        <v>256.1125096163592</v>
      </c>
      <c r="DS37" s="60">
        <f t="shared" si="17"/>
        <v>549.44584294969252</v>
      </c>
      <c r="DT37" s="60">
        <f ca="1">AVERAGE(OFFSET($DS$3,0,0,'Données projet'!$E$14+1,1))-AVERAGE(OFFSET($H$3,0,0,'Données projet'!$E$14+1,1))</f>
        <v>502.07782026233912</v>
      </c>
      <c r="DU37" s="60">
        <f t="shared" si="44"/>
        <v>285.83623046025156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14.6</v>
      </c>
      <c r="EJ37" s="13">
        <f>IF('Données projet'!$A$192&gt;35,EJ36+EI37-ER36,IF(A37&lt;'Données projet'!$A$192,$EG$205^A37,IF(A37='Données projet'!$A$192,'Données projet'!$B$192,EJ36+EI37-ER36)))</f>
        <v>218.40000000000003</v>
      </c>
      <c r="EK37" s="18">
        <f>EJ37*VLOOKUP('Données projet'!$B$15,Paramètres!$A$1:$I$89,3,0)*VLOOKUP('Données projet'!$B$15,Paramètres!$A$1:$I$89,5,0)</f>
        <v>130.60320000000004</v>
      </c>
      <c r="EL37" s="14">
        <f t="shared" si="45"/>
        <v>34.135703567016428</v>
      </c>
      <c r="EM37" s="22">
        <f t="shared" si="19"/>
        <v>286.92025704588701</v>
      </c>
      <c r="EN37" s="60">
        <f t="shared" si="20"/>
        <v>580.25359037922033</v>
      </c>
      <c r="EO37" s="60">
        <f ca="1">AVERAGE(OFFSET($EN$3,0,0,'Données projet'!$E$15+1,1))-AVERAGE(OFFSET($H$3,0,0,'Données projet'!$E$15+1,1))</f>
        <v>392.62423122800357</v>
      </c>
      <c r="EP37" s="60">
        <f t="shared" si="46"/>
        <v>314.09619163968642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10.154793323387263</v>
      </c>
      <c r="EX37" s="23">
        <f>EXP(-LN(2)/2)*EX36+(1-EXP(-LN(2)/2))/(LN(2)/2)*ER37*EU37*VLOOKUP('Données projet'!$B$15,Paramètres!$A$1:$I$89,3,0)*0.475*44/12</f>
        <v>4.4009869404853736</v>
      </c>
      <c r="EY37" s="24">
        <f t="shared" si="21"/>
        <v>14.555780263872638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12.938699999999994</v>
      </c>
      <c r="FE37" s="13">
        <f>IF('Données projet'!$A$218&gt;35,FE36+FD37-FM36,IF(A37&lt;'Données projet'!$A$218,$FB$205^A37,IF(A37='Données projet'!$A$218,'Données projet'!$B$218,FE36+FD37-FM36)))</f>
        <v>206.51090000000002</v>
      </c>
      <c r="FF37" s="18">
        <f>FE37*VLOOKUP('Données projet'!$B$16,Paramètres!$A$1:$I$89,3,0)*VLOOKUP('Données projet'!$B$16,Paramètres!$A$1:$I$89,5,0)</f>
        <v>123.49351820000003</v>
      </c>
      <c r="FG37" s="14">
        <f t="shared" si="47"/>
        <v>32.488439203441445</v>
      </c>
      <c r="FH37" s="22">
        <f t="shared" si="22"/>
        <v>271.66857581099384</v>
      </c>
      <c r="FI37" s="60">
        <f t="shared" si="23"/>
        <v>565.0019091443271</v>
      </c>
      <c r="FJ37" s="60">
        <f ca="1">AVERAGE(OFFSET($FI$3,0,0,'Données projet'!$E$16+1,1))-AVERAGE(OFFSET($H$3,0,0,'Données projet'!$E$16+1,1))</f>
        <v>207.03241199974599</v>
      </c>
      <c r="FK37" s="60">
        <f t="shared" si="48"/>
        <v>314.188568589113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12.472706862399088</v>
      </c>
      <c r="FR37" s="23">
        <f>EXP(-LN(2)/25)*FR36+(1-EXP(-LN(2)/25))/(LN(2)/25)*Calculateur!FM37*Calculateur!FO37*VLOOKUP('Données projet'!$B$16,Paramètres!$A$1:$I$89,3,0)*0.475*44/12</f>
        <v>8.725969627003467</v>
      </c>
      <c r="FS37" s="23">
        <f>EXP(-LN(2)/2)*FS36+(1-EXP(-LN(2)/2))/(LN(2)/2)*FM37*FP37*VLOOKUP('Données projet'!$B$16,Paramètres!$A$1:$I$89,3,0)*0.475*44/12</f>
        <v>0.73110692422820234</v>
      </c>
      <c r="FT37" s="24">
        <f t="shared" si="24"/>
        <v>21.929783413630759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129.48717948717947</v>
      </c>
      <c r="L38" s="13">
        <f>VLOOKUP(A38,'Données projet'!$A$35:$I$55,9,0)</f>
        <v>6.1538461538461515</v>
      </c>
      <c r="M38" s="13">
        <f t="array" ref="M38">INDEX(L:L,MIN(IF(ISNUMBER(L38:L234),ROW(L38:L234),"")))</f>
        <v>6.1538461538461515</v>
      </c>
      <c r="N38" s="14">
        <f>IF('Données projet'!$A$36&gt;35,N37+M38-V37,IF(A38&lt;'Données projet'!$A$36,$K$205^A38,IF(A38='Données projet'!$A$36,'Données projet'!$B$36,N37+M38-V37)))</f>
        <v>129.4871794871795</v>
      </c>
      <c r="O38" s="14">
        <f>N38*VLOOKUP('Données projet'!$B$9,Paramètres!$A$1:$I$89,3,0)*VLOOKUP('Données projet'!$B$9,Paramètres!$A$1:$I$89,5,0)</f>
        <v>123.22000000000001</v>
      </c>
      <c r="P38" s="14">
        <f t="shared" si="33"/>
        <v>32.42485010818541</v>
      </c>
      <c r="Q38" s="22">
        <f t="shared" si="53"/>
        <v>271.0814472717563</v>
      </c>
      <c r="R38" s="60">
        <f t="shared" si="0"/>
        <v>564.41478060508962</v>
      </c>
      <c r="S38" s="60">
        <f ca="1">AVERAGE(OFFSET($R$3,0,0,'Données projet'!$E$9+1,1))-AVERAGE(OFFSET($H$3,0,0,'Données projet'!$E$9+1,1))</f>
        <v>353.61481736740694</v>
      </c>
      <c r="T38" s="60">
        <f t="shared" si="34"/>
        <v>244.7141066773861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26.282051282051281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112.1952</v>
      </c>
      <c r="AK38" s="14">
        <f t="shared" si="35"/>
        <v>29.847594514573263</v>
      </c>
      <c r="AL38" s="22">
        <f t="shared" si="4"/>
        <v>247.39120044621509</v>
      </c>
      <c r="AM38" s="60">
        <f t="shared" si="5"/>
        <v>540.72453377954844</v>
      </c>
      <c r="AN38" s="60">
        <f ca="1">AVERAGE(OFFSET($AM$3,0,0,'Données projet'!$E$10+1,1))-AVERAGE(OFFSET($H$3,0,0,'Données projet'!$E$10+1,1))</f>
        <v>455.50822833641354</v>
      </c>
      <c r="AO38" s="60">
        <f t="shared" si="36"/>
        <v>261.14722581688039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121.2432</v>
      </c>
      <c r="BF38" s="14">
        <f t="shared" si="37"/>
        <v>31.964781119270334</v>
      </c>
      <c r="BG38" s="22">
        <f t="shared" si="7"/>
        <v>266.83723378272913</v>
      </c>
      <c r="BH38" s="60">
        <f t="shared" si="8"/>
        <v>560.17056711606244</v>
      </c>
      <c r="BI38" s="60">
        <f ca="1">AVERAGE(OFFSET($BH$3,0,0,'Données projet'!$E$11+1,1))-AVERAGE(OFFSET($H$3,0,0,'Données projet'!$E$11+1,1))</f>
        <v>488.7825919901664</v>
      </c>
      <c r="BJ38" s="60">
        <f t="shared" si="38"/>
        <v>278.78817181412438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117.62400000000001</v>
      </c>
      <c r="CA38" s="14">
        <f t="shared" si="39"/>
        <v>31.120192961985413</v>
      </c>
      <c r="CB38" s="22">
        <f t="shared" si="10"/>
        <v>259.06280274212457</v>
      </c>
      <c r="CC38" s="60">
        <f t="shared" si="11"/>
        <v>552.39613607545789</v>
      </c>
      <c r="CD38" s="60">
        <f ca="1">AVERAGE(OFFSET($CC$3,0,0,'Données projet'!$E$12+1,1))-AVERAGE(OFFSET($H$3,0,0,'Données projet'!$E$12+1,1))</f>
        <v>475.47920969424894</v>
      </c>
      <c r="CE38" s="60">
        <f t="shared" si="40"/>
        <v>271.73544012419364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104.9568</v>
      </c>
      <c r="CV38" s="14">
        <f t="shared" si="41"/>
        <v>28.139541339232373</v>
      </c>
      <c r="CW38" s="22">
        <f t="shared" si="13"/>
        <v>231.8094611658297</v>
      </c>
      <c r="CX38" s="60">
        <f t="shared" si="14"/>
        <v>525.14279449916307</v>
      </c>
      <c r="CY38" s="60">
        <f ca="1">AVERAGE(OFFSET($CX$3,0,0,'Données projet'!$E$13+1,1))-AVERAGE(OFFSET($H$3,0,0,'Données projet'!$E$13+1,1))</f>
        <v>428.8489304403459</v>
      </c>
      <c r="CZ38" s="60">
        <f t="shared" si="42"/>
        <v>247.01165577562966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124.86239999999999</v>
      </c>
      <c r="DQ38" s="14">
        <f t="shared" si="43"/>
        <v>32.806439280561598</v>
      </c>
      <c r="DR38" s="22">
        <f t="shared" si="16"/>
        <v>274.60656174697812</v>
      </c>
      <c r="DS38" s="60">
        <f t="shared" si="17"/>
        <v>567.93989508031143</v>
      </c>
      <c r="DT38" s="60">
        <f ca="1">AVERAGE(OFFSET($DS$3,0,0,'Données projet'!$E$14+1,1))-AVERAGE(OFFSET($H$3,0,0,'Données projet'!$E$14+1,1))</f>
        <v>502.07782026233912</v>
      </c>
      <c r="DU38" s="60">
        <f t="shared" si="44"/>
        <v>285.83623046025156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233</v>
      </c>
      <c r="EH38" s="13">
        <f>VLOOKUP(A38,'Données projet'!$A$191:$I$211,9,0)</f>
        <v>14.6</v>
      </c>
      <c r="EI38" s="13">
        <f t="array" ref="EI38">INDEX(EH:EH,MIN(IF(ISNUMBER(EH38:EH234),ROW(EH38:EH234),"")))</f>
        <v>14.6</v>
      </c>
      <c r="EJ38" s="13">
        <f>IF('Données projet'!$A$192&gt;35,EJ37+EI38-ER37,IF(A38&lt;'Données projet'!$A$192,$EG$205^A38,IF(A38='Données projet'!$A$192,'Données projet'!$B$192,EJ37+EI38-ER37)))</f>
        <v>233.00000000000003</v>
      </c>
      <c r="EK38" s="18">
        <f>EJ38*VLOOKUP('Données projet'!$B$15,Paramètres!$A$1:$I$89,3,0)*VLOOKUP('Données projet'!$B$15,Paramètres!$A$1:$I$89,5,0)</f>
        <v>139.33400000000003</v>
      </c>
      <c r="EL38" s="14">
        <f t="shared" si="45"/>
        <v>36.144391930570897</v>
      </c>
      <c r="EM38" s="22">
        <f t="shared" si="19"/>
        <v>305.62486594574438</v>
      </c>
      <c r="EN38" s="60">
        <f t="shared" si="20"/>
        <v>598.95819927907769</v>
      </c>
      <c r="EO38" s="60">
        <f ca="1">AVERAGE(OFFSET($EN$3,0,0,'Données projet'!$E$15+1,1))-AVERAGE(OFFSET($H$3,0,0,'Données projet'!$E$15+1,1))</f>
        <v>392.62423122800357</v>
      </c>
      <c r="EP38" s="60">
        <f t="shared" si="46"/>
        <v>314.09619163968642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9.8771099659418677</v>
      </c>
      <c r="EX38" s="23">
        <f>EXP(-LN(2)/2)*EX37+(1-EXP(-LN(2)/2))/(LN(2)/2)*ER38*EU38*VLOOKUP('Données projet'!$B$15,Paramètres!$A$1:$I$89,3,0)*0.475*44/12</f>
        <v>3.1119677095306444</v>
      </c>
      <c r="EY38" s="24">
        <f t="shared" si="21"/>
        <v>12.989077675472512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12.938699999999994</v>
      </c>
      <c r="FE38" s="13">
        <f>IF('Données projet'!$A$218&gt;35,FE37+FD38-FM37,IF(A38&lt;'Données projet'!$A$218,$FB$205^A38,IF(A38='Données projet'!$A$218,'Données projet'!$B$218,FE37+FD38-FM37)))</f>
        <v>219.4496</v>
      </c>
      <c r="FF38" s="18">
        <f>FE38*VLOOKUP('Données projet'!$B$16,Paramètres!$A$1:$I$89,3,0)*VLOOKUP('Données projet'!$B$16,Paramètres!$A$1:$I$89,5,0)</f>
        <v>131.23086080000002</v>
      </c>
      <c r="FG38" s="14">
        <f t="shared" si="47"/>
        <v>34.280618947286037</v>
      </c>
      <c r="FH38" s="22">
        <f t="shared" si="22"/>
        <v>288.26582722652319</v>
      </c>
      <c r="FI38" s="60">
        <f t="shared" si="23"/>
        <v>581.5991605598565</v>
      </c>
      <c r="FJ38" s="60">
        <f ca="1">AVERAGE(OFFSET($FI$3,0,0,'Données projet'!$E$16+1,1))-AVERAGE(OFFSET($H$3,0,0,'Données projet'!$E$16+1,1))</f>
        <v>207.03241199974599</v>
      </c>
      <c r="FK38" s="60">
        <f t="shared" si="48"/>
        <v>314.188568589113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12.228124688427439</v>
      </c>
      <c r="FR38" s="23">
        <f>EXP(-LN(2)/25)*FR37+(1-EXP(-LN(2)/25))/(LN(2)/25)*Calculateur!FM38*Calculateur!FO38*VLOOKUP('Données projet'!$B$16,Paramètres!$A$1:$I$89,3,0)*0.475*44/12</f>
        <v>8.4873575286742575</v>
      </c>
      <c r="FS38" s="23">
        <f>EXP(-LN(2)/2)*FS37+(1-EXP(-LN(2)/2))/(LN(2)/2)*FM38*FP38*VLOOKUP('Données projet'!$B$16,Paramètres!$A$1:$I$89,3,0)*0.475*44/12</f>
        <v>0.51697066389420132</v>
      </c>
      <c r="FT38" s="24">
        <f t="shared" si="24"/>
        <v>21.232452880995897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5.7692307692307709</v>
      </c>
      <c r="N39" s="14">
        <f>IF('Données projet'!$A$36&gt;35,N38+M39-V38,IF(A39&lt;'Données projet'!$A$36,$K$205^A39,IF(A39='Données projet'!$A$36,'Données projet'!$B$36,N38+M39-V38)))</f>
        <v>108.97435897435899</v>
      </c>
      <c r="O39" s="14">
        <f>N39*VLOOKUP('Données projet'!$B$9,Paramètres!$A$1:$I$89,3,0)*VLOOKUP('Données projet'!$B$9,Paramètres!$A$1:$I$89,5,0)</f>
        <v>103.7</v>
      </c>
      <c r="P39" s="14">
        <f t="shared" si="33"/>
        <v>27.841598996112509</v>
      </c>
      <c r="Q39" s="22">
        <f t="shared" si="53"/>
        <v>229.1016182515626</v>
      </c>
      <c r="R39" s="60">
        <f t="shared" si="0"/>
        <v>522.43495158489588</v>
      </c>
      <c r="S39" s="60">
        <f ca="1">AVERAGE(OFFSET($R$3,0,0,'Données projet'!$E$9+1,1))-AVERAGE(OFFSET($H$3,0,0,'Données projet'!$E$9+1,1))</f>
        <v>353.61481736740694</v>
      </c>
      <c r="T39" s="60">
        <f t="shared" si="34"/>
        <v>244.7141066773861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120.31968000000001</v>
      </c>
      <c r="AK39" s="14">
        <f t="shared" si="35"/>
        <v>31.74954785566829</v>
      </c>
      <c r="AL39" s="22">
        <f t="shared" si="4"/>
        <v>264.85390518195555</v>
      </c>
      <c r="AM39" s="60">
        <f t="shared" si="5"/>
        <v>558.18723851528887</v>
      </c>
      <c r="AN39" s="60">
        <f ca="1">AVERAGE(OFFSET($AM$3,0,0,'Données projet'!$E$10+1,1))-AVERAGE(OFFSET($H$3,0,0,'Données projet'!$E$10+1,1))</f>
        <v>455.50822833641354</v>
      </c>
      <c r="AO39" s="60">
        <f t="shared" si="36"/>
        <v>261.14722581688039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130.02288000000001</v>
      </c>
      <c r="BF39" s="14">
        <f t="shared" si="37"/>
        <v>34.00164617442524</v>
      </c>
      <c r="BG39" s="22">
        <f t="shared" si="7"/>
        <v>285.67604975379066</v>
      </c>
      <c r="BH39" s="60">
        <f t="shared" si="8"/>
        <v>579.00938308712398</v>
      </c>
      <c r="BI39" s="60">
        <f ca="1">AVERAGE(OFFSET($BH$3,0,0,'Données projet'!$E$11+1,1))-AVERAGE(OFFSET($H$3,0,0,'Données projet'!$E$11+1,1))</f>
        <v>488.7825919901664</v>
      </c>
      <c r="BJ39" s="60">
        <f t="shared" si="38"/>
        <v>278.78817181412438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126.1416</v>
      </c>
      <c r="CA39" s="14">
        <f t="shared" si="39"/>
        <v>33.10323903126482</v>
      </c>
      <c r="CB39" s="22">
        <f t="shared" si="10"/>
        <v>277.35142797945286</v>
      </c>
      <c r="CC39" s="60">
        <f t="shared" si="11"/>
        <v>570.68476131278612</v>
      </c>
      <c r="CD39" s="60">
        <f ca="1">AVERAGE(OFFSET($CC$3,0,0,'Données projet'!$E$12+1,1))-AVERAGE(OFFSET($H$3,0,0,'Données projet'!$E$12+1,1))</f>
        <v>475.47920969424894</v>
      </c>
      <c r="CE39" s="60">
        <f t="shared" si="40"/>
        <v>271.73544012419364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112.55712000000001</v>
      </c>
      <c r="CV39" s="14">
        <f t="shared" si="41"/>
        <v>29.932653834140599</v>
      </c>
      <c r="CW39" s="22">
        <f t="shared" si="13"/>
        <v>248.16968942779488</v>
      </c>
      <c r="CX39" s="60">
        <f t="shared" si="14"/>
        <v>541.50302276112825</v>
      </c>
      <c r="CY39" s="60">
        <f ca="1">AVERAGE(OFFSET($CX$3,0,0,'Données projet'!$E$13+1,1))-AVERAGE(OFFSET($H$3,0,0,'Données projet'!$E$13+1,1))</f>
        <v>428.8489304403459</v>
      </c>
      <c r="CZ39" s="60">
        <f t="shared" si="42"/>
        <v>247.01165577562966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133.90415999999999</v>
      </c>
      <c r="DQ39" s="14">
        <f t="shared" si="43"/>
        <v>34.896936615903982</v>
      </c>
      <c r="DR39" s="22">
        <f t="shared" si="16"/>
        <v>293.99524327269938</v>
      </c>
      <c r="DS39" s="60">
        <f t="shared" si="17"/>
        <v>587.3285766060327</v>
      </c>
      <c r="DT39" s="60">
        <f ca="1">AVERAGE(OFFSET($DS$3,0,0,'Données projet'!$E$14+1,1))-AVERAGE(OFFSET($H$3,0,0,'Données projet'!$E$14+1,1))</f>
        <v>502.07782026233912</v>
      </c>
      <c r="DU39" s="60">
        <f t="shared" si="44"/>
        <v>285.83623046025156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14.4</v>
      </c>
      <c r="EJ39" s="13">
        <f>IF('Données projet'!$A$192&gt;35,EJ38+EI39-ER38,IF(A39&lt;'Données projet'!$A$192,$EG$205^A39,IF(A39='Données projet'!$A$192,'Données projet'!$B$192,EJ38+EI39-ER38)))</f>
        <v>247.40000000000003</v>
      </c>
      <c r="EK39" s="18">
        <f>EJ39*VLOOKUP('Données projet'!$B$15,Paramètres!$A$1:$I$89,3,0)*VLOOKUP('Données projet'!$B$15,Paramètres!$A$1:$I$89,5,0)</f>
        <v>147.94520000000003</v>
      </c>
      <c r="EL39" s="14">
        <f t="shared" si="45"/>
        <v>38.11125074558732</v>
      </c>
      <c r="EM39" s="22">
        <f t="shared" si="19"/>
        <v>324.0483183818979</v>
      </c>
      <c r="EN39" s="60">
        <f t="shared" si="20"/>
        <v>617.38165171523121</v>
      </c>
      <c r="EO39" s="60">
        <f ca="1">AVERAGE(OFFSET($EN$3,0,0,'Données projet'!$E$15+1,1))-AVERAGE(OFFSET($H$3,0,0,'Données projet'!$E$15+1,1))</f>
        <v>392.62423122800357</v>
      </c>
      <c r="EP39" s="60">
        <f t="shared" si="46"/>
        <v>314.09619163968642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9.6070198745085484</v>
      </c>
      <c r="EX39" s="23">
        <f>EXP(-LN(2)/2)*EX38+(1-EXP(-LN(2)/2))/(LN(2)/2)*ER39*EU39*VLOOKUP('Données projet'!$B$15,Paramètres!$A$1:$I$89,3,0)*0.475*44/12</f>
        <v>2.2004934702426868</v>
      </c>
      <c r="EY39" s="24">
        <f t="shared" si="21"/>
        <v>11.807513344751236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12.938699999999994</v>
      </c>
      <c r="FE39" s="13">
        <f>IF('Données projet'!$A$218&gt;35,FE38+FD39-FM38,IF(A39&lt;'Données projet'!$A$218,$FB$205^A39,IF(A39='Données projet'!$A$218,'Données projet'!$B$218,FE38+FD39-FM38)))</f>
        <v>232.38829999999999</v>
      </c>
      <c r="FF39" s="18">
        <f>FE39*VLOOKUP('Données projet'!$B$16,Paramètres!$A$1:$I$89,3,0)*VLOOKUP('Données projet'!$B$16,Paramètres!$A$1:$I$89,5,0)</f>
        <v>138.96820339999999</v>
      </c>
      <c r="FG39" s="14">
        <f t="shared" si="47"/>
        <v>36.060533716914215</v>
      </c>
      <c r="FH39" s="22">
        <f t="shared" si="22"/>
        <v>304.84171714529225</v>
      </c>
      <c r="FI39" s="60">
        <f t="shared" si="23"/>
        <v>598.17505047862551</v>
      </c>
      <c r="FJ39" s="60">
        <f ca="1">AVERAGE(OFFSET($FI$3,0,0,'Données projet'!$E$16+1,1))-AVERAGE(OFFSET($H$3,0,0,'Données projet'!$E$16+1,1))</f>
        <v>207.03241199974599</v>
      </c>
      <c r="FK39" s="60">
        <f t="shared" si="48"/>
        <v>314.188568589113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11.988338621706978</v>
      </c>
      <c r="FR39" s="23">
        <f>EXP(-LN(2)/25)*FR38+(1-EXP(-LN(2)/25))/(LN(2)/25)*Calculateur!FM39*Calculateur!FO39*VLOOKUP('Données projet'!$B$16,Paramètres!$A$1:$I$89,3,0)*0.475*44/12</f>
        <v>8.255270290721926</v>
      </c>
      <c r="FS39" s="23">
        <f>EXP(-LN(2)/2)*FS38+(1-EXP(-LN(2)/2))/(LN(2)/2)*FM39*FP39*VLOOKUP('Données projet'!$B$16,Paramètres!$A$1:$I$89,3,0)*0.475*44/12</f>
        <v>0.36555346211410122</v>
      </c>
      <c r="FT39" s="24">
        <f t="shared" si="24"/>
        <v>20.609162374543004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5.7692307692307709</v>
      </c>
      <c r="N40" s="14">
        <f>IF('Données projet'!$A$36&gt;35,N39+M40-V39,IF(A40&lt;'Données projet'!$A$36,$K$205^A40,IF(A40='Données projet'!$A$36,'Données projet'!$B$36,N39+M40-V39)))</f>
        <v>114.74358974358977</v>
      </c>
      <c r="O40" s="14">
        <f>N40*VLOOKUP('Données projet'!$B$9,Paramètres!$A$1:$I$89,3,0)*VLOOKUP('Données projet'!$B$9,Paramètres!$A$1:$I$89,5,0)</f>
        <v>109.19000000000001</v>
      </c>
      <c r="P40" s="14">
        <f t="shared" si="33"/>
        <v>29.140060241717325</v>
      </c>
      <c r="Q40" s="22">
        <f t="shared" si="53"/>
        <v>240.92485492099104</v>
      </c>
      <c r="R40" s="60">
        <f t="shared" si="0"/>
        <v>534.2581882543243</v>
      </c>
      <c r="S40" s="60">
        <f ca="1">AVERAGE(OFFSET($R$3,0,0,'Données projet'!$E$9+1,1))-AVERAGE(OFFSET($H$3,0,0,'Données projet'!$E$9+1,1))</f>
        <v>353.61481736740694</v>
      </c>
      <c r="T40" s="60">
        <f t="shared" si="34"/>
        <v>244.7141066773861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128.44416000000001</v>
      </c>
      <c r="AK40" s="14">
        <f t="shared" si="35"/>
        <v>33.636598855068925</v>
      </c>
      <c r="AL40" s="22">
        <f t="shared" si="4"/>
        <v>282.29065500591173</v>
      </c>
      <c r="AM40" s="60">
        <f t="shared" si="5"/>
        <v>575.62398833924499</v>
      </c>
      <c r="AN40" s="60">
        <f ca="1">AVERAGE(OFFSET($AM$3,0,0,'Données projet'!$E$10+1,1))-AVERAGE(OFFSET($H$3,0,0,'Données projet'!$E$10+1,1))</f>
        <v>455.50822833641354</v>
      </c>
      <c r="AO40" s="60">
        <f t="shared" si="36"/>
        <v>261.14722581688039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138.80256000000003</v>
      </c>
      <c r="BF40" s="14">
        <f t="shared" si="37"/>
        <v>36.022551816496033</v>
      </c>
      <c r="BG40" s="22">
        <f t="shared" si="7"/>
        <v>304.48706974706403</v>
      </c>
      <c r="BH40" s="60">
        <f t="shared" si="8"/>
        <v>597.82040308039734</v>
      </c>
      <c r="BI40" s="60">
        <f ca="1">AVERAGE(OFFSET($BH$3,0,0,'Données projet'!$E$11+1,1))-AVERAGE(OFFSET($H$3,0,0,'Données projet'!$E$11+1,1))</f>
        <v>488.7825919901664</v>
      </c>
      <c r="BJ40" s="60">
        <f t="shared" si="38"/>
        <v>278.78817181412438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134.65920000000003</v>
      </c>
      <c r="CA40" s="14">
        <f t="shared" si="39"/>
        <v>35.07074737441733</v>
      </c>
      <c r="CB40" s="22">
        <f t="shared" si="10"/>
        <v>295.61299167711019</v>
      </c>
      <c r="CC40" s="60">
        <f t="shared" si="11"/>
        <v>588.9463250104435</v>
      </c>
      <c r="CD40" s="60">
        <f ca="1">AVERAGE(OFFSET($CC$3,0,0,'Données projet'!$E$12+1,1))-AVERAGE(OFFSET($H$3,0,0,'Données projet'!$E$12+1,1))</f>
        <v>475.47920969424894</v>
      </c>
      <c r="CE40" s="60">
        <f t="shared" si="40"/>
        <v>271.73544012419364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120.15744000000001</v>
      </c>
      <c r="CV40" s="14">
        <f t="shared" si="41"/>
        <v>31.711716786129845</v>
      </c>
      <c r="CW40" s="22">
        <f t="shared" si="13"/>
        <v>264.50544806917611</v>
      </c>
      <c r="CX40" s="60">
        <f t="shared" si="14"/>
        <v>557.83878140250943</v>
      </c>
      <c r="CY40" s="60">
        <f ca="1">AVERAGE(OFFSET($CX$3,0,0,'Données projet'!$E$13+1,1))-AVERAGE(OFFSET($H$3,0,0,'Données projet'!$E$13+1,1))</f>
        <v>428.8489304403459</v>
      </c>
      <c r="CZ40" s="60">
        <f t="shared" si="42"/>
        <v>247.01165577562966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142.94592</v>
      </c>
      <c r="DQ40" s="14">
        <f t="shared" si="43"/>
        <v>36.971054314096854</v>
      </c>
      <c r="DR40" s="22">
        <f t="shared" si="16"/>
        <v>313.35539693038533</v>
      </c>
      <c r="DS40" s="60">
        <f t="shared" si="17"/>
        <v>606.68873026371864</v>
      </c>
      <c r="DT40" s="60">
        <f ca="1">AVERAGE(OFFSET($DS$3,0,0,'Données projet'!$E$14+1,1))-AVERAGE(OFFSET($H$3,0,0,'Données projet'!$E$14+1,1))</f>
        <v>502.07782026233912</v>
      </c>
      <c r="DU40" s="60">
        <f t="shared" si="44"/>
        <v>285.83623046025156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14.4</v>
      </c>
      <c r="EJ40" s="13">
        <f>IF('Données projet'!$A$192&gt;35,EJ39+EI40-ER39,IF(A40&lt;'Données projet'!$A$192,$EG$205^A40,IF(A40='Données projet'!$A$192,'Données projet'!$B$192,EJ39+EI40-ER39)))</f>
        <v>261.8</v>
      </c>
      <c r="EK40" s="18">
        <f>EJ40*VLOOKUP('Données projet'!$B$15,Paramètres!$A$1:$I$89,3,0)*VLOOKUP('Données projet'!$B$15,Paramètres!$A$1:$I$89,5,0)</f>
        <v>156.55640000000002</v>
      </c>
      <c r="EL40" s="14">
        <f t="shared" si="45"/>
        <v>40.064821013351512</v>
      </c>
      <c r="EM40" s="22">
        <f t="shared" si="19"/>
        <v>342.4486265982539</v>
      </c>
      <c r="EN40" s="60">
        <f t="shared" si="20"/>
        <v>635.78195993158715</v>
      </c>
      <c r="EO40" s="60">
        <f ca="1">AVERAGE(OFFSET($EN$3,0,0,'Données projet'!$E$15+1,1))-AVERAGE(OFFSET($H$3,0,0,'Données projet'!$E$15+1,1))</f>
        <v>392.62423122800357</v>
      </c>
      <c r="EP40" s="60">
        <f t="shared" si="46"/>
        <v>314.09619163968642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9.3443154108288944</v>
      </c>
      <c r="EX40" s="23">
        <f>EXP(-LN(2)/2)*EX39+(1-EXP(-LN(2)/2))/(LN(2)/2)*ER40*EU40*VLOOKUP('Données projet'!$B$15,Paramètres!$A$1:$I$89,3,0)*0.475*44/12</f>
        <v>1.5559838547653222</v>
      </c>
      <c r="EY40" s="24">
        <f t="shared" si="21"/>
        <v>10.900299265594217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245.327</v>
      </c>
      <c r="FC40" s="13">
        <f>VLOOKUP(A40,'Données projet'!$A$217:$I$237,9,0)</f>
        <v>12.938699999999994</v>
      </c>
      <c r="FD40" s="13">
        <f t="array" ref="FD40">INDEX(FC:FC,MIN(IF(ISNUMBER(FC40:FC236),ROW(FC40:FC236),"")))</f>
        <v>12.938699999999994</v>
      </c>
      <c r="FE40" s="13">
        <f>IF('Données projet'!$A$218&gt;35,FE39+FD40-FM39,IF(A40&lt;'Données projet'!$A$218,$FB$205^A40,IF(A40='Données projet'!$A$218,'Données projet'!$B$218,FE39+FD40-FM39)))</f>
        <v>245.32699999999997</v>
      </c>
      <c r="FF40" s="18">
        <f>FE40*VLOOKUP('Données projet'!$B$16,Paramètres!$A$1:$I$89,3,0)*VLOOKUP('Données projet'!$B$16,Paramètres!$A$1:$I$89,5,0)</f>
        <v>146.705546</v>
      </c>
      <c r="FG40" s="14">
        <f t="shared" si="47"/>
        <v>37.828944219472127</v>
      </c>
      <c r="FH40" s="22">
        <f t="shared" si="22"/>
        <v>321.3975704655806</v>
      </c>
      <c r="FI40" s="60">
        <f t="shared" si="23"/>
        <v>614.73090379891391</v>
      </c>
      <c r="FJ40" s="60">
        <f ca="1">AVERAGE(OFFSET($FI$3,0,0,'Données projet'!$E$16+1,1))-AVERAGE(OFFSET($H$3,0,0,'Données projet'!$E$16+1,1))</f>
        <v>207.03241199974599</v>
      </c>
      <c r="FK40" s="60">
        <f t="shared" si="48"/>
        <v>314.188568589113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11.753254613499847</v>
      </c>
      <c r="FR40" s="23">
        <f>EXP(-LN(2)/25)*FR39+(1-EXP(-LN(2)/25))/(LN(2)/25)*Calculateur!FM40*Calculateur!FO40*VLOOKUP('Données projet'!$B$16,Paramètres!$A$1:$I$89,3,0)*0.475*44/12</f>
        <v>8.0295294904963388</v>
      </c>
      <c r="FS40" s="23">
        <f>EXP(-LN(2)/2)*FS39+(1-EXP(-LN(2)/2))/(LN(2)/2)*FM40*FP40*VLOOKUP('Données projet'!$B$16,Paramètres!$A$1:$I$89,3,0)*0.475*44/12</f>
        <v>0.25848533194710066</v>
      </c>
      <c r="FT40" s="24">
        <f t="shared" si="24"/>
        <v>20.041269435943285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5.7692307692307709</v>
      </c>
      <c r="N41" s="14">
        <f>IF('Données projet'!$A$36&gt;35,N40+M41-V40,IF(A41&lt;'Données projet'!$A$36,$K$205^A41,IF(A41='Données projet'!$A$36,'Données projet'!$B$36,N40+M41-V40)))</f>
        <v>120.51282051282054</v>
      </c>
      <c r="O41" s="14">
        <f>N41*VLOOKUP('Données projet'!$B$9,Paramètres!$A$1:$I$89,3,0)*VLOOKUP('Données projet'!$B$9,Paramètres!$A$1:$I$89,5,0)</f>
        <v>114.68000000000002</v>
      </c>
      <c r="P41" s="14">
        <f t="shared" si="33"/>
        <v>30.430941046845955</v>
      </c>
      <c r="Q41" s="22">
        <f t="shared" si="53"/>
        <v>252.73488898992335</v>
      </c>
      <c r="R41" s="60">
        <f t="shared" si="0"/>
        <v>546.06822232325669</v>
      </c>
      <c r="S41" s="60">
        <f ca="1">AVERAGE(OFFSET($R$3,0,0,'Données projet'!$E$9+1,1))-AVERAGE(OFFSET($H$3,0,0,'Données projet'!$E$9+1,1))</f>
        <v>353.61481736740694</v>
      </c>
      <c r="T41" s="60">
        <f t="shared" si="34"/>
        <v>244.7141066773861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136.56864000000002</v>
      </c>
      <c r="AK41" s="14">
        <f t="shared" si="35"/>
        <v>35.509797430964703</v>
      </c>
      <c r="AL41" s="22">
        <f t="shared" si="4"/>
        <v>299.70327852559689</v>
      </c>
      <c r="AM41" s="60">
        <f t="shared" si="5"/>
        <v>593.0366118589302</v>
      </c>
      <c r="AN41" s="60">
        <f ca="1">AVERAGE(OFFSET($AM$3,0,0,'Données projet'!$E$10+1,1))-AVERAGE(OFFSET($H$3,0,0,'Données projet'!$E$10+1,1))</f>
        <v>455.50822833641354</v>
      </c>
      <c r="AO41" s="60">
        <f t="shared" si="36"/>
        <v>261.14722581688039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147.58224000000001</v>
      </c>
      <c r="BF41" s="14">
        <f t="shared" si="37"/>
        <v>38.028622437771823</v>
      </c>
      <c r="BG41" s="22">
        <f t="shared" si="7"/>
        <v>323.27225207911926</v>
      </c>
      <c r="BH41" s="60">
        <f t="shared" si="8"/>
        <v>616.60558541245257</v>
      </c>
      <c r="BI41" s="60">
        <f ca="1">AVERAGE(OFFSET($BH$3,0,0,'Données projet'!$E$11+1,1))-AVERAGE(OFFSET($H$3,0,0,'Données projet'!$E$11+1,1))</f>
        <v>488.7825919901664</v>
      </c>
      <c r="BJ41" s="60">
        <f t="shared" si="38"/>
        <v>278.78817181412438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143.17680000000004</v>
      </c>
      <c r="CA41" s="14">
        <f t="shared" si="39"/>
        <v>37.023812674521515</v>
      </c>
      <c r="CB41" s="22">
        <f t="shared" si="10"/>
        <v>313.84940040812506</v>
      </c>
      <c r="CC41" s="60">
        <f t="shared" si="11"/>
        <v>607.18273374145838</v>
      </c>
      <c r="CD41" s="60">
        <f ca="1">AVERAGE(OFFSET($CC$3,0,0,'Données projet'!$E$12+1,1))-AVERAGE(OFFSET($H$3,0,0,'Données projet'!$E$12+1,1))</f>
        <v>475.47920969424894</v>
      </c>
      <c r="CE41" s="60">
        <f t="shared" si="40"/>
        <v>271.73544012419364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127.75776</v>
      </c>
      <c r="CV41" s="14">
        <f t="shared" si="41"/>
        <v>33.477720030956604</v>
      </c>
      <c r="CW41" s="22">
        <f t="shared" si="13"/>
        <v>280.81846105391611</v>
      </c>
      <c r="CX41" s="60">
        <f t="shared" si="14"/>
        <v>574.15179438724942</v>
      </c>
      <c r="CY41" s="60">
        <f ca="1">AVERAGE(OFFSET($CX$3,0,0,'Données projet'!$E$13+1,1))-AVERAGE(OFFSET($H$3,0,0,'Données projet'!$E$13+1,1))</f>
        <v>428.8489304403459</v>
      </c>
      <c r="CZ41" s="60">
        <f t="shared" si="42"/>
        <v>247.01165577562966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151.98768000000001</v>
      </c>
      <c r="DQ41" s="14">
        <f t="shared" si="43"/>
        <v>39.029946373574369</v>
      </c>
      <c r="DR41" s="22">
        <f t="shared" si="16"/>
        <v>332.68903260064207</v>
      </c>
      <c r="DS41" s="60">
        <f t="shared" si="17"/>
        <v>626.02236593397538</v>
      </c>
      <c r="DT41" s="60">
        <f ca="1">AVERAGE(OFFSET($DS$3,0,0,'Données projet'!$E$14+1,1))-AVERAGE(OFFSET($H$3,0,0,'Données projet'!$E$14+1,1))</f>
        <v>502.07782026233912</v>
      </c>
      <c r="DU41" s="60">
        <f t="shared" si="44"/>
        <v>285.83623046025156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14.4</v>
      </c>
      <c r="EJ41" s="13">
        <f>IF('Données projet'!$A$192&gt;35,EJ40+EI41-ER40,IF(A41&lt;'Données projet'!$A$192,$EG$205^A41,IF(A41='Données projet'!$A$192,'Données projet'!$B$192,EJ40+EI41-ER40)))</f>
        <v>276.2</v>
      </c>
      <c r="EK41" s="18">
        <f>EJ41*VLOOKUP('Données projet'!$B$15,Paramètres!$A$1:$I$89,3,0)*VLOOKUP('Données projet'!$B$15,Paramètres!$A$1:$I$89,5,0)</f>
        <v>165.16760000000002</v>
      </c>
      <c r="EL41" s="14">
        <f t="shared" si="45"/>
        <v>42.005916970380873</v>
      </c>
      <c r="EM41" s="22">
        <f t="shared" si="19"/>
        <v>360.82720872341338</v>
      </c>
      <c r="EN41" s="60">
        <f t="shared" si="20"/>
        <v>654.16054205674664</v>
      </c>
      <c r="EO41" s="60">
        <f ca="1">AVERAGE(OFFSET($EN$3,0,0,'Données projet'!$E$15+1,1))-AVERAGE(OFFSET($H$3,0,0,'Données projet'!$E$15+1,1))</f>
        <v>392.62423122800357</v>
      </c>
      <c r="EP41" s="60">
        <f t="shared" si="46"/>
        <v>314.09619163968642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9.0887946145235876</v>
      </c>
      <c r="EX41" s="23">
        <f>EXP(-LN(2)/2)*EX40+(1-EXP(-LN(2)/2))/(LN(2)/2)*ER41*EU41*VLOOKUP('Données projet'!$B$15,Paramètres!$A$1:$I$89,3,0)*0.475*44/12</f>
        <v>1.1002467351213434</v>
      </c>
      <c r="EY41" s="24">
        <f t="shared" si="21"/>
        <v>10.189041349644931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13.198800000000006</v>
      </c>
      <c r="FE41" s="13">
        <f>IF('Données projet'!$A$218&gt;35,FE40+FD41-FM40,IF(A41&lt;'Données projet'!$A$218,$FB$205^A41,IF(A41='Données projet'!$A$218,'Données projet'!$B$218,FE40+FD41-FM40)))</f>
        <v>258.5258</v>
      </c>
      <c r="FF41" s="18">
        <f>FE41*VLOOKUP('Données projet'!$B$16,Paramètres!$A$1:$I$89,3,0)*VLOOKUP('Données projet'!$B$16,Paramètres!$A$1:$I$89,5,0)</f>
        <v>154.59842840000002</v>
      </c>
      <c r="FG41" s="14">
        <f t="shared" si="47"/>
        <v>39.621751412081764</v>
      </c>
      <c r="FH41" s="22">
        <f t="shared" si="22"/>
        <v>338.26681317270908</v>
      </c>
      <c r="FI41" s="60">
        <f t="shared" si="23"/>
        <v>631.60014650604239</v>
      </c>
      <c r="FJ41" s="60">
        <f ca="1">AVERAGE(OFFSET($FI$3,0,0,'Données projet'!$E$16+1,1))-AVERAGE(OFFSET($H$3,0,0,'Données projet'!$E$16+1,1))</f>
        <v>207.03241199974599</v>
      </c>
      <c r="FK41" s="60">
        <f t="shared" si="48"/>
        <v>314.188568589113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11.522780459306571</v>
      </c>
      <c r="FR41" s="23">
        <f>EXP(-LN(2)/25)*FR40+(1-EXP(-LN(2)/25))/(LN(2)/25)*Calculateur!FM41*Calculateur!FO41*VLOOKUP('Données projet'!$B$16,Paramètres!$A$1:$I$89,3,0)*0.475*44/12</f>
        <v>7.8099615843241121</v>
      </c>
      <c r="FS41" s="23">
        <f>EXP(-LN(2)/2)*FS40+(1-EXP(-LN(2)/2))/(LN(2)/2)*FM41*FP41*VLOOKUP('Données projet'!$B$16,Paramètres!$A$1:$I$89,3,0)*0.475*44/12</f>
        <v>0.18277673105705061</v>
      </c>
      <c r="FT41" s="24">
        <f t="shared" si="24"/>
        <v>19.515518774687731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5.7692307692307709</v>
      </c>
      <c r="N42" s="14">
        <f>IF('Données projet'!$A$36&gt;35,N41+M42-V41,IF(A42&lt;'Données projet'!$A$36,$K$205^A42,IF(A42='Données projet'!$A$36,'Données projet'!$B$36,N41+M42-V41)))</f>
        <v>126.28205128205131</v>
      </c>
      <c r="O42" s="14">
        <f>N42*VLOOKUP('Données projet'!$B$9,Paramètres!$A$1:$I$89,3,0)*VLOOKUP('Données projet'!$B$9,Paramètres!$A$1:$I$89,5,0)</f>
        <v>120.17000000000003</v>
      </c>
      <c r="P42" s="14">
        <f t="shared" si="33"/>
        <v>31.714645735009839</v>
      </c>
      <c r="Q42" s="22">
        <f t="shared" si="53"/>
        <v>264.53242465514222</v>
      </c>
      <c r="R42" s="60">
        <f t="shared" si="0"/>
        <v>557.86575798847548</v>
      </c>
      <c r="S42" s="60">
        <f ca="1">AVERAGE(OFFSET($R$3,0,0,'Données projet'!$E$9+1,1))-AVERAGE(OFFSET($H$3,0,0,'Données projet'!$E$9+1,1))</f>
        <v>353.61481736740694</v>
      </c>
      <c r="T42" s="60">
        <f t="shared" si="34"/>
        <v>244.7141066773861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144.69312000000002</v>
      </c>
      <c r="AK42" s="14">
        <f t="shared" si="35"/>
        <v>37.370061524802772</v>
      </c>
      <c r="AL42" s="22">
        <f t="shared" si="4"/>
        <v>317.09337448903148</v>
      </c>
      <c r="AM42" s="60">
        <f t="shared" si="5"/>
        <v>610.42670782236473</v>
      </c>
      <c r="AN42" s="60">
        <f ca="1">AVERAGE(OFFSET($AM$3,0,0,'Données projet'!$E$10+1,1))-AVERAGE(OFFSET($H$3,0,0,'Données projet'!$E$10+1,1))</f>
        <v>455.50822833641354</v>
      </c>
      <c r="AO42" s="60">
        <f t="shared" si="36"/>
        <v>261.14722581688039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156.36192000000005</v>
      </c>
      <c r="BF42" s="14">
        <f t="shared" si="37"/>
        <v>40.020841092261293</v>
      </c>
      <c r="BG42" s="22">
        <f t="shared" si="7"/>
        <v>342.0333089023552</v>
      </c>
      <c r="BH42" s="60">
        <f t="shared" si="8"/>
        <v>635.36664223568846</v>
      </c>
      <c r="BI42" s="60">
        <f ca="1">AVERAGE(OFFSET($BH$3,0,0,'Données projet'!$E$11+1,1))-AVERAGE(OFFSET($H$3,0,0,'Données projet'!$E$11+1,1))</f>
        <v>488.7825919901664</v>
      </c>
      <c r="BJ42" s="60">
        <f t="shared" si="38"/>
        <v>278.78817181412438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151.69440000000003</v>
      </c>
      <c r="CA42" s="14">
        <f t="shared" si="39"/>
        <v>38.963392010880654</v>
      </c>
      <c r="CB42" s="22">
        <f t="shared" si="10"/>
        <v>332.06232108561716</v>
      </c>
      <c r="CC42" s="60">
        <f t="shared" si="11"/>
        <v>625.39565441895047</v>
      </c>
      <c r="CD42" s="60">
        <f ca="1">AVERAGE(OFFSET($CC$3,0,0,'Données projet'!$E$12+1,1))-AVERAGE(OFFSET($H$3,0,0,'Données projet'!$E$12+1,1))</f>
        <v>475.47920969424894</v>
      </c>
      <c r="CE42" s="60">
        <f t="shared" si="40"/>
        <v>271.73544012419364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135.35808</v>
      </c>
      <c r="CV42" s="14">
        <f t="shared" si="41"/>
        <v>35.231528980112834</v>
      </c>
      <c r="CW42" s="22">
        <f t="shared" si="13"/>
        <v>297.11023564036316</v>
      </c>
      <c r="CX42" s="60">
        <f t="shared" si="14"/>
        <v>590.44356897369653</v>
      </c>
      <c r="CY42" s="60">
        <f ca="1">AVERAGE(OFFSET($CX$3,0,0,'Données projet'!$E$13+1,1))-AVERAGE(OFFSET($H$3,0,0,'Données projet'!$E$13+1,1))</f>
        <v>428.8489304403459</v>
      </c>
      <c r="CZ42" s="60">
        <f t="shared" si="42"/>
        <v>247.01165577562966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161.02944000000002</v>
      </c>
      <c r="DQ42" s="14">
        <f t="shared" si="43"/>
        <v>41.074621732940685</v>
      </c>
      <c r="DR42" s="22">
        <f t="shared" si="16"/>
        <v>351.99790751820501</v>
      </c>
      <c r="DS42" s="60">
        <f t="shared" si="17"/>
        <v>645.33124085153827</v>
      </c>
      <c r="DT42" s="60">
        <f ca="1">AVERAGE(OFFSET($DS$3,0,0,'Données projet'!$E$14+1,1))-AVERAGE(OFFSET($H$3,0,0,'Données projet'!$E$14+1,1))</f>
        <v>502.07782026233912</v>
      </c>
      <c r="DU42" s="60">
        <f t="shared" si="44"/>
        <v>285.83623046025156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14.4</v>
      </c>
      <c r="EJ42" s="13">
        <f>IF('Données projet'!$A$192&gt;35,EJ41+EI42-ER41,IF(A42&lt;'Données projet'!$A$192,$EG$205^A42,IF(A42='Données projet'!$A$192,'Données projet'!$B$192,EJ41+EI42-ER41)))</f>
        <v>290.59999999999997</v>
      </c>
      <c r="EK42" s="18">
        <f>EJ42*VLOOKUP('Données projet'!$B$15,Paramètres!$A$1:$I$89,3,0)*VLOOKUP('Données projet'!$B$15,Paramètres!$A$1:$I$89,5,0)</f>
        <v>173.77879999999999</v>
      </c>
      <c r="EL42" s="14">
        <f t="shared" si="45"/>
        <v>43.935263155546217</v>
      </c>
      <c r="EM42" s="22">
        <f t="shared" si="19"/>
        <v>379.18532666257624</v>
      </c>
      <c r="EN42" s="60">
        <f t="shared" si="20"/>
        <v>672.5186599959095</v>
      </c>
      <c r="EO42" s="60">
        <f ca="1">AVERAGE(OFFSET($EN$3,0,0,'Données projet'!$E$15+1,1))-AVERAGE(OFFSET($H$3,0,0,'Données projet'!$E$15+1,1))</f>
        <v>392.62423122800357</v>
      </c>
      <c r="EP42" s="60">
        <f t="shared" si="46"/>
        <v>314.09619163968642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8.8402610478305039</v>
      </c>
      <c r="EX42" s="23">
        <f>EXP(-LN(2)/2)*EX41+(1-EXP(-LN(2)/2))/(LN(2)/2)*ER42*EU42*VLOOKUP('Données projet'!$B$15,Paramètres!$A$1:$I$89,3,0)*0.475*44/12</f>
        <v>0.7779919273826611</v>
      </c>
      <c r="EY42" s="24">
        <f t="shared" si="21"/>
        <v>9.6182529752131654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13.198800000000006</v>
      </c>
      <c r="FE42" s="13">
        <f>IF('Données projet'!$A$218&gt;35,FE41+FD42-FM41,IF(A42&lt;'Données projet'!$A$218,$FB$205^A42,IF(A42='Données projet'!$A$218,'Données projet'!$B$218,FE41+FD42-FM41)))</f>
        <v>271.72460000000001</v>
      </c>
      <c r="FF42" s="18">
        <f>FE42*VLOOKUP('Données projet'!$B$16,Paramètres!$A$1:$I$89,3,0)*VLOOKUP('Données projet'!$B$16,Paramètres!$A$1:$I$89,5,0)</f>
        <v>162.49131080000001</v>
      </c>
      <c r="FG42" s="14">
        <f t="shared" si="47"/>
        <v>41.403931216412602</v>
      </c>
      <c r="FH42" s="22">
        <f t="shared" si="22"/>
        <v>355.11754651191865</v>
      </c>
      <c r="FI42" s="60">
        <f t="shared" si="23"/>
        <v>648.45087984525196</v>
      </c>
      <c r="FJ42" s="60">
        <f ca="1">AVERAGE(OFFSET($FI$3,0,0,'Données projet'!$E$16+1,1))-AVERAGE(OFFSET($H$3,0,0,'Données projet'!$E$16+1,1))</f>
        <v>207.03241199974599</v>
      </c>
      <c r="FK42" s="60">
        <f t="shared" si="48"/>
        <v>314.188568589113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11.296825762701671</v>
      </c>
      <c r="FR42" s="23">
        <f>EXP(-LN(2)/25)*FR41+(1-EXP(-LN(2)/25))/(LN(2)/25)*Calculateur!FM42*Calculateur!FO42*VLOOKUP('Données projet'!$B$16,Paramètres!$A$1:$I$89,3,0)*0.475*44/12</f>
        <v>7.5963977740927398</v>
      </c>
      <c r="FS42" s="23">
        <f>EXP(-LN(2)/2)*FS41+(1-EXP(-LN(2)/2))/(LN(2)/2)*FM42*FP42*VLOOKUP('Données projet'!$B$16,Paramètres!$A$1:$I$89,3,0)*0.475*44/12</f>
        <v>0.12924266597355033</v>
      </c>
      <c r="FT42" s="24">
        <f t="shared" si="24"/>
        <v>19.022466202767959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132.05128205128204</v>
      </c>
      <c r="L43" s="13">
        <f>VLOOKUP(A43,'Données projet'!$A$35:$I$55,9,0)</f>
        <v>5.7692307692307709</v>
      </c>
      <c r="M43" s="13">
        <f t="array" ref="M43">INDEX(L:L,MIN(IF(ISNUMBER(L43:L239),ROW(L43:L239),"")))</f>
        <v>5.7692307692307709</v>
      </c>
      <c r="N43" s="14">
        <f>IF('Données projet'!$A$36&gt;35,N42+M43-V42,IF(A43&lt;'Données projet'!$A$36,$K$205^A43,IF(A43='Données projet'!$A$36,'Données projet'!$B$36,N42+M43-V42)))</f>
        <v>132.05128205128207</v>
      </c>
      <c r="O43" s="14">
        <f>N43*VLOOKUP('Données projet'!$B$9,Paramètres!$A$1:$I$89,3,0)*VLOOKUP('Données projet'!$B$9,Paramètres!$A$1:$I$89,5,0)</f>
        <v>125.66000000000001</v>
      </c>
      <c r="P43" s="14">
        <f t="shared" si="33"/>
        <v>32.991539598281548</v>
      </c>
      <c r="Q43" s="22">
        <f t="shared" si="53"/>
        <v>276.31809813367369</v>
      </c>
      <c r="R43" s="60">
        <f t="shared" si="0"/>
        <v>569.651431467007</v>
      </c>
      <c r="S43" s="60">
        <f ca="1">AVERAGE(OFFSET($R$3,0,0,'Données projet'!$E$9+1,1))-AVERAGE(OFFSET($H$3,0,0,'Données projet'!$E$9+1,1))</f>
        <v>353.61481736740694</v>
      </c>
      <c r="T43" s="60">
        <f t="shared" si="34"/>
        <v>244.7141066773861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152.81760000000003</v>
      </c>
      <c r="AK43" s="14">
        <f t="shared" si="35"/>
        <v>39.218200171484227</v>
      </c>
      <c r="AL43" s="22">
        <f t="shared" si="4"/>
        <v>334.46235196533502</v>
      </c>
      <c r="AM43" s="60">
        <f t="shared" si="5"/>
        <v>627.79568529866833</v>
      </c>
      <c r="AN43" s="60">
        <f ca="1">AVERAGE(OFFSET($AM$3,0,0,'Données projet'!$E$10+1,1))-AVERAGE(OFFSET($H$3,0,0,'Données projet'!$E$10+1,1))</f>
        <v>455.50822833641354</v>
      </c>
      <c r="AO43" s="60">
        <f t="shared" si="36"/>
        <v>261.14722581688039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165.14160000000004</v>
      </c>
      <c r="BF43" s="14">
        <f t="shared" si="37"/>
        <v>42.000074202332975</v>
      </c>
      <c r="BG43" s="22">
        <f t="shared" si="7"/>
        <v>360.77174923572994</v>
      </c>
      <c r="BH43" s="60">
        <f t="shared" si="8"/>
        <v>654.10508256906326</v>
      </c>
      <c r="BI43" s="60">
        <f ca="1">AVERAGE(OFFSET($BH$3,0,0,'Données projet'!$E$11+1,1))-AVERAGE(OFFSET($H$3,0,0,'Données projet'!$E$11+1,1))</f>
        <v>488.7825919901664</v>
      </c>
      <c r="BJ43" s="60">
        <f t="shared" si="38"/>
        <v>278.78817181412438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160.21200000000005</v>
      </c>
      <c r="CA43" s="14">
        <f t="shared" si="39"/>
        <v>40.890328912852695</v>
      </c>
      <c r="CB43" s="22">
        <f t="shared" si="10"/>
        <v>350.25322285655176</v>
      </c>
      <c r="CC43" s="60">
        <f t="shared" si="11"/>
        <v>643.58655618988507</v>
      </c>
      <c r="CD43" s="60">
        <f ca="1">AVERAGE(OFFSET($CC$3,0,0,'Données projet'!$E$12+1,1))-AVERAGE(OFFSET($H$3,0,0,'Données projet'!$E$12+1,1))</f>
        <v>475.47920969424894</v>
      </c>
      <c r="CE43" s="60">
        <f t="shared" si="40"/>
        <v>271.73544012419364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142.95840000000004</v>
      </c>
      <c r="CV43" s="14">
        <f t="shared" si="41"/>
        <v>36.973906370811264</v>
      </c>
      <c r="CW43" s="22">
        <f t="shared" si="13"/>
        <v>313.38210026249641</v>
      </c>
      <c r="CX43" s="60">
        <f t="shared" si="14"/>
        <v>606.71543359582972</v>
      </c>
      <c r="CY43" s="60">
        <f ca="1">AVERAGE(OFFSET($CX$3,0,0,'Données projet'!$E$13+1,1))-AVERAGE(OFFSET($H$3,0,0,'Données projet'!$E$13+1,1))</f>
        <v>428.8489304403459</v>
      </c>
      <c r="CZ43" s="60">
        <f t="shared" si="42"/>
        <v>247.01165577562966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170.07120000000003</v>
      </c>
      <c r="DQ43" s="14">
        <f t="shared" si="43"/>
        <v>43.10596962815594</v>
      </c>
      <c r="DR43" s="22">
        <f t="shared" si="16"/>
        <v>371.28357043570503</v>
      </c>
      <c r="DS43" s="60">
        <f t="shared" si="17"/>
        <v>664.61690376903834</v>
      </c>
      <c r="DT43" s="60">
        <f ca="1">AVERAGE(OFFSET($DS$3,0,0,'Données projet'!$E$14+1,1))-AVERAGE(OFFSET($H$3,0,0,'Données projet'!$E$14+1,1))</f>
        <v>502.07782026233912</v>
      </c>
      <c r="DU43" s="60">
        <f t="shared" si="44"/>
        <v>285.83623046025156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305</v>
      </c>
      <c r="EH43" s="13">
        <f>VLOOKUP(A43,'Données projet'!$A$191:$I$211,9,0)</f>
        <v>14.4</v>
      </c>
      <c r="EI43" s="13">
        <f t="array" ref="EI43">INDEX(EH:EH,MIN(IF(ISNUMBER(EH43:EH239),ROW(EH43:EH239),"")))</f>
        <v>14.4</v>
      </c>
      <c r="EJ43" s="13">
        <f>IF('Données projet'!$A$192&gt;35,EJ42+EI43-ER42,IF(A43&lt;'Données projet'!$A$192,$EG$205^A43,IF(A43='Données projet'!$A$192,'Données projet'!$B$192,EJ42+EI43-ER42)))</f>
        <v>304.99999999999994</v>
      </c>
      <c r="EK43" s="18">
        <f>EJ43*VLOOKUP('Données projet'!$B$15,Paramètres!$A$1:$I$89,3,0)*VLOOKUP('Données projet'!$B$15,Paramètres!$A$1:$I$89,5,0)</f>
        <v>182.39</v>
      </c>
      <c r="EL43" s="14">
        <f t="shared" si="45"/>
        <v>45.853508245632504</v>
      </c>
      <c r="EM43" s="22">
        <f t="shared" si="19"/>
        <v>397.52411019447658</v>
      </c>
      <c r="EN43" s="60">
        <f t="shared" si="20"/>
        <v>690.85744352780989</v>
      </c>
      <c r="EO43" s="60">
        <f ca="1">AVERAGE(OFFSET($EN$3,0,0,'Données projet'!$E$15+1,1))-AVERAGE(OFFSET($H$3,0,0,'Données projet'!$E$15+1,1))</f>
        <v>392.62423122800357</v>
      </c>
      <c r="EP43" s="60">
        <f t="shared" si="46"/>
        <v>314.09619163968642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82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8.5985236445884556</v>
      </c>
      <c r="EX43" s="23">
        <f>EXP(-LN(2)/2)*EX42+(1-EXP(-LN(2)/2))/(LN(2)/2)*ER43*EU43*VLOOKUP('Données projet'!$B$15,Paramètres!$A$1:$I$89,3,0)*0.475*44/12</f>
        <v>0.55012336756067171</v>
      </c>
      <c r="EY43" s="24">
        <f t="shared" si="21"/>
        <v>9.1486470121491266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13.198800000000006</v>
      </c>
      <c r="FE43" s="13">
        <f>IF('Données projet'!$A$218&gt;35,FE42+FD43-FM42,IF(A43&lt;'Données projet'!$A$218,$FB$205^A43,IF(A43='Données projet'!$A$218,'Données projet'!$B$218,FE42+FD43-FM42)))</f>
        <v>284.92340000000002</v>
      </c>
      <c r="FF43" s="18">
        <f>FE43*VLOOKUP('Données projet'!$B$16,Paramètres!$A$1:$I$89,3,0)*VLOOKUP('Données projet'!$B$16,Paramètres!$A$1:$I$89,5,0)</f>
        <v>170.38419320000003</v>
      </c>
      <c r="FG43" s="14">
        <f t="shared" si="47"/>
        <v>43.176058773516118</v>
      </c>
      <c r="FH43" s="22">
        <f t="shared" si="22"/>
        <v>371.95077218720718</v>
      </c>
      <c r="FI43" s="60">
        <f t="shared" si="23"/>
        <v>665.28410552054049</v>
      </c>
      <c r="FJ43" s="60">
        <f ca="1">AVERAGE(OFFSET($FI$3,0,0,'Données projet'!$E$16+1,1))-AVERAGE(OFFSET($H$3,0,0,'Données projet'!$E$16+1,1))</f>
        <v>207.03241199974599</v>
      </c>
      <c r="FK43" s="60">
        <f t="shared" si="48"/>
        <v>314.188568589113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11.075301899878438</v>
      </c>
      <c r="FR43" s="23">
        <f>EXP(-LN(2)/25)*FR42+(1-EXP(-LN(2)/25))/(LN(2)/25)*Calculateur!FM43*Calculateur!FO43*VLOOKUP('Données projet'!$B$16,Paramètres!$A$1:$I$89,3,0)*0.475*44/12</f>
        <v>7.3886738774829768</v>
      </c>
      <c r="FS43" s="23">
        <f>EXP(-LN(2)/2)*FS42+(1-EXP(-LN(2)/2))/(LN(2)/2)*FM43*FP43*VLOOKUP('Données projet'!$B$16,Paramètres!$A$1:$I$89,3,0)*0.475*44/12</f>
        <v>9.1388365528525306E-2</v>
      </c>
      <c r="FT43" s="24">
        <f t="shared" si="24"/>
        <v>18.555364142889943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5.6410256410256405</v>
      </c>
      <c r="N44" s="14">
        <f>IF('Données projet'!$A$36&gt;35,N43+M44-V43,IF(A44&lt;'Données projet'!$A$36,$K$205^A44,IF(A44='Données projet'!$A$36,'Données projet'!$B$36,N43+M44-V43)))</f>
        <v>137.69230769230771</v>
      </c>
      <c r="O44" s="14">
        <f>N44*VLOOKUP('Données projet'!$B$9,Paramètres!$A$1:$I$89,3,0)*VLOOKUP('Données projet'!$B$9,Paramètres!$A$1:$I$89,5,0)</f>
        <v>131.02800000000002</v>
      </c>
      <c r="P44" s="14">
        <f t="shared" si="33"/>
        <v>34.23379094712331</v>
      </c>
      <c r="Q44" s="22">
        <f t="shared" si="53"/>
        <v>287.83095256623977</v>
      </c>
      <c r="R44" s="60">
        <f t="shared" si="0"/>
        <v>581.16428589957309</v>
      </c>
      <c r="S44" s="60">
        <f ca="1">AVERAGE(OFFSET($R$3,0,0,'Données projet'!$E$9+1,1))-AVERAGE(OFFSET($H$3,0,0,'Données projet'!$E$9+1,1))</f>
        <v>353.61481736740694</v>
      </c>
      <c r="T44" s="60">
        <f t="shared" si="34"/>
        <v>244.7141066773861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120.31968000000002</v>
      </c>
      <c r="AK44" s="14">
        <f t="shared" si="35"/>
        <v>31.74954785566829</v>
      </c>
      <c r="AL44" s="22">
        <f t="shared" si="4"/>
        <v>264.85390518195561</v>
      </c>
      <c r="AM44" s="60">
        <f t="shared" si="5"/>
        <v>558.18723851528898</v>
      </c>
      <c r="AN44" s="60">
        <f ca="1">AVERAGE(OFFSET($AM$3,0,0,'Données projet'!$E$10+1,1))-AVERAGE(OFFSET($H$3,0,0,'Données projet'!$E$10+1,1))</f>
        <v>455.50822833641354</v>
      </c>
      <c r="AO44" s="60">
        <f t="shared" si="36"/>
        <v>261.14722581688039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130.02288000000004</v>
      </c>
      <c r="BF44" s="14">
        <f t="shared" si="37"/>
        <v>34.00164617442524</v>
      </c>
      <c r="BG44" s="22">
        <f t="shared" si="7"/>
        <v>285.67604975379072</v>
      </c>
      <c r="BH44" s="60">
        <f t="shared" si="8"/>
        <v>579.00938308712398</v>
      </c>
      <c r="BI44" s="60">
        <f ca="1">AVERAGE(OFFSET($BH$3,0,0,'Données projet'!$E$11+1,1))-AVERAGE(OFFSET($H$3,0,0,'Données projet'!$E$11+1,1))</f>
        <v>488.7825919901664</v>
      </c>
      <c r="BJ44" s="60">
        <f t="shared" si="38"/>
        <v>278.78817181412438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126.14160000000005</v>
      </c>
      <c r="CA44" s="14">
        <f t="shared" si="39"/>
        <v>33.10323903126482</v>
      </c>
      <c r="CB44" s="22">
        <f t="shared" si="10"/>
        <v>277.35142797945298</v>
      </c>
      <c r="CC44" s="60">
        <f t="shared" si="11"/>
        <v>570.68476131278635</v>
      </c>
      <c r="CD44" s="60">
        <f ca="1">AVERAGE(OFFSET($CC$3,0,0,'Données projet'!$E$12+1,1))-AVERAGE(OFFSET($H$3,0,0,'Données projet'!$E$12+1,1))</f>
        <v>475.47920969424894</v>
      </c>
      <c r="CE44" s="60">
        <f t="shared" si="40"/>
        <v>271.73544012419364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112.55712000000003</v>
      </c>
      <c r="CV44" s="14">
        <f t="shared" si="41"/>
        <v>29.932653834140599</v>
      </c>
      <c r="CW44" s="22">
        <f t="shared" si="13"/>
        <v>248.16968942779496</v>
      </c>
      <c r="CX44" s="60">
        <f t="shared" si="14"/>
        <v>541.50302276112825</v>
      </c>
      <c r="CY44" s="60">
        <f ca="1">AVERAGE(OFFSET($CX$3,0,0,'Données projet'!$E$13+1,1))-AVERAGE(OFFSET($H$3,0,0,'Données projet'!$E$13+1,1))</f>
        <v>428.8489304403459</v>
      </c>
      <c r="CZ44" s="60">
        <f t="shared" si="42"/>
        <v>247.01165577562966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133.90416000000002</v>
      </c>
      <c r="DQ44" s="14">
        <f t="shared" si="43"/>
        <v>34.896936615903982</v>
      </c>
      <c r="DR44" s="22">
        <f t="shared" si="16"/>
        <v>293.99524327269938</v>
      </c>
      <c r="DS44" s="60">
        <f t="shared" si="17"/>
        <v>587.3285766060327</v>
      </c>
      <c r="DT44" s="60">
        <f ca="1">AVERAGE(OFFSET($DS$3,0,0,'Données projet'!$E$14+1,1))-AVERAGE(OFFSET($H$3,0,0,'Données projet'!$E$14+1,1))</f>
        <v>502.07782026233912</v>
      </c>
      <c r="DU44" s="60">
        <f t="shared" si="44"/>
        <v>285.83623046025156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19</v>
      </c>
      <c r="EJ44" s="13">
        <f>IF('Données projet'!$A$192&gt;35,EJ43+EI44-ER43,IF(A44&lt;'Données projet'!$A$192,$EG$205^A44,IF(A44='Données projet'!$A$192,'Données projet'!$B$192,EJ43+EI44-ER43)))</f>
        <v>241.99999999999994</v>
      </c>
      <c r="EK44" s="18">
        <f>EJ44*VLOOKUP('Données projet'!$B$15,Paramètres!$A$1:$I$89,3,0)*VLOOKUP('Données projet'!$B$15,Paramètres!$A$1:$I$89,5,0)</f>
        <v>144.71599999999998</v>
      </c>
      <c r="EL44" s="14">
        <f t="shared" si="45"/>
        <v>37.375282885096105</v>
      </c>
      <c r="EM44" s="22">
        <f t="shared" si="19"/>
        <v>317.14231769154236</v>
      </c>
      <c r="EN44" s="60">
        <f t="shared" si="20"/>
        <v>610.47565102487567</v>
      </c>
      <c r="EO44" s="60">
        <f ca="1">AVERAGE(OFFSET($EN$3,0,0,'Données projet'!$E$15+1,1))-AVERAGE(OFFSET($H$3,0,0,'Données projet'!$E$15+1,1))</f>
        <v>392.62423122800357</v>
      </c>
      <c r="EP44" s="60">
        <f t="shared" si="46"/>
        <v>314.09619163968642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8.3633965633504772</v>
      </c>
      <c r="EX44" s="23">
        <f>EXP(-LN(2)/2)*EX43+(1-EXP(-LN(2)/2))/(LN(2)/2)*ER44*EU44*VLOOKUP('Données projet'!$B$15,Paramètres!$A$1:$I$89,3,0)*0.475*44/12</f>
        <v>0.38899596369133055</v>
      </c>
      <c r="EY44" s="24">
        <f t="shared" si="21"/>
        <v>8.7523925270418079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13.198800000000006</v>
      </c>
      <c r="FE44" s="13">
        <f>IF('Données projet'!$A$218&gt;35,FE43+FD44-FM43,IF(A44&lt;'Données projet'!$A$218,$FB$205^A44,IF(A44='Données projet'!$A$218,'Données projet'!$B$218,FE43+FD44-FM43)))</f>
        <v>298.12220000000002</v>
      </c>
      <c r="FF44" s="18">
        <f>FE44*VLOOKUP('Données projet'!$B$16,Paramètres!$A$1:$I$89,3,0)*VLOOKUP('Données projet'!$B$16,Paramètres!$A$1:$I$89,5,0)</f>
        <v>178.27707560000005</v>
      </c>
      <c r="FG44" s="14">
        <f t="shared" si="47"/>
        <v>44.938652927177529</v>
      </c>
      <c r="FH44" s="22">
        <f t="shared" si="22"/>
        <v>388.76739385150091</v>
      </c>
      <c r="FI44" s="60">
        <f t="shared" si="23"/>
        <v>682.10072718483423</v>
      </c>
      <c r="FJ44" s="60">
        <f ca="1">AVERAGE(OFFSET($FI$3,0,0,'Données projet'!$E$16+1,1))-AVERAGE(OFFSET($H$3,0,0,'Données projet'!$E$16+1,1))</f>
        <v>207.03241199974599</v>
      </c>
      <c r="FK44" s="60">
        <f t="shared" si="48"/>
        <v>314.188568589113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10.858121984888953</v>
      </c>
      <c r="FR44" s="23">
        <f>EXP(-LN(2)/25)*FR43+(1-EXP(-LN(2)/25))/(LN(2)/25)*Calculateur!FM44*Calculateur!FO44*VLOOKUP('Données projet'!$B$16,Paramètres!$A$1:$I$89,3,0)*0.475*44/12</f>
        <v>7.1866302017497325</v>
      </c>
      <c r="FS44" s="23">
        <f>EXP(-LN(2)/2)*FS43+(1-EXP(-LN(2)/2))/(LN(2)/2)*FM44*FP44*VLOOKUP('Données projet'!$B$16,Paramètres!$A$1:$I$89,3,0)*0.475*44/12</f>
        <v>6.4621332986775165E-2</v>
      </c>
      <c r="FT44" s="24">
        <f t="shared" si="24"/>
        <v>18.109373519625461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5.6410256410256405</v>
      </c>
      <c r="N45" s="14">
        <f>IF('Données projet'!$A$36&gt;35,N44+M45-V44,IF(A45&lt;'Données projet'!$A$36,$K$205^A45,IF(A45='Données projet'!$A$36,'Données projet'!$B$36,N44+M45-V44)))</f>
        <v>143.33333333333334</v>
      </c>
      <c r="O45" s="14">
        <f>N45*VLOOKUP('Données projet'!$B$9,Paramètres!$A$1:$I$89,3,0)*VLOOKUP('Données projet'!$B$9,Paramètres!$A$1:$I$89,5,0)</f>
        <v>136.39600000000002</v>
      </c>
      <c r="P45" s="14">
        <f t="shared" si="33"/>
        <v>35.470130709133613</v>
      </c>
      <c r="Q45" s="22">
        <f t="shared" si="53"/>
        <v>299.33351098507438</v>
      </c>
      <c r="R45" s="60">
        <f t="shared" si="0"/>
        <v>592.6668443184077</v>
      </c>
      <c r="S45" s="60">
        <f ca="1">AVERAGE(OFFSET($R$3,0,0,'Données projet'!$E$9+1,1))-AVERAGE(OFFSET($H$3,0,0,'Données projet'!$E$9+1,1))</f>
        <v>353.61481736740694</v>
      </c>
      <c r="T45" s="60">
        <f t="shared" si="34"/>
        <v>244.7141066773861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128.44416000000004</v>
      </c>
      <c r="AK45" s="14">
        <f t="shared" si="35"/>
        <v>33.636598855068954</v>
      </c>
      <c r="AL45" s="22">
        <f t="shared" si="4"/>
        <v>282.29065500591184</v>
      </c>
      <c r="AM45" s="60">
        <f t="shared" si="5"/>
        <v>575.62398833924522</v>
      </c>
      <c r="AN45" s="60">
        <f ca="1">AVERAGE(OFFSET($AM$3,0,0,'Données projet'!$E$10+1,1))-AVERAGE(OFFSET($H$3,0,0,'Données projet'!$E$10+1,1))</f>
        <v>455.50822833641354</v>
      </c>
      <c r="AO45" s="60">
        <f t="shared" si="36"/>
        <v>261.14722581688039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138.80256000000006</v>
      </c>
      <c r="BF45" s="14">
        <f t="shared" si="37"/>
        <v>36.022551816496033</v>
      </c>
      <c r="BG45" s="22">
        <f t="shared" si="7"/>
        <v>304.48706974706403</v>
      </c>
      <c r="BH45" s="60">
        <f t="shared" si="8"/>
        <v>597.82040308039734</v>
      </c>
      <c r="BI45" s="60">
        <f ca="1">AVERAGE(OFFSET($BH$3,0,0,'Données projet'!$E$11+1,1))-AVERAGE(OFFSET($H$3,0,0,'Données projet'!$E$11+1,1))</f>
        <v>488.7825919901664</v>
      </c>
      <c r="BJ45" s="60">
        <f t="shared" si="38"/>
        <v>278.78817181412438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134.65920000000006</v>
      </c>
      <c r="CA45" s="14">
        <f t="shared" si="39"/>
        <v>35.07074737441733</v>
      </c>
      <c r="CB45" s="22">
        <f t="shared" si="10"/>
        <v>295.61299167711024</v>
      </c>
      <c r="CC45" s="60">
        <f t="shared" si="11"/>
        <v>588.94632501044362</v>
      </c>
      <c r="CD45" s="60">
        <f ca="1">AVERAGE(OFFSET($CC$3,0,0,'Données projet'!$E$12+1,1))-AVERAGE(OFFSET($H$3,0,0,'Données projet'!$E$12+1,1))</f>
        <v>475.47920969424894</v>
      </c>
      <c r="CE45" s="60">
        <f t="shared" si="40"/>
        <v>271.73544012419364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120.15744000000002</v>
      </c>
      <c r="CV45" s="14">
        <f t="shared" si="41"/>
        <v>31.711716786129845</v>
      </c>
      <c r="CW45" s="22">
        <f t="shared" si="13"/>
        <v>264.50544806917623</v>
      </c>
      <c r="CX45" s="60">
        <f t="shared" si="14"/>
        <v>557.83878140250954</v>
      </c>
      <c r="CY45" s="60">
        <f ca="1">AVERAGE(OFFSET($CX$3,0,0,'Données projet'!$E$13+1,1))-AVERAGE(OFFSET($H$3,0,0,'Données projet'!$E$13+1,1))</f>
        <v>428.8489304403459</v>
      </c>
      <c r="CZ45" s="60">
        <f t="shared" si="42"/>
        <v>247.01165577562966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142.94592000000003</v>
      </c>
      <c r="DQ45" s="14">
        <f t="shared" si="43"/>
        <v>36.971054314096854</v>
      </c>
      <c r="DR45" s="22">
        <f t="shared" si="16"/>
        <v>313.35539693038538</v>
      </c>
      <c r="DS45" s="60">
        <f t="shared" si="17"/>
        <v>606.68873026371875</v>
      </c>
      <c r="DT45" s="60">
        <f ca="1">AVERAGE(OFFSET($DS$3,0,0,'Données projet'!$E$14+1,1))-AVERAGE(OFFSET($H$3,0,0,'Données projet'!$E$14+1,1))</f>
        <v>502.07782026233912</v>
      </c>
      <c r="DU45" s="60">
        <f t="shared" si="44"/>
        <v>285.83623046025156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19</v>
      </c>
      <c r="EJ45" s="13">
        <f>IF('Données projet'!$A$192&gt;35,EJ44+EI45-ER44,IF(A45&lt;'Données projet'!$A$192,$EG$205^A45,IF(A45='Données projet'!$A$192,'Données projet'!$B$192,EJ44+EI45-ER44)))</f>
        <v>260.99999999999994</v>
      </c>
      <c r="EK45" s="18">
        <f>EJ45*VLOOKUP('Données projet'!$B$15,Paramètres!$A$1:$I$89,3,0)*VLOOKUP('Données projet'!$B$15,Paramètres!$A$1:$I$89,5,0)</f>
        <v>156.07799999999997</v>
      </c>
      <c r="EL45" s="14">
        <f t="shared" si="45"/>
        <v>39.956623674978466</v>
      </c>
      <c r="EM45" s="22">
        <f t="shared" si="19"/>
        <v>341.42696956725405</v>
      </c>
      <c r="EN45" s="60">
        <f t="shared" si="20"/>
        <v>634.76030290058736</v>
      </c>
      <c r="EO45" s="60">
        <f ca="1">AVERAGE(OFFSET($EN$3,0,0,'Données projet'!$E$15+1,1))-AVERAGE(OFFSET($H$3,0,0,'Données projet'!$E$15+1,1))</f>
        <v>392.62423122800357</v>
      </c>
      <c r="EP45" s="60">
        <f t="shared" si="46"/>
        <v>314.09619163968642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8.1346990445137486</v>
      </c>
      <c r="EX45" s="23">
        <f>EXP(-LN(2)/2)*EX44+(1-EXP(-LN(2)/2))/(LN(2)/2)*ER45*EU45*VLOOKUP('Données projet'!$B$15,Paramètres!$A$1:$I$89,3,0)*0.475*44/12</f>
        <v>0.27506168378033585</v>
      </c>
      <c r="EY45" s="24">
        <f t="shared" si="21"/>
        <v>8.4097607282940849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>
        <f>VLOOKUP(A45,'Données projet'!$A$217:$I$237,2,0)</f>
        <v>311.32100000000003</v>
      </c>
      <c r="FC45" s="13">
        <f>VLOOKUP(A45,'Données projet'!$A$217:$I$237,9,0)</f>
        <v>13.198800000000006</v>
      </c>
      <c r="FD45" s="13">
        <f t="array" ref="FD45">INDEX(FC:FC,MIN(IF(ISNUMBER(FC45:FC241),ROW(FC45:FC241),"")))</f>
        <v>13.198800000000006</v>
      </c>
      <c r="FE45" s="13">
        <f>IF('Données projet'!$A$218&gt;35,FE44+FD45-FM44,IF(A45&lt;'Données projet'!$A$218,$FB$205^A45,IF(A45='Données projet'!$A$218,'Données projet'!$B$218,FE44+FD45-FM44)))</f>
        <v>311.32100000000003</v>
      </c>
      <c r="FF45" s="18">
        <f>FE45*VLOOKUP('Données projet'!$B$16,Paramètres!$A$1:$I$89,3,0)*VLOOKUP('Données projet'!$B$16,Paramètres!$A$1:$I$89,5,0)</f>
        <v>186.16995800000001</v>
      </c>
      <c r="FG45" s="14">
        <f t="shared" si="47"/>
        <v>46.692183981977394</v>
      </c>
      <c r="FH45" s="22">
        <f t="shared" si="22"/>
        <v>405.56823061861064</v>
      </c>
      <c r="FI45" s="60">
        <f t="shared" si="23"/>
        <v>698.9015639519439</v>
      </c>
      <c r="FJ45" s="60">
        <f ca="1">AVERAGE(OFFSET($FI$3,0,0,'Données projet'!$E$16+1,1))-AVERAGE(OFFSET($H$3,0,0,'Données projet'!$E$16+1,1))</f>
        <v>207.03241199974599</v>
      </c>
      <c r="FK45" s="60">
        <f t="shared" si="48"/>
        <v>314.188568589113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10.645200835565744</v>
      </c>
      <c r="FR45" s="23">
        <f>EXP(-LN(2)/25)*FR44+(1-EXP(-LN(2)/25))/(LN(2)/25)*Calculateur!FM45*Calculateur!FO45*VLOOKUP('Données projet'!$B$16,Paramètres!$A$1:$I$89,3,0)*0.475*44/12</f>
        <v>6.9901114209544293</v>
      </c>
      <c r="FS45" s="23">
        <f>EXP(-LN(2)/2)*FS44+(1-EXP(-LN(2)/2))/(LN(2)/2)*FM45*FP45*VLOOKUP('Données projet'!$B$16,Paramètres!$A$1:$I$89,3,0)*0.475*44/12</f>
        <v>4.5694182764262653E-2</v>
      </c>
      <c r="FT45" s="24">
        <f t="shared" si="24"/>
        <v>17.681006439284435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5.6410256410256405</v>
      </c>
      <c r="N46" s="14">
        <f>IF('Données projet'!$A$36&gt;35,N45+M46-V45,IF(A46&lt;'Données projet'!$A$36,$K$205^A46,IF(A46='Données projet'!$A$36,'Données projet'!$B$36,N45+M46-V45)))</f>
        <v>148.97435897435898</v>
      </c>
      <c r="O46" s="14">
        <f>N46*VLOOKUP('Données projet'!$B$9,Paramètres!$A$1:$I$89,3,0)*VLOOKUP('Données projet'!$B$9,Paramètres!$A$1:$I$89,5,0)</f>
        <v>141.76400000000001</v>
      </c>
      <c r="P46" s="14">
        <f t="shared" si="33"/>
        <v>36.700818164211768</v>
      </c>
      <c r="Q46" s="22">
        <f t="shared" si="53"/>
        <v>310.8262249693355</v>
      </c>
      <c r="R46" s="60">
        <f t="shared" si="0"/>
        <v>604.15955830266876</v>
      </c>
      <c r="S46" s="60">
        <f ca="1">AVERAGE(OFFSET($R$3,0,0,'Données projet'!$E$9+1,1))-AVERAGE(OFFSET($H$3,0,0,'Données projet'!$E$9+1,1))</f>
        <v>353.61481736740694</v>
      </c>
      <c r="T46" s="60">
        <f t="shared" si="34"/>
        <v>244.7141066773861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136.56864000000004</v>
      </c>
      <c r="AK46" s="14">
        <f t="shared" si="35"/>
        <v>35.509797430964703</v>
      </c>
      <c r="AL46" s="22">
        <f t="shared" si="4"/>
        <v>299.70327852559694</v>
      </c>
      <c r="AM46" s="60">
        <f t="shared" si="5"/>
        <v>593.0366118589302</v>
      </c>
      <c r="AN46" s="60">
        <f ca="1">AVERAGE(OFFSET($AM$3,0,0,'Données projet'!$E$10+1,1))-AVERAGE(OFFSET($H$3,0,0,'Données projet'!$E$10+1,1))</f>
        <v>455.50822833641354</v>
      </c>
      <c r="AO46" s="60">
        <f t="shared" si="36"/>
        <v>261.14722581688039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147.58224000000007</v>
      </c>
      <c r="BF46" s="14">
        <f t="shared" si="37"/>
        <v>38.028622437771823</v>
      </c>
      <c r="BG46" s="22">
        <f t="shared" si="7"/>
        <v>323.27225207911937</v>
      </c>
      <c r="BH46" s="60">
        <f t="shared" si="8"/>
        <v>616.60558541245268</v>
      </c>
      <c r="BI46" s="60">
        <f ca="1">AVERAGE(OFFSET($BH$3,0,0,'Données projet'!$E$11+1,1))-AVERAGE(OFFSET($H$3,0,0,'Données projet'!$E$11+1,1))</f>
        <v>488.7825919901664</v>
      </c>
      <c r="BJ46" s="60">
        <f t="shared" si="38"/>
        <v>278.78817181412438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143.17680000000004</v>
      </c>
      <c r="CA46" s="14">
        <f t="shared" si="39"/>
        <v>37.023812674521515</v>
      </c>
      <c r="CB46" s="22">
        <f t="shared" si="10"/>
        <v>313.84940040812506</v>
      </c>
      <c r="CC46" s="60">
        <f t="shared" si="11"/>
        <v>607.18273374145838</v>
      </c>
      <c r="CD46" s="60">
        <f ca="1">AVERAGE(OFFSET($CC$3,0,0,'Données projet'!$E$12+1,1))-AVERAGE(OFFSET($H$3,0,0,'Données projet'!$E$12+1,1))</f>
        <v>475.47920969424894</v>
      </c>
      <c r="CE46" s="60">
        <f t="shared" si="40"/>
        <v>271.73544012419364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127.75776000000003</v>
      </c>
      <c r="CV46" s="14">
        <f t="shared" si="41"/>
        <v>33.477720030956604</v>
      </c>
      <c r="CW46" s="22">
        <f t="shared" si="13"/>
        <v>280.81846105391611</v>
      </c>
      <c r="CX46" s="60">
        <f t="shared" si="14"/>
        <v>574.15179438724942</v>
      </c>
      <c r="CY46" s="60">
        <f ca="1">AVERAGE(OFFSET($CX$3,0,0,'Données projet'!$E$13+1,1))-AVERAGE(OFFSET($H$3,0,0,'Données projet'!$E$13+1,1))</f>
        <v>428.8489304403459</v>
      </c>
      <c r="CZ46" s="60">
        <f t="shared" si="42"/>
        <v>247.01165577562966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151.98768000000004</v>
      </c>
      <c r="DQ46" s="14">
        <f t="shared" si="43"/>
        <v>39.029946373574369</v>
      </c>
      <c r="DR46" s="22">
        <f t="shared" si="16"/>
        <v>332.68903260064207</v>
      </c>
      <c r="DS46" s="60">
        <f t="shared" si="17"/>
        <v>626.02236593397538</v>
      </c>
      <c r="DT46" s="60">
        <f ca="1">AVERAGE(OFFSET($DS$3,0,0,'Données projet'!$E$14+1,1))-AVERAGE(OFFSET($H$3,0,0,'Données projet'!$E$14+1,1))</f>
        <v>502.07782026233912</v>
      </c>
      <c r="DU46" s="60">
        <f t="shared" si="44"/>
        <v>285.83623046025156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19</v>
      </c>
      <c r="EJ46" s="13">
        <f>IF('Données projet'!$A$192&gt;35,EJ45+EI46-ER45,IF(A46&lt;'Données projet'!$A$192,$EG$205^A46,IF(A46='Données projet'!$A$192,'Données projet'!$B$192,EJ45+EI46-ER45)))</f>
        <v>279.99999999999994</v>
      </c>
      <c r="EK46" s="18">
        <f>EJ46*VLOOKUP('Données projet'!$B$15,Paramètres!$A$1:$I$89,3,0)*VLOOKUP('Données projet'!$B$15,Paramètres!$A$1:$I$89,5,0)</f>
        <v>167.44</v>
      </c>
      <c r="EL46" s="14">
        <f t="shared" si="45"/>
        <v>42.516163405082935</v>
      </c>
      <c r="EM46" s="22">
        <f t="shared" si="19"/>
        <v>365.67365126385272</v>
      </c>
      <c r="EN46" s="60">
        <f t="shared" si="20"/>
        <v>659.00698459718603</v>
      </c>
      <c r="EO46" s="60">
        <f ca="1">AVERAGE(OFFSET($EN$3,0,0,'Données projet'!$E$15+1,1))-AVERAGE(OFFSET($H$3,0,0,'Données projet'!$E$15+1,1))</f>
        <v>392.62423122800357</v>
      </c>
      <c r="EP46" s="60">
        <f t="shared" si="46"/>
        <v>314.09619163968642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7.9122552713562895</v>
      </c>
      <c r="EX46" s="23">
        <f>EXP(-LN(2)/2)*EX45+(1-EXP(-LN(2)/2))/(LN(2)/2)*ER46*EU46*VLOOKUP('Données projet'!$B$15,Paramètres!$A$1:$I$89,3,0)*0.475*44/12</f>
        <v>0.19449798184566527</v>
      </c>
      <c r="EY46" s="24">
        <f t="shared" si="21"/>
        <v>8.1067532532019548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13.234499999999969</v>
      </c>
      <c r="FE46" s="13">
        <f>IF('Données projet'!$A$218&gt;35,FE45+FD46-FM45,IF(A46&lt;'Données projet'!$A$218,$FB$205^A46,IF(A46='Données projet'!$A$218,'Données projet'!$B$218,FE45+FD46-FM45)))</f>
        <v>324.55549999999999</v>
      </c>
      <c r="FF46" s="18">
        <f>FE46*VLOOKUP('Données projet'!$B$16,Paramètres!$A$1:$I$89,3,0)*VLOOKUP('Données projet'!$B$16,Paramètres!$A$1:$I$89,5,0)</f>
        <v>194.08418900000004</v>
      </c>
      <c r="FG46" s="14">
        <f t="shared" si="47"/>
        <v>48.441788341086252</v>
      </c>
      <c r="FH46" s="22">
        <f t="shared" si="22"/>
        <v>422.39941053572528</v>
      </c>
      <c r="FI46" s="60">
        <f t="shared" si="23"/>
        <v>715.7327438690586</v>
      </c>
      <c r="FJ46" s="60">
        <f ca="1">AVERAGE(OFFSET($FI$3,0,0,'Données projet'!$E$16+1,1))-AVERAGE(OFFSET($H$3,0,0,'Données projet'!$E$16+1,1))</f>
        <v>207.03241199974599</v>
      </c>
      <c r="FK46" s="60">
        <f t="shared" si="48"/>
        <v>314.188568589113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10.436454940111686</v>
      </c>
      <c r="FR46" s="23">
        <f>EXP(-LN(2)/25)*FR45+(1-EXP(-LN(2)/25))/(LN(2)/25)*Calculateur!FM46*Calculateur!FO46*VLOOKUP('Données projet'!$B$16,Paramètres!$A$1:$I$89,3,0)*0.475*44/12</f>
        <v>6.7989664565544468</v>
      </c>
      <c r="FS46" s="23">
        <f>EXP(-LN(2)/2)*FS45+(1-EXP(-LN(2)/2))/(LN(2)/2)*FM46*FP46*VLOOKUP('Données projet'!$B$16,Paramètres!$A$1:$I$89,3,0)*0.475*44/12</f>
        <v>3.2310666493387583E-2</v>
      </c>
      <c r="FT46" s="24">
        <f t="shared" si="24"/>
        <v>17.267732063159521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5.6410256410256405</v>
      </c>
      <c r="N47" s="14">
        <f>IF('Données projet'!$A$36&gt;35,N46+M47-V46,IF(A47&lt;'Données projet'!$A$36,$K$205^A47,IF(A47='Données projet'!$A$36,'Données projet'!$B$36,N46+M47-V46)))</f>
        <v>154.61538461538461</v>
      </c>
      <c r="O47" s="14">
        <f>N47*VLOOKUP('Données projet'!$B$9,Paramètres!$A$1:$I$89,3,0)*VLOOKUP('Données projet'!$B$9,Paramètres!$A$1:$I$89,5,0)</f>
        <v>147.13200000000001</v>
      </c>
      <c r="P47" s="14">
        <f t="shared" si="33"/>
        <v>37.926091844382093</v>
      </c>
      <c r="Q47" s="22">
        <f t="shared" si="53"/>
        <v>322.30950996229876</v>
      </c>
      <c r="R47" s="60">
        <f t="shared" si="0"/>
        <v>615.64284329563202</v>
      </c>
      <c r="S47" s="60">
        <f ca="1">AVERAGE(OFFSET($R$3,0,0,'Données projet'!$E$9+1,1))-AVERAGE(OFFSET($H$3,0,0,'Données projet'!$E$9+1,1))</f>
        <v>353.61481736740694</v>
      </c>
      <c r="T47" s="60">
        <f t="shared" si="34"/>
        <v>244.7141066773861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144.69312000000005</v>
      </c>
      <c r="AK47" s="14">
        <f t="shared" si="35"/>
        <v>37.370061524802772</v>
      </c>
      <c r="AL47" s="22">
        <f t="shared" si="4"/>
        <v>317.09337448903153</v>
      </c>
      <c r="AM47" s="60">
        <f t="shared" si="5"/>
        <v>610.42670782236485</v>
      </c>
      <c r="AN47" s="60">
        <f ca="1">AVERAGE(OFFSET($AM$3,0,0,'Données projet'!$E$10+1,1))-AVERAGE(OFFSET($H$3,0,0,'Données projet'!$E$10+1,1))</f>
        <v>455.50822833641354</v>
      </c>
      <c r="AO47" s="60">
        <f t="shared" si="36"/>
        <v>261.14722581688039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156.36192000000008</v>
      </c>
      <c r="BF47" s="14">
        <f t="shared" si="37"/>
        <v>40.020841092261328</v>
      </c>
      <c r="BG47" s="22">
        <f t="shared" si="7"/>
        <v>342.0333089023552</v>
      </c>
      <c r="BH47" s="60">
        <f t="shared" si="8"/>
        <v>635.36664223568846</v>
      </c>
      <c r="BI47" s="60">
        <f ca="1">AVERAGE(OFFSET($BH$3,0,0,'Données projet'!$E$11+1,1))-AVERAGE(OFFSET($H$3,0,0,'Données projet'!$E$11+1,1))</f>
        <v>488.7825919901664</v>
      </c>
      <c r="BJ47" s="60">
        <f t="shared" si="38"/>
        <v>278.78817181412438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151.69440000000006</v>
      </c>
      <c r="CA47" s="14">
        <f t="shared" si="39"/>
        <v>38.963392010880654</v>
      </c>
      <c r="CB47" s="22">
        <f t="shared" si="10"/>
        <v>332.06232108561721</v>
      </c>
      <c r="CC47" s="60">
        <f t="shared" si="11"/>
        <v>625.39565441895047</v>
      </c>
      <c r="CD47" s="60">
        <f ca="1">AVERAGE(OFFSET($CC$3,0,0,'Données projet'!$E$12+1,1))-AVERAGE(OFFSET($H$3,0,0,'Données projet'!$E$12+1,1))</f>
        <v>475.47920969424894</v>
      </c>
      <c r="CE47" s="60">
        <f t="shared" si="40"/>
        <v>271.73544012419364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135.35808000000006</v>
      </c>
      <c r="CV47" s="14">
        <f t="shared" si="41"/>
        <v>35.231528980112834</v>
      </c>
      <c r="CW47" s="22">
        <f t="shared" si="13"/>
        <v>297.11023564036327</v>
      </c>
      <c r="CX47" s="60">
        <f t="shared" si="14"/>
        <v>590.44356897369653</v>
      </c>
      <c r="CY47" s="60">
        <f ca="1">AVERAGE(OFFSET($CX$3,0,0,'Données projet'!$E$13+1,1))-AVERAGE(OFFSET($H$3,0,0,'Données projet'!$E$13+1,1))</f>
        <v>428.8489304403459</v>
      </c>
      <c r="CZ47" s="60">
        <f t="shared" si="42"/>
        <v>247.01165577562966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161.02944000000005</v>
      </c>
      <c r="DQ47" s="14">
        <f t="shared" si="43"/>
        <v>41.074621732940727</v>
      </c>
      <c r="DR47" s="22">
        <f t="shared" si="16"/>
        <v>351.99790751820518</v>
      </c>
      <c r="DS47" s="60">
        <f t="shared" si="17"/>
        <v>645.3312408515385</v>
      </c>
      <c r="DT47" s="60">
        <f ca="1">AVERAGE(OFFSET($DS$3,0,0,'Données projet'!$E$14+1,1))-AVERAGE(OFFSET($H$3,0,0,'Données projet'!$E$14+1,1))</f>
        <v>502.07782026233912</v>
      </c>
      <c r="DU47" s="60">
        <f t="shared" si="44"/>
        <v>285.83623046025156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19</v>
      </c>
      <c r="EJ47" s="13">
        <f>IF('Données projet'!$A$192&gt;35,EJ46+EI47-ER46,IF(A47&lt;'Données projet'!$A$192,$EG$205^A47,IF(A47='Données projet'!$A$192,'Données projet'!$B$192,EJ46+EI47-ER46)))</f>
        <v>298.99999999999994</v>
      </c>
      <c r="EK47" s="18">
        <f>EJ47*VLOOKUP('Données projet'!$B$15,Paramètres!$A$1:$I$89,3,0)*VLOOKUP('Données projet'!$B$15,Paramètres!$A$1:$I$89,5,0)</f>
        <v>178.80199999999999</v>
      </c>
      <c r="EL47" s="14">
        <f t="shared" si="45"/>
        <v>45.055549739375941</v>
      </c>
      <c r="EM47" s="22">
        <f t="shared" si="19"/>
        <v>389.88523246274644</v>
      </c>
      <c r="EN47" s="60">
        <f t="shared" si="20"/>
        <v>683.2185657960797</v>
      </c>
      <c r="EO47" s="60">
        <f ca="1">AVERAGE(OFFSET($EN$3,0,0,'Données projet'!$E$15+1,1))-AVERAGE(OFFSET($H$3,0,0,'Données projet'!$E$15+1,1))</f>
        <v>392.62423122800357</v>
      </c>
      <c r="EP47" s="60">
        <f t="shared" si="46"/>
        <v>314.09619163968642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7.6958942348736308</v>
      </c>
      <c r="EX47" s="23">
        <f>EXP(-LN(2)/2)*EX46+(1-EXP(-LN(2)/2))/(LN(2)/2)*ER47*EU47*VLOOKUP('Données projet'!$B$15,Paramètres!$A$1:$I$89,3,0)*0.475*44/12</f>
        <v>0.13753084189016793</v>
      </c>
      <c r="EY47" s="24">
        <f t="shared" si="21"/>
        <v>7.833425076763799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337.78999999999996</v>
      </c>
      <c r="FC47" s="13">
        <f>VLOOKUP(A47,'Données projet'!$A$217:$I$237,9,0)</f>
        <v>13.234499999999969</v>
      </c>
      <c r="FD47" s="13">
        <f t="array" ref="FD47">INDEX(FC:FC,MIN(IF(ISNUMBER(FC47:FC243),ROW(FC47:FC243),"")))</f>
        <v>13.234499999999969</v>
      </c>
      <c r="FE47" s="13">
        <f>IF('Données projet'!$A$218&gt;35,FE46+FD47-FM46,IF(A47&lt;'Données projet'!$A$218,$FB$205^A47,IF(A47='Données projet'!$A$218,'Données projet'!$B$218,FE46+FD47-FM46)))</f>
        <v>337.78999999999996</v>
      </c>
      <c r="FF47" s="18">
        <f>FE47*VLOOKUP('Données projet'!$B$16,Paramètres!$A$1:$I$89,3,0)*VLOOKUP('Données projet'!$B$16,Paramètres!$A$1:$I$89,5,0)</f>
        <v>201.99842000000001</v>
      </c>
      <c r="FG47" s="14">
        <f t="shared" si="47"/>
        <v>50.183105491997878</v>
      </c>
      <c r="FH47" s="22">
        <f t="shared" si="22"/>
        <v>439.21615689856299</v>
      </c>
      <c r="FI47" s="60">
        <f t="shared" si="23"/>
        <v>732.54949023189624</v>
      </c>
      <c r="FJ47" s="60">
        <f ca="1">AVERAGE(OFFSET($FI$3,0,0,'Données projet'!$E$16+1,1))-AVERAGE(OFFSET($H$3,0,0,'Données projet'!$E$16+1,1))</f>
        <v>207.03241199974599</v>
      </c>
      <c r="FK47" s="60">
        <f t="shared" si="48"/>
        <v>314.188568589113</v>
      </c>
      <c r="FL47" s="16">
        <f>IF(ISNA(VLOOKUP(A47,'Données projet'!$A$217:$I$237,3,0)),0,VLOOKUP(A47,'Données projet'!$A$217:$I$237,3,0))</f>
        <v>5</v>
      </c>
      <c r="FM47" s="16">
        <f>IF(ISNA(VLOOKUP(A47,'Données projet'!$A$217:$I$237,4,0)),0,VLOOKUP(A47,'Données projet'!$A$217:$I$237,4,0))</f>
        <v>337.78999999999996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10.231802424345057</v>
      </c>
      <c r="FR47" s="23">
        <f>EXP(-LN(2)/25)*FR46+(1-EXP(-LN(2)/25))/(LN(2)/25)*Calculateur!FM47*Calculateur!FO47*VLOOKUP('Données projet'!$B$16,Paramètres!$A$1:$I$89,3,0)*0.475*44/12</f>
        <v>6.6130483612578583</v>
      </c>
      <c r="FS47" s="23">
        <f>EXP(-LN(2)/2)*FS46+(1-EXP(-LN(2)/2))/(LN(2)/2)*FM47*FP47*VLOOKUP('Données projet'!$B$16,Paramètres!$A$1:$I$89,3,0)*0.475*44/12</f>
        <v>2.2847091382131327E-2</v>
      </c>
      <c r="FT47" s="24">
        <f t="shared" si="24"/>
        <v>16.867697876985048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160.25641025641025</v>
      </c>
      <c r="L48" s="13">
        <f>VLOOKUP(A48,'Données projet'!$A$35:$I$55,9,0)</f>
        <v>5.6410256410256405</v>
      </c>
      <c r="M48" s="13">
        <f t="array" ref="M48">INDEX(L:L,MIN(IF(ISNUMBER(L48:L244),ROW(L48:L244),"")))</f>
        <v>5.6410256410256405</v>
      </c>
      <c r="N48" s="14">
        <f>IF('Données projet'!$A$36&gt;35,N47+M48-V47,IF(A48&lt;'Données projet'!$A$36,$K$205^A48,IF(A48='Données projet'!$A$36,'Données projet'!$B$36,N47+M48-V47)))</f>
        <v>160.25641025641025</v>
      </c>
      <c r="O48" s="14">
        <f>N48*VLOOKUP('Données projet'!$B$9,Paramètres!$A$1:$I$89,3,0)*VLOOKUP('Données projet'!$B$9,Paramètres!$A$1:$I$89,5,0)</f>
        <v>152.5</v>
      </c>
      <c r="P48" s="14">
        <f t="shared" si="33"/>
        <v>39.146171889962673</v>
      </c>
      <c r="Q48" s="22">
        <f t="shared" si="53"/>
        <v>333.78374937501832</v>
      </c>
      <c r="R48" s="60">
        <f t="shared" si="0"/>
        <v>627.11708270835163</v>
      </c>
      <c r="S48" s="60">
        <f ca="1">AVERAGE(OFFSET($R$3,0,0,'Données projet'!$E$9+1,1))-AVERAGE(OFFSET($H$3,0,0,'Données projet'!$E$9+1,1))</f>
        <v>353.61481736740694</v>
      </c>
      <c r="T48" s="60">
        <f t="shared" si="34"/>
        <v>244.7141066773861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28.205128205128204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152.81760000000006</v>
      </c>
      <c r="AK48" s="14">
        <f t="shared" si="35"/>
        <v>39.218200171484227</v>
      </c>
      <c r="AL48" s="22">
        <f t="shared" si="4"/>
        <v>334.46235196533513</v>
      </c>
      <c r="AM48" s="60">
        <f t="shared" si="5"/>
        <v>627.79568529866845</v>
      </c>
      <c r="AN48" s="60">
        <f ca="1">AVERAGE(OFFSET($AM$3,0,0,'Données projet'!$E$10+1,1))-AVERAGE(OFFSET($H$3,0,0,'Données projet'!$E$10+1,1))</f>
        <v>455.50822833641354</v>
      </c>
      <c r="AO48" s="60">
        <f t="shared" si="36"/>
        <v>261.14722581688039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165.14160000000007</v>
      </c>
      <c r="BF48" s="14">
        <f t="shared" si="37"/>
        <v>42.00007420233301</v>
      </c>
      <c r="BG48" s="22">
        <f t="shared" si="7"/>
        <v>360.77174923573011</v>
      </c>
      <c r="BH48" s="60">
        <f t="shared" si="8"/>
        <v>654.10508256906337</v>
      </c>
      <c r="BI48" s="60">
        <f ca="1">AVERAGE(OFFSET($BH$3,0,0,'Données projet'!$E$11+1,1))-AVERAGE(OFFSET($H$3,0,0,'Données projet'!$E$11+1,1))</f>
        <v>488.7825919901664</v>
      </c>
      <c r="BJ48" s="60">
        <f t="shared" si="38"/>
        <v>278.78817181412438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160.21200000000007</v>
      </c>
      <c r="CA48" s="14">
        <f t="shared" si="39"/>
        <v>40.890328912852731</v>
      </c>
      <c r="CB48" s="22">
        <f t="shared" si="10"/>
        <v>350.25322285655193</v>
      </c>
      <c r="CC48" s="60">
        <f t="shared" si="11"/>
        <v>643.58655618988519</v>
      </c>
      <c r="CD48" s="60">
        <f ca="1">AVERAGE(OFFSET($CC$3,0,0,'Données projet'!$E$12+1,1))-AVERAGE(OFFSET($H$3,0,0,'Données projet'!$E$12+1,1))</f>
        <v>475.47920969424894</v>
      </c>
      <c r="CE48" s="60">
        <f t="shared" si="40"/>
        <v>271.73544012419364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142.95840000000004</v>
      </c>
      <c r="CV48" s="14">
        <f t="shared" si="41"/>
        <v>36.973906370811264</v>
      </c>
      <c r="CW48" s="22">
        <f t="shared" si="13"/>
        <v>313.38210026249641</v>
      </c>
      <c r="CX48" s="60">
        <f t="shared" si="14"/>
        <v>606.71543359582972</v>
      </c>
      <c r="CY48" s="60">
        <f ca="1">AVERAGE(OFFSET($CX$3,0,0,'Données projet'!$E$13+1,1))-AVERAGE(OFFSET($H$3,0,0,'Données projet'!$E$13+1,1))</f>
        <v>428.8489304403459</v>
      </c>
      <c r="CZ48" s="60">
        <f t="shared" si="42"/>
        <v>247.01165577562966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170.07120000000003</v>
      </c>
      <c r="DQ48" s="14">
        <f t="shared" si="43"/>
        <v>43.10596962815594</v>
      </c>
      <c r="DR48" s="22">
        <f t="shared" si="16"/>
        <v>371.28357043570503</v>
      </c>
      <c r="DS48" s="60">
        <f t="shared" si="17"/>
        <v>664.61690376903834</v>
      </c>
      <c r="DT48" s="60">
        <f ca="1">AVERAGE(OFFSET($DS$3,0,0,'Données projet'!$E$14+1,1))-AVERAGE(OFFSET($H$3,0,0,'Données projet'!$E$14+1,1))</f>
        <v>502.07782026233912</v>
      </c>
      <c r="DU48" s="60">
        <f t="shared" si="44"/>
        <v>285.83623046025156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318</v>
      </c>
      <c r="EH48" s="13">
        <f>VLOOKUP(A48,'Données projet'!$A$191:$I$211,9,0)</f>
        <v>19</v>
      </c>
      <c r="EI48" s="13">
        <f t="array" ref="EI48">INDEX(EH:EH,MIN(IF(ISNUMBER(EH48:EH244),ROW(EH48:EH244),"")))</f>
        <v>19</v>
      </c>
      <c r="EJ48" s="13">
        <f>IF('Données projet'!$A$192&gt;35,EJ47+EI48-ER47,IF(A48&lt;'Données projet'!$A$192,$EG$205^A48,IF(A48='Données projet'!$A$192,'Données projet'!$B$192,EJ47+EI48-ER47)))</f>
        <v>317.99999999999994</v>
      </c>
      <c r="EK48" s="18">
        <f>EJ48*VLOOKUP('Données projet'!$B$15,Paramètres!$A$1:$I$89,3,0)*VLOOKUP('Données projet'!$B$15,Paramètres!$A$1:$I$89,5,0)</f>
        <v>190.16399999999996</v>
      </c>
      <c r="EL48" s="14">
        <f t="shared" si="45"/>
        <v>47.576209101852911</v>
      </c>
      <c r="EM48" s="22">
        <f t="shared" si="19"/>
        <v>414.06419751906043</v>
      </c>
      <c r="EN48" s="60">
        <f t="shared" si="20"/>
        <v>707.39753085239374</v>
      </c>
      <c r="EO48" s="60">
        <f ca="1">AVERAGE(OFFSET($EN$3,0,0,'Données projet'!$E$15+1,1))-AVERAGE(OFFSET($H$3,0,0,'Données projet'!$E$15+1,1))</f>
        <v>392.62423122800357</v>
      </c>
      <c r="EP48" s="60">
        <f t="shared" si="46"/>
        <v>314.09619163968642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7.4854496023115225</v>
      </c>
      <c r="EX48" s="23">
        <f>EXP(-LN(2)/2)*EX47+(1-EXP(-LN(2)/2))/(LN(2)/2)*ER48*EU48*VLOOKUP('Données projet'!$B$15,Paramètres!$A$1:$I$89,3,0)*0.475*44/12</f>
        <v>9.7248990922832637E-2</v>
      </c>
      <c r="EY48" s="24">
        <f t="shared" si="21"/>
        <v>7.5826985932343547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>
        <f>FE48*VLOOKUP('Données projet'!$B$16,Paramètres!$A$1:$I$89,3,0)*VLOOKUP('Données projet'!$B$16,Paramètres!$A$1:$I$89,5,0)</f>
        <v>0</v>
      </c>
      <c r="FG48" s="14" t="e">
        <f t="shared" si="47"/>
        <v>#NUM!</v>
      </c>
      <c r="FH48" s="22" t="e">
        <f t="shared" si="22"/>
        <v>#NUM!</v>
      </c>
      <c r="FI48" s="60" t="e">
        <f t="shared" si="23"/>
        <v>#NUM!</v>
      </c>
      <c r="FJ48" s="60">
        <f ca="1">AVERAGE(OFFSET($FI$3,0,0,'Données projet'!$E$16+1,1))-AVERAGE(OFFSET($H$3,0,0,'Données projet'!$E$16+1,1))</f>
        <v>207.03241199974599</v>
      </c>
      <c r="FK48" s="60">
        <f t="shared" si="48"/>
        <v>314.188568589113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10.031163019586904</v>
      </c>
      <c r="FR48" s="23">
        <f>EXP(-LN(2)/25)*FR47+(1-EXP(-LN(2)/25))/(LN(2)/25)*Calculateur!FM48*Calculateur!FO48*VLOOKUP('Données projet'!$B$16,Paramètres!$A$1:$I$89,3,0)*0.475*44/12</f>
        <v>6.4322142060541632</v>
      </c>
      <c r="FS48" s="23">
        <f>EXP(-LN(2)/2)*FS47+(1-EXP(-LN(2)/2))/(LN(2)/2)*FM48*FP48*VLOOKUP('Données projet'!$B$16,Paramètres!$A$1:$I$89,3,0)*0.475*44/12</f>
        <v>1.6155333246693791E-2</v>
      </c>
      <c r="FT48" s="24">
        <f t="shared" si="24"/>
        <v>16.479532558887762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5.2564102564102537</v>
      </c>
      <c r="N49" s="14">
        <f>IF('Données projet'!$A$36&gt;35,N48+M49-V48,IF(A49&lt;'Données projet'!$A$36,$K$205^A49,IF(A49='Données projet'!$A$36,'Données projet'!$B$36,N48+M49-V48)))</f>
        <v>137.30769230769229</v>
      </c>
      <c r="O49" s="14">
        <f>N49*VLOOKUP('Données projet'!$B$9,Paramètres!$A$1:$I$89,3,0)*VLOOKUP('Données projet'!$B$9,Paramètres!$A$1:$I$89,5,0)</f>
        <v>130.66199999999998</v>
      </c>
      <c r="P49" s="14">
        <f t="shared" si="33"/>
        <v>34.149282845527253</v>
      </c>
      <c r="Q49" s="22">
        <f t="shared" si="53"/>
        <v>287.04631762262659</v>
      </c>
      <c r="R49" s="60">
        <f t="shared" si="0"/>
        <v>580.37965095595996</v>
      </c>
      <c r="S49" s="60">
        <f ca="1">AVERAGE(OFFSET($R$3,0,0,'Données projet'!$E$9+1,1))-AVERAGE(OFFSET($H$3,0,0,'Données projet'!$E$9+1,1))</f>
        <v>353.61481736740694</v>
      </c>
      <c r="T49" s="60">
        <f t="shared" si="34"/>
        <v>244.7141066773861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160.74864000000005</v>
      </c>
      <c r="AK49" s="14">
        <f t="shared" si="35"/>
        <v>41.011327345272264</v>
      </c>
      <c r="AL49" s="22">
        <f t="shared" si="4"/>
        <v>351.39860979301596</v>
      </c>
      <c r="AM49" s="60">
        <f t="shared" si="5"/>
        <v>644.73194312634928</v>
      </c>
      <c r="AN49" s="60">
        <f ca="1">AVERAGE(OFFSET($AM$3,0,0,'Données projet'!$E$10+1,1))-AVERAGE(OFFSET($H$3,0,0,'Données projet'!$E$10+1,1))</f>
        <v>455.50822833641354</v>
      </c>
      <c r="AO49" s="60">
        <f t="shared" si="36"/>
        <v>261.14722581688039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173.71224000000007</v>
      </c>
      <c r="BF49" s="14">
        <f t="shared" si="37"/>
        <v>43.920393697465656</v>
      </c>
      <c r="BG49" s="22">
        <f t="shared" si="7"/>
        <v>379.04350368975275</v>
      </c>
      <c r="BH49" s="60">
        <f t="shared" si="8"/>
        <v>672.37683702308607</v>
      </c>
      <c r="BI49" s="60">
        <f ca="1">AVERAGE(OFFSET($BH$3,0,0,'Données projet'!$E$11+1,1))-AVERAGE(OFFSET($H$3,0,0,'Données projet'!$E$11+1,1))</f>
        <v>488.7825919901664</v>
      </c>
      <c r="BJ49" s="60">
        <f t="shared" si="38"/>
        <v>278.78817181412438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168.52680000000007</v>
      </c>
      <c r="CA49" s="14">
        <f t="shared" si="39"/>
        <v>42.759908842532369</v>
      </c>
      <c r="CB49" s="22">
        <f t="shared" si="10"/>
        <v>367.991017900744</v>
      </c>
      <c r="CC49" s="60">
        <f t="shared" si="11"/>
        <v>661.32435123407731</v>
      </c>
      <c r="CD49" s="60">
        <f ca="1">AVERAGE(OFFSET($CC$3,0,0,'Données projet'!$E$12+1,1))-AVERAGE(OFFSET($H$3,0,0,'Données projet'!$E$12+1,1))</f>
        <v>475.47920969424894</v>
      </c>
      <c r="CE49" s="60">
        <f t="shared" si="40"/>
        <v>271.73544012419364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150.37776000000002</v>
      </c>
      <c r="CV49" s="14">
        <f t="shared" si="41"/>
        <v>38.664420365454049</v>
      </c>
      <c r="CW49" s="22">
        <f t="shared" si="13"/>
        <v>329.24846413649914</v>
      </c>
      <c r="CX49" s="60">
        <f t="shared" si="14"/>
        <v>622.58179746983251</v>
      </c>
      <c r="CY49" s="60">
        <f ca="1">AVERAGE(OFFSET($CX$3,0,0,'Données projet'!$E$13+1,1))-AVERAGE(OFFSET($H$3,0,0,'Données projet'!$E$13+1,1))</f>
        <v>428.8489304403459</v>
      </c>
      <c r="CZ49" s="60">
        <f t="shared" si="42"/>
        <v>247.01165577562966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178.89768000000004</v>
      </c>
      <c r="DQ49" s="14">
        <f t="shared" si="43"/>
        <v>45.076852665999411</v>
      </c>
      <c r="DR49" s="22">
        <f t="shared" si="16"/>
        <v>390.08897772661572</v>
      </c>
      <c r="DS49" s="60">
        <f t="shared" si="17"/>
        <v>683.42231105994904</v>
      </c>
      <c r="DT49" s="60">
        <f ca="1">AVERAGE(OFFSET($DS$3,0,0,'Données projet'!$E$14+1,1))-AVERAGE(OFFSET($H$3,0,0,'Données projet'!$E$14+1,1))</f>
        <v>502.07782026233912</v>
      </c>
      <c r="DU49" s="60">
        <f t="shared" si="44"/>
        <v>285.83623046025156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17.399999999999999</v>
      </c>
      <c r="EJ49" s="13">
        <f>IF('Données projet'!$A$192&gt;35,EJ48+EI49-ER48,IF(A49&lt;'Données projet'!$A$192,$EG$205^A49,IF(A49='Données projet'!$A$192,'Données projet'!$B$192,EJ48+EI49-ER48)))</f>
        <v>335.39999999999992</v>
      </c>
      <c r="EK49" s="18">
        <f>EJ49*VLOOKUP('Données projet'!$B$15,Paramètres!$A$1:$I$89,3,0)*VLOOKUP('Données projet'!$B$15,Paramètres!$A$1:$I$89,5,0)</f>
        <v>200.56919999999997</v>
      </c>
      <c r="EL49" s="14">
        <f t="shared" si="45"/>
        <v>49.869239959281323</v>
      </c>
      <c r="EM49" s="22">
        <f t="shared" si="19"/>
        <v>436.18028292908156</v>
      </c>
      <c r="EN49" s="60">
        <f t="shared" si="20"/>
        <v>729.51361626241487</v>
      </c>
      <c r="EO49" s="60">
        <f ca="1">AVERAGE(OFFSET($EN$3,0,0,'Données projet'!$E$15+1,1))-AVERAGE(OFFSET($H$3,0,0,'Données projet'!$E$15+1,1))</f>
        <v>392.62423122800357</v>
      </c>
      <c r="EP49" s="60">
        <f t="shared" si="46"/>
        <v>314.09619163968642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7.2807595892936279</v>
      </c>
      <c r="EX49" s="23">
        <f>EXP(-LN(2)/2)*EX48+(1-EXP(-LN(2)/2))/(LN(2)/2)*ER49*EU49*VLOOKUP('Données projet'!$B$15,Paramètres!$A$1:$I$89,3,0)*0.475*44/12</f>
        <v>6.8765420945083963E-2</v>
      </c>
      <c r="EY49" s="24">
        <f t="shared" si="21"/>
        <v>7.349525010238712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>
        <f>FE49*VLOOKUP('Données projet'!$B$16,Paramètres!$A$1:$I$89,3,0)*VLOOKUP('Données projet'!$B$16,Paramètres!$A$1:$I$89,5,0)</f>
        <v>0</v>
      </c>
      <c r="FG49" s="14" t="e">
        <f t="shared" si="47"/>
        <v>#NUM!</v>
      </c>
      <c r="FH49" s="22" t="e">
        <f t="shared" si="22"/>
        <v>#NUM!</v>
      </c>
      <c r="FI49" s="60" t="e">
        <f t="shared" si="23"/>
        <v>#NUM!</v>
      </c>
      <c r="FJ49" s="60">
        <f ca="1">AVERAGE(OFFSET($FI$3,0,0,'Données projet'!$E$16+1,1))-AVERAGE(OFFSET($H$3,0,0,'Données projet'!$E$16+1,1))</f>
        <v>207.03241199974599</v>
      </c>
      <c r="FK49" s="60">
        <f t="shared" si="48"/>
        <v>314.188568589113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9.8344580311781051</v>
      </c>
      <c r="FR49" s="23">
        <f>EXP(-LN(2)/25)*FR48+(1-EXP(-LN(2)/25))/(LN(2)/25)*Calculateur!FM49*Calculateur!FO49*VLOOKUP('Données projet'!$B$16,Paramètres!$A$1:$I$89,3,0)*0.475*44/12</f>
        <v>6.2563249703341679</v>
      </c>
      <c r="FS49" s="23">
        <f>EXP(-LN(2)/2)*FS48+(1-EXP(-LN(2)/2))/(LN(2)/2)*FM49*FP49*VLOOKUP('Données projet'!$B$16,Paramètres!$A$1:$I$89,3,0)*0.475*44/12</f>
        <v>1.1423545691065663E-2</v>
      </c>
      <c r="FT49" s="24">
        <f t="shared" si="24"/>
        <v>16.102206547203338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5.2564102564102537</v>
      </c>
      <c r="N50" s="14">
        <f>IF('Données projet'!$A$36&gt;35,N49+M50-V49,IF(A50&lt;'Données projet'!$A$36,$K$205^A50,IF(A50='Données projet'!$A$36,'Données projet'!$B$36,N49+M50-V49)))</f>
        <v>142.56410256410254</v>
      </c>
      <c r="O50" s="14">
        <f>N50*VLOOKUP('Données projet'!$B$9,Paramètres!$A$1:$I$89,3,0)*VLOOKUP('Données projet'!$B$9,Paramètres!$A$1:$I$89,5,0)</f>
        <v>135.66399999999999</v>
      </c>
      <c r="P50" s="14">
        <f t="shared" si="33"/>
        <v>35.301877311719494</v>
      </c>
      <c r="Q50" s="22">
        <f t="shared" si="53"/>
        <v>297.76556965124479</v>
      </c>
      <c r="R50" s="60">
        <f t="shared" si="0"/>
        <v>591.0989029845781</v>
      </c>
      <c r="S50" s="60">
        <f ca="1">AVERAGE(OFFSET($R$3,0,0,'Données projet'!$E$9+1,1))-AVERAGE(OFFSET($H$3,0,0,'Données projet'!$E$9+1,1))</f>
        <v>353.61481736740694</v>
      </c>
      <c r="T50" s="60">
        <f t="shared" si="34"/>
        <v>244.7141066773861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168.67968000000002</v>
      </c>
      <c r="AK50" s="14">
        <f t="shared" si="35"/>
        <v>42.794181774227013</v>
      </c>
      <c r="AL50" s="22">
        <f t="shared" si="4"/>
        <v>368.3169759234454</v>
      </c>
      <c r="AM50" s="60">
        <f t="shared" si="5"/>
        <v>661.65030925677866</v>
      </c>
      <c r="AN50" s="60">
        <f ca="1">AVERAGE(OFFSET($AM$3,0,0,'Données projet'!$E$10+1,1))-AVERAGE(OFFSET($H$3,0,0,'Données projet'!$E$10+1,1))</f>
        <v>455.50822833641354</v>
      </c>
      <c r="AO50" s="60">
        <f t="shared" si="36"/>
        <v>261.14722581688039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182.28288000000006</v>
      </c>
      <c r="BF50" s="14">
        <f t="shared" si="37"/>
        <v>45.829711768683602</v>
      </c>
      <c r="BG50" s="22">
        <f t="shared" si="7"/>
        <v>397.29609733045737</v>
      </c>
      <c r="BH50" s="60">
        <f t="shared" si="8"/>
        <v>690.62943066379069</v>
      </c>
      <c r="BI50" s="60">
        <f ca="1">AVERAGE(OFFSET($BH$3,0,0,'Données projet'!$E$11+1,1))-AVERAGE(OFFSET($H$3,0,0,'Données projet'!$E$11+1,1))</f>
        <v>488.7825919901664</v>
      </c>
      <c r="BJ50" s="60">
        <f t="shared" si="38"/>
        <v>278.78817181412438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176.84160000000006</v>
      </c>
      <c r="CA50" s="14">
        <f t="shared" si="39"/>
        <v>44.618778032982952</v>
      </c>
      <c r="CB50" s="22">
        <f t="shared" si="10"/>
        <v>385.71015840744536</v>
      </c>
      <c r="CC50" s="60">
        <f t="shared" si="11"/>
        <v>679.04349174077868</v>
      </c>
      <c r="CD50" s="60">
        <f ca="1">AVERAGE(OFFSET($CC$3,0,0,'Données projet'!$E$12+1,1))-AVERAGE(OFFSET($H$3,0,0,'Données projet'!$E$12+1,1))</f>
        <v>475.47920969424894</v>
      </c>
      <c r="CE50" s="60">
        <f t="shared" si="40"/>
        <v>271.73544012419364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157.79712000000004</v>
      </c>
      <c r="CV50" s="14">
        <f t="shared" si="41"/>
        <v>40.345249481546155</v>
      </c>
      <c r="CW50" s="22">
        <f t="shared" si="13"/>
        <v>345.09796018035962</v>
      </c>
      <c r="CX50" s="60">
        <f t="shared" si="14"/>
        <v>638.43129351369294</v>
      </c>
      <c r="CY50" s="60">
        <f ca="1">AVERAGE(OFFSET($CX$3,0,0,'Données projet'!$E$13+1,1))-AVERAGE(OFFSET($H$3,0,0,'Données projet'!$E$13+1,1))</f>
        <v>428.8489304403459</v>
      </c>
      <c r="CZ50" s="60">
        <f t="shared" si="42"/>
        <v>247.01165577562966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187.72416000000004</v>
      </c>
      <c r="DQ50" s="14">
        <f t="shared" si="43"/>
        <v>47.036444603668812</v>
      </c>
      <c r="DR50" s="22">
        <f t="shared" si="16"/>
        <v>408.87471968472323</v>
      </c>
      <c r="DS50" s="60">
        <f t="shared" si="17"/>
        <v>702.20805301805649</v>
      </c>
      <c r="DT50" s="60">
        <f ca="1">AVERAGE(OFFSET($DS$3,0,0,'Données projet'!$E$14+1,1))-AVERAGE(OFFSET($H$3,0,0,'Données projet'!$E$14+1,1))</f>
        <v>502.07782026233912</v>
      </c>
      <c r="DU50" s="60">
        <f t="shared" si="44"/>
        <v>285.83623046025156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17.399999999999999</v>
      </c>
      <c r="EJ50" s="13">
        <f>IF('Données projet'!$A$192&gt;35,EJ49+EI50-ER49,IF(A50&lt;'Données projet'!$A$192,$EG$205^A50,IF(A50='Données projet'!$A$192,'Données projet'!$B$192,EJ49+EI50-ER49)))</f>
        <v>352.7999999999999</v>
      </c>
      <c r="EK50" s="18">
        <f>EJ50*VLOOKUP('Données projet'!$B$15,Paramètres!$A$1:$I$89,3,0)*VLOOKUP('Données projet'!$B$15,Paramètres!$A$1:$I$89,5,0)</f>
        <v>210.97439999999995</v>
      </c>
      <c r="EL50" s="14">
        <f t="shared" si="45"/>
        <v>52.148459211324706</v>
      </c>
      <c r="EM50" s="22">
        <f t="shared" si="19"/>
        <v>458.27231312639043</v>
      </c>
      <c r="EN50" s="60">
        <f t="shared" si="20"/>
        <v>751.60564645972374</v>
      </c>
      <c r="EO50" s="60">
        <f ca="1">AVERAGE(OFFSET($EN$3,0,0,'Données projet'!$E$15+1,1))-AVERAGE(OFFSET($H$3,0,0,'Données projet'!$E$15+1,1))</f>
        <v>392.62423122800357</v>
      </c>
      <c r="EP50" s="60">
        <f t="shared" si="46"/>
        <v>314.09619163968642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7.0816668354458869</v>
      </c>
      <c r="EX50" s="23">
        <f>EXP(-LN(2)/2)*EX49+(1-EXP(-LN(2)/2))/(LN(2)/2)*ER50*EU50*VLOOKUP('Données projet'!$B$15,Paramètres!$A$1:$I$89,3,0)*0.475*44/12</f>
        <v>4.8624495461416319E-2</v>
      </c>
      <c r="EY50" s="24">
        <f t="shared" si="21"/>
        <v>7.130291330907303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>
        <f>FE50*VLOOKUP('Données projet'!$B$16,Paramètres!$A$1:$I$89,3,0)*VLOOKUP('Données projet'!$B$16,Paramètres!$A$1:$I$89,5,0)</f>
        <v>0</v>
      </c>
      <c r="FG50" s="14" t="e">
        <f t="shared" si="47"/>
        <v>#NUM!</v>
      </c>
      <c r="FH50" s="22" t="e">
        <f t="shared" si="22"/>
        <v>#NUM!</v>
      </c>
      <c r="FI50" s="60" t="e">
        <f t="shared" si="23"/>
        <v>#NUM!</v>
      </c>
      <c r="FJ50" s="60">
        <f ca="1">AVERAGE(OFFSET($FI$3,0,0,'Données projet'!$E$16+1,1))-AVERAGE(OFFSET($H$3,0,0,'Données projet'!$E$16+1,1))</f>
        <v>207.03241199974599</v>
      </c>
      <c r="FK50" s="60">
        <f t="shared" si="48"/>
        <v>314.188568589113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9.6416103076138064</v>
      </c>
      <c r="FR50" s="23">
        <f>EXP(-LN(2)/25)*FR49+(1-EXP(-LN(2)/25))/(LN(2)/25)*Calculateur!FM50*Calculateur!FO50*VLOOKUP('Données projet'!$B$16,Paramètres!$A$1:$I$89,3,0)*0.475*44/12</f>
        <v>6.0852454350145493</v>
      </c>
      <c r="FS50" s="23">
        <f>EXP(-LN(2)/2)*FS49+(1-EXP(-LN(2)/2))/(LN(2)/2)*FM50*FP50*VLOOKUP('Données projet'!$B$16,Paramètres!$A$1:$I$89,3,0)*0.475*44/12</f>
        <v>8.0776666233468956E-3</v>
      </c>
      <c r="FT50" s="24">
        <f t="shared" si="24"/>
        <v>15.734933409251703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5.2564102564102537</v>
      </c>
      <c r="N51" s="14">
        <f>IF('Données projet'!$A$36&gt;35,N50+M51-V50,IF(A51&lt;'Données projet'!$A$36,$K$205^A51,IF(A51='Données projet'!$A$36,'Données projet'!$B$36,N50+M51-V50)))</f>
        <v>147.82051282051279</v>
      </c>
      <c r="O51" s="14">
        <f>N51*VLOOKUP('Données projet'!$B$9,Paramètres!$A$1:$I$89,3,0)*VLOOKUP('Données projet'!$B$9,Paramètres!$A$1:$I$89,5,0)</f>
        <v>140.66599999999997</v>
      </c>
      <c r="P51" s="14">
        <f t="shared" si="33"/>
        <v>36.449534575573686</v>
      </c>
      <c r="Q51" s="22">
        <f t="shared" si="53"/>
        <v>308.47622271912411</v>
      </c>
      <c r="R51" s="60">
        <f t="shared" si="0"/>
        <v>601.80955605245742</v>
      </c>
      <c r="S51" s="60">
        <f ca="1">AVERAGE(OFFSET($R$3,0,0,'Données projet'!$E$9+1,1))-AVERAGE(OFFSET($H$3,0,0,'Données projet'!$E$9+1,1))</f>
        <v>353.61481736740694</v>
      </c>
      <c r="T51" s="60">
        <f t="shared" si="34"/>
        <v>244.7141066773861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176.61072000000004</v>
      </c>
      <c r="AK51" s="14">
        <f t="shared" si="35"/>
        <v>44.56730162053563</v>
      </c>
      <c r="AL51" s="22">
        <f t="shared" si="4"/>
        <v>385.21838765576626</v>
      </c>
      <c r="AM51" s="60">
        <f t="shared" si="5"/>
        <v>678.55172098909952</v>
      </c>
      <c r="AN51" s="60">
        <f ca="1">AVERAGE(OFFSET($AM$3,0,0,'Données projet'!$E$10+1,1))-AVERAGE(OFFSET($H$3,0,0,'Données projet'!$E$10+1,1))</f>
        <v>455.50822833641354</v>
      </c>
      <c r="AO51" s="60">
        <f t="shared" si="36"/>
        <v>261.14722581688039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190.85352000000006</v>
      </c>
      <c r="BF51" s="14">
        <f t="shared" si="37"/>
        <v>47.728604751761885</v>
      </c>
      <c r="BG51" s="22">
        <f t="shared" si="7"/>
        <v>415.53053394265203</v>
      </c>
      <c r="BH51" s="60">
        <f t="shared" si="8"/>
        <v>708.86386727598529</v>
      </c>
      <c r="BI51" s="60">
        <f ca="1">AVERAGE(OFFSET($BH$3,0,0,'Données projet'!$E$11+1,1))-AVERAGE(OFFSET($H$3,0,0,'Données projet'!$E$11+1,1))</f>
        <v>488.7825919901664</v>
      </c>
      <c r="BJ51" s="60">
        <f t="shared" si="38"/>
        <v>278.78817181412438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185.15640000000002</v>
      </c>
      <c r="CA51" s="14">
        <f t="shared" si="39"/>
        <v>46.467497591770453</v>
      </c>
      <c r="CB51" s="22">
        <f t="shared" si="10"/>
        <v>403.4116216390002</v>
      </c>
      <c r="CC51" s="60">
        <f t="shared" si="11"/>
        <v>696.74495497233352</v>
      </c>
      <c r="CD51" s="60">
        <f ca="1">AVERAGE(OFFSET($CC$3,0,0,'Données projet'!$E$12+1,1))-AVERAGE(OFFSET($H$3,0,0,'Données projet'!$E$12+1,1))</f>
        <v>475.47920969424894</v>
      </c>
      <c r="CE51" s="60">
        <f t="shared" si="40"/>
        <v>271.73544012419364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165.21648000000002</v>
      </c>
      <c r="CV51" s="14">
        <f t="shared" si="41"/>
        <v>42.016901084500397</v>
      </c>
      <c r="CW51" s="22">
        <f t="shared" si="13"/>
        <v>360.93147205550491</v>
      </c>
      <c r="CX51" s="60">
        <f t="shared" si="14"/>
        <v>654.26480538883823</v>
      </c>
      <c r="CY51" s="60">
        <f ca="1">AVERAGE(OFFSET($CX$3,0,0,'Données projet'!$E$13+1,1))-AVERAGE(OFFSET($H$3,0,0,'Données projet'!$E$13+1,1))</f>
        <v>428.8489304403459</v>
      </c>
      <c r="CZ51" s="60">
        <f t="shared" si="42"/>
        <v>247.01165577562966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196.55064000000002</v>
      </c>
      <c r="DQ51" s="14">
        <f t="shared" si="43"/>
        <v>48.985336952319578</v>
      </c>
      <c r="DR51" s="22">
        <f t="shared" si="16"/>
        <v>427.6418265252899</v>
      </c>
      <c r="DS51" s="60">
        <f t="shared" si="17"/>
        <v>720.97515985862321</v>
      </c>
      <c r="DT51" s="60">
        <f ca="1">AVERAGE(OFFSET($DS$3,0,0,'Données projet'!$E$14+1,1))-AVERAGE(OFFSET($H$3,0,0,'Données projet'!$E$14+1,1))</f>
        <v>502.07782026233912</v>
      </c>
      <c r="DU51" s="60">
        <f t="shared" si="44"/>
        <v>285.83623046025156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17.399999999999999</v>
      </c>
      <c r="EJ51" s="13">
        <f>IF('Données projet'!$A$192&gt;35,EJ50+EI51-ER50,IF(A51&lt;'Données projet'!$A$192,$EG$205^A51,IF(A51='Données projet'!$A$192,'Données projet'!$B$192,EJ50+EI51-ER50)))</f>
        <v>370.19999999999987</v>
      </c>
      <c r="EK51" s="18">
        <f>EJ51*VLOOKUP('Données projet'!$B$15,Paramètres!$A$1:$I$89,3,0)*VLOOKUP('Données projet'!$B$15,Paramètres!$A$1:$I$89,5,0)</f>
        <v>221.37959999999993</v>
      </c>
      <c r="EL51" s="14">
        <f t="shared" si="45"/>
        <v>54.414625783743745</v>
      </c>
      <c r="EM51" s="22">
        <f t="shared" si="19"/>
        <v>480.34160990668687</v>
      </c>
      <c r="EN51" s="60">
        <f t="shared" si="20"/>
        <v>773.67494324002018</v>
      </c>
      <c r="EO51" s="60">
        <f ca="1">AVERAGE(OFFSET($EN$3,0,0,'Données projet'!$E$15+1,1))-AVERAGE(OFFSET($H$3,0,0,'Données projet'!$E$15+1,1))</f>
        <v>392.62423122800357</v>
      </c>
      <c r="EP51" s="60">
        <f t="shared" si="46"/>
        <v>314.09619163968642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6.8880182834219452</v>
      </c>
      <c r="EX51" s="23">
        <f>EXP(-LN(2)/2)*EX50+(1-EXP(-LN(2)/2))/(LN(2)/2)*ER51*EU51*VLOOKUP('Données projet'!$B$15,Paramètres!$A$1:$I$89,3,0)*0.475*44/12</f>
        <v>3.4382710472541982E-2</v>
      </c>
      <c r="EY51" s="24">
        <f t="shared" si="21"/>
        <v>6.9224009938944873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>
        <f>FE51*VLOOKUP('Données projet'!$B$16,Paramètres!$A$1:$I$89,3,0)*VLOOKUP('Données projet'!$B$16,Paramètres!$A$1:$I$89,5,0)</f>
        <v>0</v>
      </c>
      <c r="FG51" s="14" t="e">
        <f t="shared" si="47"/>
        <v>#NUM!</v>
      </c>
      <c r="FH51" s="22" t="e">
        <f t="shared" si="22"/>
        <v>#NUM!</v>
      </c>
      <c r="FI51" s="60" t="e">
        <f t="shared" si="23"/>
        <v>#NUM!</v>
      </c>
      <c r="FJ51" s="60">
        <f ca="1">AVERAGE(OFFSET($FI$3,0,0,'Données projet'!$E$16+1,1))-AVERAGE(OFFSET($H$3,0,0,'Données projet'!$E$16+1,1))</f>
        <v>207.03241199974599</v>
      </c>
      <c r="FK51" s="60">
        <f t="shared" si="48"/>
        <v>314.188568589113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9.4525442102831061</v>
      </c>
      <c r="FR51" s="23">
        <f>EXP(-LN(2)/25)*FR50+(1-EXP(-LN(2)/25))/(LN(2)/25)*Calculateur!FM51*Calculateur!FO51*VLOOKUP('Données projet'!$B$16,Paramètres!$A$1:$I$89,3,0)*0.475*44/12</f>
        <v>5.918844078584927</v>
      </c>
      <c r="FS51" s="23">
        <f>EXP(-LN(2)/2)*FS50+(1-EXP(-LN(2)/2))/(LN(2)/2)*FM51*FP51*VLOOKUP('Données projet'!$B$16,Paramètres!$A$1:$I$89,3,0)*0.475*44/12</f>
        <v>5.7117728455328316E-3</v>
      </c>
      <c r="FT51" s="24">
        <f t="shared" si="24"/>
        <v>15.377100061713566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5.2564102564102537</v>
      </c>
      <c r="N52" s="14">
        <f>IF('Données projet'!$A$36&gt;35,N51+M52-V51,IF(A52&lt;'Données projet'!$A$36,$K$205^A52,IF(A52='Données projet'!$A$36,'Données projet'!$B$36,N51+M52-V51)))</f>
        <v>153.07692307692304</v>
      </c>
      <c r="O52" s="14">
        <f>N52*VLOOKUP('Données projet'!$B$9,Paramètres!$A$1:$I$89,3,0)*VLOOKUP('Données projet'!$B$9,Paramètres!$A$1:$I$89,5,0)</f>
        <v>145.66799999999995</v>
      </c>
      <c r="P52" s="14">
        <f t="shared" si="33"/>
        <v>37.592450315522605</v>
      </c>
      <c r="Q52" s="22">
        <f t="shared" si="53"/>
        <v>319.17861763286845</v>
      </c>
      <c r="R52" s="60">
        <f t="shared" si="0"/>
        <v>612.51195096620177</v>
      </c>
      <c r="S52" s="60">
        <f ca="1">AVERAGE(OFFSET($R$3,0,0,'Données projet'!$E$9+1,1))-AVERAGE(OFFSET($H$3,0,0,'Données projet'!$E$9+1,1))</f>
        <v>353.61481736740694</v>
      </c>
      <c r="T52" s="60">
        <f t="shared" si="34"/>
        <v>244.7141066773861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184.54176000000001</v>
      </c>
      <c r="AK52" s="14">
        <f t="shared" si="35"/>
        <v>46.33117397953523</v>
      </c>
      <c r="AL52" s="22">
        <f t="shared" si="4"/>
        <v>402.10369334769052</v>
      </c>
      <c r="AM52" s="60">
        <f t="shared" si="5"/>
        <v>695.43702668102378</v>
      </c>
      <c r="AN52" s="60">
        <f ca="1">AVERAGE(OFFSET($AM$3,0,0,'Données projet'!$E$10+1,1))-AVERAGE(OFFSET($H$3,0,0,'Données projet'!$E$10+1,1))</f>
        <v>455.50822833641354</v>
      </c>
      <c r="AO52" s="60">
        <f t="shared" si="36"/>
        <v>261.14722581688039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199.42416000000003</v>
      </c>
      <c r="BF52" s="14">
        <f t="shared" si="37"/>
        <v>49.617594293288406</v>
      </c>
      <c r="BG52" s="22">
        <f t="shared" si="7"/>
        <v>433.74772206081064</v>
      </c>
      <c r="BH52" s="60">
        <f t="shared" si="8"/>
        <v>727.08105539414396</v>
      </c>
      <c r="BI52" s="60">
        <f ca="1">AVERAGE(OFFSET($BH$3,0,0,'Données projet'!$E$11+1,1))-AVERAGE(OFFSET($H$3,0,0,'Données projet'!$E$11+1,1))</f>
        <v>488.7825919901664</v>
      </c>
      <c r="BJ52" s="60">
        <f t="shared" si="38"/>
        <v>278.78817181412438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193.47120000000001</v>
      </c>
      <c r="CA52" s="14">
        <f t="shared" si="39"/>
        <v>48.306575382296536</v>
      </c>
      <c r="CB52" s="22">
        <f t="shared" si="10"/>
        <v>421.09629212416644</v>
      </c>
      <c r="CC52" s="60">
        <f t="shared" si="11"/>
        <v>714.4296254574997</v>
      </c>
      <c r="CD52" s="60">
        <f ca="1">AVERAGE(OFFSET($CC$3,0,0,'Données projet'!$E$12+1,1))-AVERAGE(OFFSET($H$3,0,0,'Données projet'!$E$12+1,1))</f>
        <v>475.47920969424894</v>
      </c>
      <c r="CE52" s="60">
        <f t="shared" si="40"/>
        <v>271.73544012419364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172.63584</v>
      </c>
      <c r="CV52" s="14">
        <f t="shared" si="41"/>
        <v>43.679834395222109</v>
      </c>
      <c r="CW52" s="22">
        <f t="shared" si="13"/>
        <v>376.74979957167847</v>
      </c>
      <c r="CX52" s="60">
        <f t="shared" si="14"/>
        <v>670.08313290501178</v>
      </c>
      <c r="CY52" s="60">
        <f ca="1">AVERAGE(OFFSET($CX$3,0,0,'Données projet'!$E$13+1,1))-AVERAGE(OFFSET($H$3,0,0,'Données projet'!$E$13+1,1))</f>
        <v>428.8489304403459</v>
      </c>
      <c r="CZ52" s="60">
        <f t="shared" si="42"/>
        <v>247.01165577562966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205.37711999999999</v>
      </c>
      <c r="DQ52" s="14">
        <f t="shared" si="43"/>
        <v>50.924065093909938</v>
      </c>
      <c r="DR52" s="22">
        <f t="shared" si="16"/>
        <v>446.39123070522641</v>
      </c>
      <c r="DS52" s="60">
        <f t="shared" si="17"/>
        <v>739.72456403855972</v>
      </c>
      <c r="DT52" s="60">
        <f ca="1">AVERAGE(OFFSET($DS$3,0,0,'Données projet'!$E$14+1,1))-AVERAGE(OFFSET($H$3,0,0,'Données projet'!$E$14+1,1))</f>
        <v>502.07782026233912</v>
      </c>
      <c r="DU52" s="60">
        <f t="shared" si="44"/>
        <v>285.83623046025156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17.399999999999999</v>
      </c>
      <c r="EJ52" s="13">
        <f>IF('Données projet'!$A$192&gt;35,EJ51+EI52-ER51,IF(A52&lt;'Données projet'!$A$192,$EG$205^A52,IF(A52='Données projet'!$A$192,'Données projet'!$B$192,EJ51+EI52-ER51)))</f>
        <v>387.59999999999985</v>
      </c>
      <c r="EK52" s="18">
        <f>EJ52*VLOOKUP('Données projet'!$B$15,Paramètres!$A$1:$I$89,3,0)*VLOOKUP('Données projet'!$B$15,Paramètres!$A$1:$I$89,5,0)</f>
        <v>231.78479999999993</v>
      </c>
      <c r="EL52" s="14">
        <f t="shared" si="45"/>
        <v>56.668423229243494</v>
      </c>
      <c r="EM52" s="22">
        <f t="shared" si="19"/>
        <v>502.38936379093224</v>
      </c>
      <c r="EN52" s="60">
        <f t="shared" si="20"/>
        <v>795.72269712426555</v>
      </c>
      <c r="EO52" s="60">
        <f ca="1">AVERAGE(OFFSET($EN$3,0,0,'Données projet'!$E$15+1,1))-AVERAGE(OFFSET($H$3,0,0,'Données projet'!$E$15+1,1))</f>
        <v>392.62423122800357</v>
      </c>
      <c r="EP52" s="60">
        <f t="shared" si="46"/>
        <v>314.09619163968642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6.6996650612366331</v>
      </c>
      <c r="EX52" s="23">
        <f>EXP(-LN(2)/2)*EX51+(1-EXP(-LN(2)/2))/(LN(2)/2)*ER52*EU52*VLOOKUP('Données projet'!$B$15,Paramètres!$A$1:$I$89,3,0)*0.475*44/12</f>
        <v>2.4312247730708159E-2</v>
      </c>
      <c r="EY52" s="24">
        <f t="shared" si="21"/>
        <v>6.7239773089673411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>
        <f>FE52*VLOOKUP('Données projet'!$B$16,Paramètres!$A$1:$I$89,3,0)*VLOOKUP('Données projet'!$B$16,Paramètres!$A$1:$I$89,5,0)</f>
        <v>0</v>
      </c>
      <c r="FG52" s="14" t="e">
        <f t="shared" si="47"/>
        <v>#NUM!</v>
      </c>
      <c r="FH52" s="22" t="e">
        <f t="shared" si="22"/>
        <v>#NUM!</v>
      </c>
      <c r="FI52" s="60" t="e">
        <f t="shared" si="23"/>
        <v>#NUM!</v>
      </c>
      <c r="FJ52" s="60">
        <f ca="1">AVERAGE(OFFSET($FI$3,0,0,'Données projet'!$E$16+1,1))-AVERAGE(OFFSET($H$3,0,0,'Données projet'!$E$16+1,1))</f>
        <v>207.03241199974599</v>
      </c>
      <c r="FK52" s="60">
        <f t="shared" si="48"/>
        <v>314.188568589113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9.267185583802128</v>
      </c>
      <c r="FR52" s="23">
        <f>EXP(-LN(2)/25)*FR51+(1-EXP(-LN(2)/25))/(LN(2)/25)*Calculateur!FM52*Calculateur!FO52*VLOOKUP('Données projet'!$B$16,Paramètres!$A$1:$I$89,3,0)*0.475*44/12</f>
        <v>5.75699297599754</v>
      </c>
      <c r="FS52" s="23">
        <f>EXP(-LN(2)/2)*FS51+(1-EXP(-LN(2)/2))/(LN(2)/2)*FM52*FP52*VLOOKUP('Données projet'!$B$16,Paramètres!$A$1:$I$89,3,0)*0.475*44/12</f>
        <v>4.0388333116734478E-3</v>
      </c>
      <c r="FT52" s="24">
        <f t="shared" si="24"/>
        <v>15.028217393111342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158.33333333333331</v>
      </c>
      <c r="L53" s="13">
        <f>VLOOKUP(A53,'Données projet'!$A$35:$I$55,9,0)</f>
        <v>5.2564102564102537</v>
      </c>
      <c r="M53" s="13">
        <f t="array" ref="M53">INDEX(L:L,MIN(IF(ISNUMBER(L53:L249),ROW(L53:L249),"")))</f>
        <v>5.2564102564102537</v>
      </c>
      <c r="N53" s="14">
        <f>IF('Données projet'!$A$36&gt;35,N52+M53-V52,IF(A53&lt;'Données projet'!$A$36,$K$205^A53,IF(A53='Données projet'!$A$36,'Données projet'!$B$36,N52+M53-V52)))</f>
        <v>158.33333333333329</v>
      </c>
      <c r="O53" s="14">
        <f>N53*VLOOKUP('Données projet'!$B$9,Paramètres!$A$1:$I$89,3,0)*VLOOKUP('Données projet'!$B$9,Paramètres!$A$1:$I$89,5,0)</f>
        <v>150.66999999999996</v>
      </c>
      <c r="P53" s="14">
        <f t="shared" si="33"/>
        <v>38.730806009209921</v>
      </c>
      <c r="Q53" s="22">
        <f t="shared" si="53"/>
        <v>329.87307046604047</v>
      </c>
      <c r="R53" s="60">
        <f t="shared" si="0"/>
        <v>623.20640379937379</v>
      </c>
      <c r="S53" s="60">
        <f ca="1">AVERAGE(OFFSET($R$3,0,0,'Données projet'!$E$9+1,1))-AVERAGE(OFFSET($H$3,0,0,'Données projet'!$E$9+1,1))</f>
        <v>353.61481736740694</v>
      </c>
      <c r="T53" s="60">
        <f t="shared" si="34"/>
        <v>244.7141066773861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192.47280000000001</v>
      </c>
      <c r="AK53" s="14">
        <f t="shared" si="35"/>
        <v>48.086241710923829</v>
      </c>
      <c r="AL53" s="22">
        <f t="shared" si="4"/>
        <v>418.97366431319239</v>
      </c>
      <c r="AM53" s="60">
        <f t="shared" si="5"/>
        <v>712.3069976465257</v>
      </c>
      <c r="AN53" s="60">
        <f ca="1">AVERAGE(OFFSET($AM$3,0,0,'Données projet'!$E$10+1,1))-AVERAGE(OFFSET($H$3,0,0,'Données projet'!$E$10+1,1))</f>
        <v>455.50822833641354</v>
      </c>
      <c r="AO53" s="60">
        <f t="shared" si="36"/>
        <v>261.14722581688039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207.99480000000003</v>
      </c>
      <c r="BF53" s="14">
        <f t="shared" si="37"/>
        <v>51.49715466643476</v>
      </c>
      <c r="BG53" s="22">
        <f t="shared" si="7"/>
        <v>451.94848771070718</v>
      </c>
      <c r="BH53" s="60">
        <f t="shared" si="8"/>
        <v>745.2818210440405</v>
      </c>
      <c r="BI53" s="60">
        <f ca="1">AVERAGE(OFFSET($BH$3,0,0,'Données projet'!$E$11+1,1))-AVERAGE(OFFSET($H$3,0,0,'Données projet'!$E$11+1,1))</f>
        <v>488.7825919901664</v>
      </c>
      <c r="BJ53" s="60">
        <f t="shared" si="38"/>
        <v>278.78817181412438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201.786</v>
      </c>
      <c r="CA53" s="14">
        <f t="shared" si="39"/>
        <v>50.136473146268756</v>
      </c>
      <c r="CB53" s="22">
        <f t="shared" si="10"/>
        <v>438.76497406308476</v>
      </c>
      <c r="CC53" s="60">
        <f t="shared" si="11"/>
        <v>732.09830739641802</v>
      </c>
      <c r="CD53" s="60">
        <f ca="1">AVERAGE(OFFSET($CC$3,0,0,'Données projet'!$E$12+1,1))-AVERAGE(OFFSET($H$3,0,0,'Données projet'!$E$12+1,1))</f>
        <v>475.47920969424894</v>
      </c>
      <c r="CE53" s="60">
        <f t="shared" si="40"/>
        <v>271.73544012419364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180.05519999999999</v>
      </c>
      <c r="CV53" s="14">
        <f t="shared" si="41"/>
        <v>45.334466930398364</v>
      </c>
      <c r="CW53" s="22">
        <f t="shared" si="13"/>
        <v>392.55366990377706</v>
      </c>
      <c r="CX53" s="60">
        <f t="shared" si="14"/>
        <v>685.88700323711032</v>
      </c>
      <c r="CY53" s="60">
        <f ca="1">AVERAGE(OFFSET($CX$3,0,0,'Données projet'!$E$13+1,1))-AVERAGE(OFFSET($H$3,0,0,'Données projet'!$E$13+1,1))</f>
        <v>428.8489304403459</v>
      </c>
      <c r="CZ53" s="60">
        <f t="shared" si="42"/>
        <v>247.01165577562966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214.20360000000002</v>
      </c>
      <c r="DQ53" s="14">
        <f t="shared" si="43"/>
        <v>52.853115789602029</v>
      </c>
      <c r="DR53" s="22">
        <f t="shared" si="16"/>
        <v>465.12378000022358</v>
      </c>
      <c r="DS53" s="60">
        <f t="shared" si="17"/>
        <v>758.45711333355689</v>
      </c>
      <c r="DT53" s="60">
        <f ca="1">AVERAGE(OFFSET($DS$3,0,0,'Données projet'!$E$14+1,1))-AVERAGE(OFFSET($H$3,0,0,'Données projet'!$E$14+1,1))</f>
        <v>502.07782026233912</v>
      </c>
      <c r="DU53" s="60">
        <f t="shared" si="44"/>
        <v>285.83623046025156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405</v>
      </c>
      <c r="EH53" s="13">
        <f>VLOOKUP(A53,'Données projet'!$A$191:$I$211,9,0)</f>
        <v>17.399999999999999</v>
      </c>
      <c r="EI53" s="13">
        <f t="array" ref="EI53">INDEX(EH:EH,MIN(IF(ISNUMBER(EH53:EH249),ROW(EH53:EH249),"")))</f>
        <v>17.399999999999999</v>
      </c>
      <c r="EJ53" s="13">
        <f>IF('Données projet'!$A$192&gt;35,EJ52+EI53-ER52,IF(A53&lt;'Données projet'!$A$192,$EG$205^A53,IF(A53='Données projet'!$A$192,'Données projet'!$B$192,EJ52+EI53-ER52)))</f>
        <v>404.99999999999983</v>
      </c>
      <c r="EK53" s="18">
        <f>EJ53*VLOOKUP('Données projet'!$B$15,Paramètres!$A$1:$I$89,3,0)*VLOOKUP('Données projet'!$B$15,Paramètres!$A$1:$I$89,5,0)</f>
        <v>242.18999999999991</v>
      </c>
      <c r="EL53" s="14">
        <f t="shared" si="45"/>
        <v>58.910470259429303</v>
      </c>
      <c r="EM53" s="22">
        <f t="shared" si="19"/>
        <v>524.41665236850588</v>
      </c>
      <c r="EN53" s="60">
        <f t="shared" si="20"/>
        <v>817.74998570183925</v>
      </c>
      <c r="EO53" s="60">
        <f ca="1">AVERAGE(OFFSET($EN$3,0,0,'Données projet'!$E$15+1,1))-AVERAGE(OFFSET($H$3,0,0,'Données projet'!$E$15+1,1))</f>
        <v>392.62423122800357</v>
      </c>
      <c r="EP53" s="60">
        <f t="shared" si="46"/>
        <v>314.09619163968642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106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6.5164623678170441</v>
      </c>
      <c r="EX53" s="23">
        <f>EXP(-LN(2)/2)*EX52+(1-EXP(-LN(2)/2))/(LN(2)/2)*ER53*EU53*VLOOKUP('Données projet'!$B$15,Paramètres!$A$1:$I$89,3,0)*0.475*44/12</f>
        <v>1.7191355236270991E-2</v>
      </c>
      <c r="EY53" s="24">
        <f t="shared" si="21"/>
        <v>6.5336537230533152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>
        <f>FE53*VLOOKUP('Données projet'!$B$16,Paramètres!$A$1:$I$89,3,0)*VLOOKUP('Données projet'!$B$16,Paramètres!$A$1:$I$89,5,0)</f>
        <v>0</v>
      </c>
      <c r="FG53" s="14" t="e">
        <f t="shared" si="47"/>
        <v>#NUM!</v>
      </c>
      <c r="FH53" s="22" t="e">
        <f t="shared" si="22"/>
        <v>#NUM!</v>
      </c>
      <c r="FI53" s="60" t="e">
        <f t="shared" si="23"/>
        <v>#NUM!</v>
      </c>
      <c r="FJ53" s="60">
        <f ca="1">AVERAGE(OFFSET($FI$3,0,0,'Données projet'!$E$16+1,1))-AVERAGE(OFFSET($H$3,0,0,'Données projet'!$E$16+1,1))</f>
        <v>207.03241199974599</v>
      </c>
      <c r="FK53" s="60">
        <f t="shared" si="48"/>
        <v>314.188568589113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9.0854617269288429</v>
      </c>
      <c r="FR53" s="23">
        <f>EXP(-LN(2)/25)*FR52+(1-EXP(-LN(2)/25))/(LN(2)/25)*Calculateur!FM53*Calculateur!FO53*VLOOKUP('Données projet'!$B$16,Paramètres!$A$1:$I$89,3,0)*0.475*44/12</f>
        <v>5.5995677003217841</v>
      </c>
      <c r="FS53" s="23">
        <f>EXP(-LN(2)/2)*FS52+(1-EXP(-LN(2)/2))/(LN(2)/2)*FM53*FP53*VLOOKUP('Données projet'!$B$16,Paramètres!$A$1:$I$89,3,0)*0.475*44/12</f>
        <v>2.8558864227664158E-3</v>
      </c>
      <c r="FT53" s="24">
        <f t="shared" si="24"/>
        <v>14.687885313673393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4.8717948717948731</v>
      </c>
      <c r="N54" s="14">
        <f>IF('Données projet'!$A$36&gt;35,N53+M54-V53,IF(A54&lt;'Données projet'!$A$36,$K$205^A54,IF(A54='Données projet'!$A$36,'Données projet'!$B$36,N53+M54-V53)))</f>
        <v>163.20512820512815</v>
      </c>
      <c r="O54" s="14">
        <f>N54*VLOOKUP('Données projet'!$B$9,Paramètres!$A$1:$I$89,3,0)*VLOOKUP('Données projet'!$B$9,Paramètres!$A$1:$I$89,5,0)</f>
        <v>155.30599999999995</v>
      </c>
      <c r="P54" s="14">
        <f t="shared" si="33"/>
        <v>39.781942810239308</v>
      </c>
      <c r="Q54" s="22">
        <f t="shared" si="53"/>
        <v>339.7781670611667</v>
      </c>
      <c r="R54" s="60">
        <f t="shared" si="0"/>
        <v>633.11150039450001</v>
      </c>
      <c r="S54" s="60">
        <f ca="1">AVERAGE(OFFSET($R$3,0,0,'Données projet'!$E$9+1,1))-AVERAGE(OFFSET($H$3,0,0,'Données projet'!$E$9+1,1))</f>
        <v>353.61481736740694</v>
      </c>
      <c r="T54" s="60">
        <f t="shared" si="34"/>
        <v>244.7141066773861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159.58799999999999</v>
      </c>
      <c r="AK54" s="14">
        <f t="shared" si="35"/>
        <v>40.74957371668588</v>
      </c>
      <c r="AL54" s="22">
        <f t="shared" si="4"/>
        <v>348.92127422322784</v>
      </c>
      <c r="AM54" s="60">
        <f t="shared" si="5"/>
        <v>642.25460755656115</v>
      </c>
      <c r="AN54" s="60">
        <f ca="1">AVERAGE(OFFSET($AM$3,0,0,'Données projet'!$E$10+1,1))-AVERAGE(OFFSET($H$3,0,0,'Données projet'!$E$10+1,1))</f>
        <v>455.50822833641354</v>
      </c>
      <c r="AO54" s="60">
        <f t="shared" si="36"/>
        <v>261.14722581688039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172.45800000000003</v>
      </c>
      <c r="BF54" s="14">
        <f t="shared" si="37"/>
        <v>43.640073035750284</v>
      </c>
      <c r="BG54" s="22">
        <f t="shared" si="7"/>
        <v>376.37081053726507</v>
      </c>
      <c r="BH54" s="60">
        <f t="shared" si="8"/>
        <v>669.70414387059839</v>
      </c>
      <c r="BI54" s="60">
        <f ca="1">AVERAGE(OFFSET($BH$3,0,0,'Données projet'!$E$11+1,1))-AVERAGE(OFFSET($H$3,0,0,'Données projet'!$E$11+1,1))</f>
        <v>488.7825919901664</v>
      </c>
      <c r="BJ54" s="60">
        <f t="shared" si="38"/>
        <v>278.78817181412438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167.31</v>
      </c>
      <c r="CA54" s="14">
        <f t="shared" si="39"/>
        <v>42.486994942347515</v>
      </c>
      <c r="CB54" s="22">
        <f t="shared" si="10"/>
        <v>365.39643285792187</v>
      </c>
      <c r="CC54" s="60">
        <f t="shared" si="11"/>
        <v>658.72976619125518</v>
      </c>
      <c r="CD54" s="60">
        <f ca="1">AVERAGE(OFFSET($CC$3,0,0,'Données projet'!$E$12+1,1))-AVERAGE(OFFSET($H$3,0,0,'Données projet'!$E$12+1,1))</f>
        <v>475.47920969424894</v>
      </c>
      <c r="CE54" s="60">
        <f t="shared" si="40"/>
        <v>271.73544012419364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149.29199999999997</v>
      </c>
      <c r="CV54" s="14">
        <f t="shared" si="41"/>
        <v>38.417645803815411</v>
      </c>
      <c r="CW54" s="22">
        <f t="shared" si="13"/>
        <v>326.9276331083118</v>
      </c>
      <c r="CX54" s="60">
        <f t="shared" si="14"/>
        <v>620.26096644164511</v>
      </c>
      <c r="CY54" s="60">
        <f ca="1">AVERAGE(OFFSET($CX$3,0,0,'Données projet'!$E$13+1,1))-AVERAGE(OFFSET($H$3,0,0,'Données projet'!$E$13+1,1))</f>
        <v>428.8489304403459</v>
      </c>
      <c r="CZ54" s="60">
        <f t="shared" si="42"/>
        <v>247.01165577562966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177.60599999999999</v>
      </c>
      <c r="DQ54" s="14">
        <f t="shared" si="43"/>
        <v>44.789150937858665</v>
      </c>
      <c r="DR54" s="22">
        <f t="shared" si="16"/>
        <v>387.33822121677048</v>
      </c>
      <c r="DS54" s="60">
        <f t="shared" si="17"/>
        <v>680.67155455010379</v>
      </c>
      <c r="DT54" s="60">
        <f ca="1">AVERAGE(OFFSET($DS$3,0,0,'Données projet'!$E$14+1,1))-AVERAGE(OFFSET($H$3,0,0,'Données projet'!$E$14+1,1))</f>
        <v>502.07782026233912</v>
      </c>
      <c r="DU54" s="60">
        <f t="shared" si="44"/>
        <v>285.83623046025156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17.625</v>
      </c>
      <c r="EJ54" s="13">
        <f>IF('Données projet'!$A$192&gt;35,EJ53+EI54-ER53,IF(A54&lt;'Données projet'!$A$192,$EG$205^A54,IF(A54='Données projet'!$A$192,'Données projet'!$B$192,EJ53+EI54-ER53)))</f>
        <v>316.62499999999983</v>
      </c>
      <c r="EK54" s="18">
        <f>EJ54*VLOOKUP('Données projet'!$B$15,Paramètres!$A$1:$I$89,3,0)*VLOOKUP('Données projet'!$B$15,Paramètres!$A$1:$I$89,5,0)</f>
        <v>189.34174999999991</v>
      </c>
      <c r="EL54" s="14">
        <f t="shared" si="45"/>
        <v>47.394393740797923</v>
      </c>
      <c r="EM54" s="22">
        <f t="shared" si="19"/>
        <v>412.31545034855623</v>
      </c>
      <c r="EN54" s="60">
        <f t="shared" si="20"/>
        <v>705.64878368188954</v>
      </c>
      <c r="EO54" s="60">
        <f ca="1">AVERAGE(OFFSET($EN$3,0,0,'Données projet'!$E$15+1,1))-AVERAGE(OFFSET($H$3,0,0,'Données projet'!$E$15+1,1))</f>
        <v>392.62423122800357</v>
      </c>
      <c r="EP54" s="60">
        <f t="shared" si="46"/>
        <v>314.09619163968642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6.3382693616832251</v>
      </c>
      <c r="EX54" s="23">
        <f>EXP(-LN(2)/2)*EX53+(1-EXP(-LN(2)/2))/(LN(2)/2)*ER54*EU54*VLOOKUP('Données projet'!$B$15,Paramètres!$A$1:$I$89,3,0)*0.475*44/12</f>
        <v>1.215612386535408E-2</v>
      </c>
      <c r="EY54" s="24">
        <f t="shared" si="21"/>
        <v>6.3504254855485796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>
        <f>FE54*VLOOKUP('Données projet'!$B$16,Paramètres!$A$1:$I$89,3,0)*VLOOKUP('Données projet'!$B$16,Paramètres!$A$1:$I$89,5,0)</f>
        <v>0</v>
      </c>
      <c r="FG54" s="14" t="e">
        <f t="shared" si="47"/>
        <v>#NUM!</v>
      </c>
      <c r="FH54" s="22" t="e">
        <f t="shared" si="22"/>
        <v>#NUM!</v>
      </c>
      <c r="FI54" s="60" t="e">
        <f t="shared" si="23"/>
        <v>#NUM!</v>
      </c>
      <c r="FJ54" s="60">
        <f ca="1">AVERAGE(OFFSET($FI$3,0,0,'Données projet'!$E$16+1,1))-AVERAGE(OFFSET($H$3,0,0,'Données projet'!$E$16+1,1))</f>
        <v>207.03241199974599</v>
      </c>
      <c r="FK54" s="60">
        <f t="shared" si="48"/>
        <v>314.188568589113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8.9073013640482355</v>
      </c>
      <c r="FR54" s="23">
        <f>EXP(-LN(2)/25)*FR53+(1-EXP(-LN(2)/25))/(LN(2)/25)*Calculateur!FM54*Calculateur!FO54*VLOOKUP('Données projet'!$B$16,Paramètres!$A$1:$I$89,3,0)*0.475*44/12</f>
        <v>5.4464472270880178</v>
      </c>
      <c r="FS54" s="23">
        <f>EXP(-LN(2)/2)*FS53+(1-EXP(-LN(2)/2))/(LN(2)/2)*FM54*FP54*VLOOKUP('Données projet'!$B$16,Paramètres!$A$1:$I$89,3,0)*0.475*44/12</f>
        <v>2.0194166558367239E-3</v>
      </c>
      <c r="FT54" s="24">
        <f t="shared" si="24"/>
        <v>14.35576800779209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4.8717948717948731</v>
      </c>
      <c r="N55" s="14">
        <f>IF('Données projet'!$A$36&gt;35,N54+M55-V54,IF(A55&lt;'Données projet'!$A$36,$K$205^A55,IF(A55='Données projet'!$A$36,'Données projet'!$B$36,N54+M55-V54)))</f>
        <v>168.07692307692301</v>
      </c>
      <c r="O55" s="14">
        <f>N55*VLOOKUP('Données projet'!$B$9,Paramètres!$A$1:$I$89,3,0)*VLOOKUP('Données projet'!$B$9,Paramètres!$A$1:$I$89,5,0)</f>
        <v>159.94199999999995</v>
      </c>
      <c r="P55" s="14">
        <f t="shared" si="33"/>
        <v>40.829433068762448</v>
      </c>
      <c r="Q55" s="22">
        <f t="shared" si="53"/>
        <v>349.67691259476118</v>
      </c>
      <c r="R55" s="60">
        <f t="shared" si="0"/>
        <v>643.01024592809449</v>
      </c>
      <c r="S55" s="60">
        <f ca="1">AVERAGE(OFFSET($R$3,0,0,'Données projet'!$E$9+1,1))-AVERAGE(OFFSET($H$3,0,0,'Données projet'!$E$9+1,1))</f>
        <v>353.61481736740694</v>
      </c>
      <c r="T55" s="60">
        <f t="shared" si="34"/>
        <v>244.7141066773861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167.32560000000001</v>
      </c>
      <c r="AK55" s="14">
        <f t="shared" si="35"/>
        <v>42.490495297127609</v>
      </c>
      <c r="AL55" s="22">
        <f t="shared" si="4"/>
        <v>365.42969930916388</v>
      </c>
      <c r="AM55" s="60">
        <f t="shared" si="5"/>
        <v>658.76303264249714</v>
      </c>
      <c r="AN55" s="60">
        <f ca="1">AVERAGE(OFFSET($AM$3,0,0,'Données projet'!$E$10+1,1))-AVERAGE(OFFSET($H$3,0,0,'Données projet'!$E$10+1,1))</f>
        <v>455.50822833641354</v>
      </c>
      <c r="AO55" s="60">
        <f t="shared" si="36"/>
        <v>261.14722581688039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180.81960000000004</v>
      </c>
      <c r="BF55" s="14">
        <f t="shared" si="37"/>
        <v>45.504483825620213</v>
      </c>
      <c r="BG55" s="22">
        <f t="shared" si="7"/>
        <v>394.18111266295523</v>
      </c>
      <c r="BH55" s="60">
        <f t="shared" si="8"/>
        <v>687.51444599628849</v>
      </c>
      <c r="BI55" s="60">
        <f ca="1">AVERAGE(OFFSET($BH$3,0,0,'Données projet'!$E$11+1,1))-AVERAGE(OFFSET($H$3,0,0,'Données projet'!$E$11+1,1))</f>
        <v>488.7825919901664</v>
      </c>
      <c r="BJ55" s="60">
        <f t="shared" si="38"/>
        <v>278.78817181412438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175.422</v>
      </c>
      <c r="CA55" s="14">
        <f t="shared" si="39"/>
        <v>44.302143412304737</v>
      </c>
      <c r="CB55" s="22">
        <f t="shared" si="10"/>
        <v>382.68621644309741</v>
      </c>
      <c r="CC55" s="60">
        <f t="shared" si="11"/>
        <v>676.01954977643072</v>
      </c>
      <c r="CD55" s="60">
        <f ca="1">AVERAGE(OFFSET($CC$3,0,0,'Données projet'!$E$12+1,1))-AVERAGE(OFFSET($H$3,0,0,'Données projet'!$E$12+1,1))</f>
        <v>475.47920969424894</v>
      </c>
      <c r="CE55" s="60">
        <f t="shared" si="40"/>
        <v>271.73544012419364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156.53039999999999</v>
      </c>
      <c r="CV55" s="14">
        <f t="shared" si="41"/>
        <v>40.058941713182037</v>
      </c>
      <c r="CW55" s="22">
        <f t="shared" si="13"/>
        <v>342.393103483792</v>
      </c>
      <c r="CX55" s="60">
        <f t="shared" si="14"/>
        <v>635.72643681712532</v>
      </c>
      <c r="CY55" s="60">
        <f ca="1">AVERAGE(OFFSET($CX$3,0,0,'Données projet'!$E$13+1,1))-AVERAGE(OFFSET($H$3,0,0,'Données projet'!$E$13+1,1))</f>
        <v>428.8489304403459</v>
      </c>
      <c r="CZ55" s="60">
        <f t="shared" si="42"/>
        <v>247.01165577562966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186.21719999999999</v>
      </c>
      <c r="DQ55" s="14">
        <f t="shared" si="43"/>
        <v>46.702653149673253</v>
      </c>
      <c r="DR55" s="22">
        <f t="shared" si="16"/>
        <v>405.66874423568089</v>
      </c>
      <c r="DS55" s="60">
        <f t="shared" si="17"/>
        <v>699.0020775690142</v>
      </c>
      <c r="DT55" s="60">
        <f ca="1">AVERAGE(OFFSET($DS$3,0,0,'Données projet'!$E$14+1,1))-AVERAGE(OFFSET($H$3,0,0,'Données projet'!$E$14+1,1))</f>
        <v>502.07782026233912</v>
      </c>
      <c r="DU55" s="60">
        <f t="shared" si="44"/>
        <v>285.83623046025156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17.625</v>
      </c>
      <c r="EJ55" s="13">
        <f>IF('Données projet'!$A$192&gt;35,EJ54+EI55-ER54,IF(A55&lt;'Données projet'!$A$192,$EG$205^A55,IF(A55='Données projet'!$A$192,'Données projet'!$B$192,EJ54+EI55-ER54)))</f>
        <v>334.24999999999983</v>
      </c>
      <c r="EK55" s="18">
        <f>EJ55*VLOOKUP('Données projet'!$B$15,Paramètres!$A$1:$I$89,3,0)*VLOOKUP('Données projet'!$B$15,Paramètres!$A$1:$I$89,5,0)</f>
        <v>199.88149999999993</v>
      </c>
      <c r="EL55" s="14">
        <f t="shared" si="45"/>
        <v>49.71812411377941</v>
      </c>
      <c r="EM55" s="22">
        <f t="shared" si="19"/>
        <v>434.71934533149897</v>
      </c>
      <c r="EN55" s="60">
        <f t="shared" si="20"/>
        <v>728.05267866483223</v>
      </c>
      <c r="EO55" s="60">
        <f ca="1">AVERAGE(OFFSET($EN$3,0,0,'Données projet'!$E$15+1,1))-AVERAGE(OFFSET($H$3,0,0,'Données projet'!$E$15+1,1))</f>
        <v>392.62423122800357</v>
      </c>
      <c r="EP55" s="60">
        <f t="shared" si="46"/>
        <v>314.09619163968642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6.1649490526728981</v>
      </c>
      <c r="EX55" s="23">
        <f>EXP(-LN(2)/2)*EX54+(1-EXP(-LN(2)/2))/(LN(2)/2)*ER55*EU55*VLOOKUP('Données projet'!$B$15,Paramètres!$A$1:$I$89,3,0)*0.475*44/12</f>
        <v>8.5956776181354954E-3</v>
      </c>
      <c r="EY55" s="24">
        <f t="shared" si="21"/>
        <v>6.1735447302910336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>
        <f>FE55*VLOOKUP('Données projet'!$B$16,Paramètres!$A$1:$I$89,3,0)*VLOOKUP('Données projet'!$B$16,Paramètres!$A$1:$I$89,5,0)</f>
        <v>0</v>
      </c>
      <c r="FG55" s="14" t="e">
        <f t="shared" si="47"/>
        <v>#NUM!</v>
      </c>
      <c r="FH55" s="22" t="e">
        <f t="shared" si="22"/>
        <v>#NUM!</v>
      </c>
      <c r="FI55" s="60" t="e">
        <f t="shared" si="23"/>
        <v>#NUM!</v>
      </c>
      <c r="FJ55" s="60">
        <f ca="1">AVERAGE(OFFSET($FI$3,0,0,'Données projet'!$E$16+1,1))-AVERAGE(OFFSET($H$3,0,0,'Données projet'!$E$16+1,1))</f>
        <v>207.03241199974599</v>
      </c>
      <c r="FK55" s="60">
        <f t="shared" si="48"/>
        <v>314.188568589113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8.7326346172166254</v>
      </c>
      <c r="FR55" s="23">
        <f>EXP(-LN(2)/25)*FR54+(1-EXP(-LN(2)/25))/(LN(2)/25)*Calculateur!FM55*Calculateur!FO55*VLOOKUP('Données projet'!$B$16,Paramètres!$A$1:$I$89,3,0)*0.475*44/12</f>
        <v>5.2975138412470839</v>
      </c>
      <c r="FS55" s="23">
        <f>EXP(-LN(2)/2)*FS54+(1-EXP(-LN(2)/2))/(LN(2)/2)*FM55*FP55*VLOOKUP('Données projet'!$B$16,Paramètres!$A$1:$I$89,3,0)*0.475*44/12</f>
        <v>1.4279432113832079E-3</v>
      </c>
      <c r="FT55" s="24">
        <f t="shared" si="24"/>
        <v>14.031576401675093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4.8717948717948731</v>
      </c>
      <c r="N56" s="14">
        <f>IF('Données projet'!$A$36&gt;35,N55+M56-V55,IF(A56&lt;'Données projet'!$A$36,$K$205^A56,IF(A56='Données projet'!$A$36,'Données projet'!$B$36,N55+M56-V55)))</f>
        <v>172.94871794871787</v>
      </c>
      <c r="O56" s="14">
        <f>N56*VLOOKUP('Données projet'!$B$9,Paramètres!$A$1:$I$89,3,0)*VLOOKUP('Données projet'!$B$9,Paramètres!$A$1:$I$89,5,0)</f>
        <v>164.57799999999992</v>
      </c>
      <c r="P56" s="14">
        <f t="shared" si="33"/>
        <v>41.873394619387192</v>
      </c>
      <c r="Q56" s="22">
        <f t="shared" si="53"/>
        <v>359.56951229543256</v>
      </c>
      <c r="R56" s="60">
        <f t="shared" si="0"/>
        <v>652.90284562876582</v>
      </c>
      <c r="S56" s="60">
        <f ca="1">AVERAGE(OFFSET($R$3,0,0,'Données projet'!$E$9+1,1))-AVERAGE(OFFSET($H$3,0,0,'Données projet'!$E$9+1,1))</f>
        <v>353.61481736740694</v>
      </c>
      <c r="T56" s="60">
        <f t="shared" si="34"/>
        <v>244.7141066773861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175.06319999999999</v>
      </c>
      <c r="AK56" s="14">
        <f t="shared" si="35"/>
        <v>44.22206774682472</v>
      </c>
      <c r="AL56" s="22">
        <f t="shared" si="4"/>
        <v>381.9218413257197</v>
      </c>
      <c r="AM56" s="60">
        <f t="shared" si="5"/>
        <v>675.25517465905295</v>
      </c>
      <c r="AN56" s="60">
        <f ca="1">AVERAGE(OFFSET($AM$3,0,0,'Données projet'!$E$10+1,1))-AVERAGE(OFFSET($H$3,0,0,'Données projet'!$E$10+1,1))</f>
        <v>455.50822833641354</v>
      </c>
      <c r="AO56" s="60">
        <f t="shared" si="36"/>
        <v>261.14722581688039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189.18120000000002</v>
      </c>
      <c r="BF56" s="14">
        <f t="shared" si="37"/>
        <v>47.358882320604579</v>
      </c>
      <c r="BG56" s="22">
        <f t="shared" si="7"/>
        <v>411.97397670838632</v>
      </c>
      <c r="BH56" s="60">
        <f t="shared" si="8"/>
        <v>705.30731004171957</v>
      </c>
      <c r="BI56" s="60">
        <f ca="1">AVERAGE(OFFSET($BH$3,0,0,'Données projet'!$E$11+1,1))-AVERAGE(OFFSET($H$3,0,0,'Données projet'!$E$11+1,1))</f>
        <v>488.7825919901664</v>
      </c>
      <c r="BJ56" s="60">
        <f t="shared" si="38"/>
        <v>278.78817181412438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183.53400000000002</v>
      </c>
      <c r="CA56" s="14">
        <f t="shared" si="39"/>
        <v>46.107544136839593</v>
      </c>
      <c r="CB56" s="22">
        <f t="shared" si="10"/>
        <v>399.95902270499568</v>
      </c>
      <c r="CC56" s="60">
        <f t="shared" si="11"/>
        <v>693.29235603832899</v>
      </c>
      <c r="CD56" s="60">
        <f ca="1">AVERAGE(OFFSET($CC$3,0,0,'Données projet'!$E$12+1,1))-AVERAGE(OFFSET($H$3,0,0,'Données projet'!$E$12+1,1))</f>
        <v>475.47920969424894</v>
      </c>
      <c r="CE56" s="60">
        <f t="shared" si="40"/>
        <v>271.73544012419364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163.7688</v>
      </c>
      <c r="CV56" s="14">
        <f t="shared" si="41"/>
        <v>41.691423503509803</v>
      </c>
      <c r="CW56" s="22">
        <f t="shared" si="13"/>
        <v>357.84322260194625</v>
      </c>
      <c r="CX56" s="60">
        <f t="shared" si="14"/>
        <v>651.17655593527957</v>
      </c>
      <c r="CY56" s="60">
        <f ca="1">AVERAGE(OFFSET($CX$3,0,0,'Données projet'!$E$13+1,1))-AVERAGE(OFFSET($H$3,0,0,'Données projet'!$E$13+1,1))</f>
        <v>428.8489304403459</v>
      </c>
      <c r="CZ56" s="60">
        <f t="shared" si="42"/>
        <v>247.01165577562966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194.82839999999999</v>
      </c>
      <c r="DQ56" s="14">
        <f t="shared" si="43"/>
        <v>48.605879434898533</v>
      </c>
      <c r="DR56" s="22">
        <f t="shared" si="16"/>
        <v>423.98137001578152</v>
      </c>
      <c r="DS56" s="60">
        <f t="shared" si="17"/>
        <v>717.31470334911478</v>
      </c>
      <c r="DT56" s="60">
        <f ca="1">AVERAGE(OFFSET($DS$3,0,0,'Données projet'!$E$14+1,1))-AVERAGE(OFFSET($H$3,0,0,'Données projet'!$E$14+1,1))</f>
        <v>502.07782026233912</v>
      </c>
      <c r="DU56" s="60">
        <f t="shared" si="44"/>
        <v>285.83623046025156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17.625</v>
      </c>
      <c r="EJ56" s="13">
        <f>IF('Données projet'!$A$192&gt;35,EJ55+EI56-ER55,IF(A56&lt;'Données projet'!$A$192,$EG$205^A56,IF(A56='Données projet'!$A$192,'Données projet'!$B$192,EJ55+EI56-ER55)))</f>
        <v>351.87499999999983</v>
      </c>
      <c r="EK56" s="18">
        <f>EJ56*VLOOKUP('Données projet'!$B$15,Paramètres!$A$1:$I$89,3,0)*VLOOKUP('Données projet'!$B$15,Paramètres!$A$1:$I$89,5,0)</f>
        <v>210.4212499999999</v>
      </c>
      <c r="EL56" s="14">
        <f t="shared" si="45"/>
        <v>52.027628682866947</v>
      </c>
      <c r="EM56" s="22">
        <f t="shared" si="19"/>
        <v>457.09846370599308</v>
      </c>
      <c r="EN56" s="60">
        <f t="shared" si="20"/>
        <v>750.4317970393264</v>
      </c>
      <c r="EO56" s="60">
        <f ca="1">AVERAGE(OFFSET($EN$3,0,0,'Données projet'!$E$15+1,1))-AVERAGE(OFFSET($H$3,0,0,'Données projet'!$E$15+1,1))</f>
        <v>392.62423122800357</v>
      </c>
      <c r="EP56" s="60">
        <f t="shared" si="46"/>
        <v>314.09619163968642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5.9963681966269773</v>
      </c>
      <c r="EX56" s="23">
        <f>EXP(-LN(2)/2)*EX55+(1-EXP(-LN(2)/2))/(LN(2)/2)*ER56*EU56*VLOOKUP('Données projet'!$B$15,Paramètres!$A$1:$I$89,3,0)*0.475*44/12</f>
        <v>6.0780619326770398E-3</v>
      </c>
      <c r="EY56" s="24">
        <f t="shared" si="21"/>
        <v>6.0024462585596545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>
        <f>FE56*VLOOKUP('Données projet'!$B$16,Paramètres!$A$1:$I$89,3,0)*VLOOKUP('Données projet'!$B$16,Paramètres!$A$1:$I$89,5,0)</f>
        <v>0</v>
      </c>
      <c r="FG56" s="14" t="e">
        <f t="shared" si="47"/>
        <v>#NUM!</v>
      </c>
      <c r="FH56" s="22" t="e">
        <f t="shared" si="22"/>
        <v>#NUM!</v>
      </c>
      <c r="FI56" s="60" t="e">
        <f t="shared" si="23"/>
        <v>#NUM!</v>
      </c>
      <c r="FJ56" s="60">
        <f ca="1">AVERAGE(OFFSET($FI$3,0,0,'Données projet'!$E$16+1,1))-AVERAGE(OFFSET($H$3,0,0,'Données projet'!$E$16+1,1))</f>
        <v>207.03241199974599</v>
      </c>
      <c r="FK56" s="60">
        <f t="shared" si="48"/>
        <v>314.188568589113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8.5613929787541867</v>
      </c>
      <c r="FR56" s="23">
        <f>EXP(-LN(2)/25)*FR55+(1-EXP(-LN(2)/25))/(LN(2)/25)*Calculateur!FM56*Calculateur!FO56*VLOOKUP('Données projet'!$B$16,Paramètres!$A$1:$I$89,3,0)*0.475*44/12</f>
        <v>5.152653046674037</v>
      </c>
      <c r="FS56" s="23">
        <f>EXP(-LN(2)/2)*FS55+(1-EXP(-LN(2)/2))/(LN(2)/2)*FM56*FP56*VLOOKUP('Données projet'!$B$16,Paramètres!$A$1:$I$89,3,0)*0.475*44/12</f>
        <v>1.009708327918362E-3</v>
      </c>
      <c r="FT56" s="24">
        <f t="shared" si="24"/>
        <v>13.715055733756143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4.8717948717948731</v>
      </c>
      <c r="N57" s="14">
        <f>IF('Données projet'!$A$36&gt;35,N56+M57-V56,IF(A57&lt;'Données projet'!$A$36,$K$205^A57,IF(A57='Données projet'!$A$36,'Données projet'!$B$36,N56+M57-V56)))</f>
        <v>177.82051282051273</v>
      </c>
      <c r="O57" s="14">
        <f>N57*VLOOKUP('Données projet'!$B$9,Paramètres!$A$1:$I$89,3,0)*VLOOKUP('Données projet'!$B$9,Paramètres!$A$1:$I$89,5,0)</f>
        <v>169.21399999999991</v>
      </c>
      <c r="P57" s="14">
        <f t="shared" si="33"/>
        <v>42.913938280485205</v>
      </c>
      <c r="Q57" s="22">
        <f t="shared" si="53"/>
        <v>369.45615917184494</v>
      </c>
      <c r="R57" s="60">
        <f t="shared" si="0"/>
        <v>662.78949250517826</v>
      </c>
      <c r="S57" s="60">
        <f ca="1">AVERAGE(OFFSET($R$3,0,0,'Données projet'!$E$9+1,1))-AVERAGE(OFFSET($H$3,0,0,'Données projet'!$E$9+1,1))</f>
        <v>353.61481736740694</v>
      </c>
      <c r="T57" s="60">
        <f t="shared" si="34"/>
        <v>244.7141066773861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182.80079999999998</v>
      </c>
      <c r="AK57" s="14">
        <f t="shared" si="35"/>
        <v>45.944751507471658</v>
      </c>
      <c r="AL57" s="22">
        <f t="shared" si="4"/>
        <v>398.39850220884642</v>
      </c>
      <c r="AM57" s="60">
        <f t="shared" si="5"/>
        <v>691.73183554217974</v>
      </c>
      <c r="AN57" s="60">
        <f ca="1">AVERAGE(OFFSET($AM$3,0,0,'Données projet'!$E$10+1,1))-AVERAGE(OFFSET($H$3,0,0,'Données projet'!$E$10+1,1))</f>
        <v>455.50822833641354</v>
      </c>
      <c r="AO57" s="60">
        <f t="shared" si="36"/>
        <v>261.14722581688039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197.54280000000003</v>
      </c>
      <c r="BF57" s="14">
        <f t="shared" si="37"/>
        <v>49.203761623019211</v>
      </c>
      <c r="BG57" s="22">
        <f t="shared" si="7"/>
        <v>429.75026149342511</v>
      </c>
      <c r="BH57" s="60">
        <f t="shared" si="8"/>
        <v>723.08359482675837</v>
      </c>
      <c r="BI57" s="60">
        <f ca="1">AVERAGE(OFFSET($BH$3,0,0,'Données projet'!$E$11+1,1))-AVERAGE(OFFSET($H$3,0,0,'Données projet'!$E$11+1,1))</f>
        <v>488.7825919901664</v>
      </c>
      <c r="BJ57" s="60">
        <f t="shared" si="38"/>
        <v>278.78817181412438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191.64600000000002</v>
      </c>
      <c r="CA57" s="14">
        <f t="shared" si="39"/>
        <v>47.903677189291635</v>
      </c>
      <c r="CB57" s="22">
        <f t="shared" si="10"/>
        <v>417.21568777134962</v>
      </c>
      <c r="CC57" s="60">
        <f t="shared" si="11"/>
        <v>710.54902110468288</v>
      </c>
      <c r="CD57" s="60">
        <f ca="1">AVERAGE(OFFSET($CC$3,0,0,'Données projet'!$E$12+1,1))-AVERAGE(OFFSET($H$3,0,0,'Données projet'!$E$12+1,1))</f>
        <v>475.47920969424894</v>
      </c>
      <c r="CE57" s="60">
        <f t="shared" si="40"/>
        <v>271.73544012419364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171.00719999999998</v>
      </c>
      <c r="CV57" s="14">
        <f t="shared" si="41"/>
        <v>43.315525267338089</v>
      </c>
      <c r="CW57" s="22">
        <f t="shared" si="13"/>
        <v>373.27874650728046</v>
      </c>
      <c r="CX57" s="60">
        <f t="shared" si="14"/>
        <v>666.61207984061377</v>
      </c>
      <c r="CY57" s="60">
        <f ca="1">AVERAGE(OFFSET($CX$3,0,0,'Données projet'!$E$13+1,1))-AVERAGE(OFFSET($H$3,0,0,'Données projet'!$E$13+1,1))</f>
        <v>428.8489304403459</v>
      </c>
      <c r="CZ57" s="60">
        <f t="shared" si="42"/>
        <v>247.01165577562966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203.43960000000001</v>
      </c>
      <c r="DQ57" s="14">
        <f t="shared" si="43"/>
        <v>50.499335879627459</v>
      </c>
      <c r="DR57" s="22">
        <f t="shared" si="16"/>
        <v>442.27697999035109</v>
      </c>
      <c r="DS57" s="60">
        <f t="shared" si="17"/>
        <v>735.61031332368441</v>
      </c>
      <c r="DT57" s="60">
        <f ca="1">AVERAGE(OFFSET($DS$3,0,0,'Données projet'!$E$14+1,1))-AVERAGE(OFFSET($H$3,0,0,'Données projet'!$E$14+1,1))</f>
        <v>502.07782026233912</v>
      </c>
      <c r="DU57" s="60">
        <f t="shared" si="44"/>
        <v>285.83623046025156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17.625</v>
      </c>
      <c r="EJ57" s="13">
        <f>IF('Données projet'!$A$192&gt;35,EJ56+EI57-ER56,IF(A57&lt;'Données projet'!$A$192,$EG$205^A57,IF(A57='Données projet'!$A$192,'Données projet'!$B$192,EJ56+EI57-ER56)))</f>
        <v>369.49999999999983</v>
      </c>
      <c r="EK57" s="18">
        <f>EJ57*VLOOKUP('Données projet'!$B$15,Paramètres!$A$1:$I$89,3,0)*VLOOKUP('Données projet'!$B$15,Paramètres!$A$1:$I$89,5,0)</f>
        <v>220.96099999999993</v>
      </c>
      <c r="EL57" s="14">
        <f t="shared" si="45"/>
        <v>54.323701308314696</v>
      </c>
      <c r="EM57" s="22">
        <f t="shared" si="19"/>
        <v>479.45418811198141</v>
      </c>
      <c r="EN57" s="60">
        <f t="shared" si="20"/>
        <v>772.78752144531472</v>
      </c>
      <c r="EO57" s="60">
        <f ca="1">AVERAGE(OFFSET($EN$3,0,0,'Données projet'!$E$15+1,1))-AVERAGE(OFFSET($H$3,0,0,'Données projet'!$E$15+1,1))</f>
        <v>392.62423122800357</v>
      </c>
      <c r="EP57" s="60">
        <f t="shared" si="46"/>
        <v>314.09619163968642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5.8323971929549137</v>
      </c>
      <c r="EX57" s="23">
        <f>EXP(-LN(2)/2)*EX56+(1-EXP(-LN(2)/2))/(LN(2)/2)*ER57*EU57*VLOOKUP('Données projet'!$B$15,Paramètres!$A$1:$I$89,3,0)*0.475*44/12</f>
        <v>4.2978388090677477E-3</v>
      </c>
      <c r="EY57" s="24">
        <f t="shared" si="21"/>
        <v>5.8366950317639814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>
        <f>FE57*VLOOKUP('Données projet'!$B$16,Paramètres!$A$1:$I$89,3,0)*VLOOKUP('Données projet'!$B$16,Paramètres!$A$1:$I$89,5,0)</f>
        <v>0</v>
      </c>
      <c r="FG57" s="14" t="e">
        <f t="shared" si="47"/>
        <v>#NUM!</v>
      </c>
      <c r="FH57" s="22" t="e">
        <f t="shared" si="22"/>
        <v>#NUM!</v>
      </c>
      <c r="FI57" s="60" t="e">
        <f t="shared" si="23"/>
        <v>#NUM!</v>
      </c>
      <c r="FJ57" s="60">
        <f ca="1">AVERAGE(OFFSET($FI$3,0,0,'Données projet'!$E$16+1,1))-AVERAGE(OFFSET($H$3,0,0,'Données projet'!$E$16+1,1))</f>
        <v>207.03241199974599</v>
      </c>
      <c r="FK57" s="60">
        <f t="shared" si="48"/>
        <v>314.188568589113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8.3935092843749111</v>
      </c>
      <c r="FR57" s="23">
        <f>EXP(-LN(2)/25)*FR56+(1-EXP(-LN(2)/25))/(LN(2)/25)*Calculateur!FM57*Calculateur!FO57*VLOOKUP('Données projet'!$B$16,Paramètres!$A$1:$I$89,3,0)*0.475*44/12</f>
        <v>5.0117534781464883</v>
      </c>
      <c r="FS57" s="23">
        <f>EXP(-LN(2)/2)*FS56+(1-EXP(-LN(2)/2))/(LN(2)/2)*FM57*FP57*VLOOKUP('Données projet'!$B$16,Paramètres!$A$1:$I$89,3,0)*0.475*44/12</f>
        <v>7.1397160569160395E-4</v>
      </c>
      <c r="FT57" s="24">
        <f t="shared" si="24"/>
        <v>13.405976734127091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182.69230769230768</v>
      </c>
      <c r="L58" s="13">
        <f>VLOOKUP(A58,'Données projet'!$A$35:$I$55,9,0)</f>
        <v>4.8717948717948731</v>
      </c>
      <c r="M58" s="13">
        <f t="array" ref="M58">INDEX(L:L,MIN(IF(ISNUMBER(L58:L254),ROW(L58:L254),"")))</f>
        <v>4.8717948717948731</v>
      </c>
      <c r="N58" s="14">
        <f>IF('Données projet'!$A$36&gt;35,N57+M58-V57,IF(A58&lt;'Données projet'!$A$36,$K$205^A58,IF(A58='Données projet'!$A$36,'Données projet'!$B$36,N57+M58-V57)))</f>
        <v>182.69230769230759</v>
      </c>
      <c r="O58" s="14">
        <f>N58*VLOOKUP('Données projet'!$B$9,Paramètres!$A$1:$I$89,3,0)*VLOOKUP('Données projet'!$B$9,Paramètres!$A$1:$I$89,5,0)</f>
        <v>173.84999999999991</v>
      </c>
      <c r="P58" s="14">
        <f t="shared" si="33"/>
        <v>43.951168452592761</v>
      </c>
      <c r="Q58" s="22">
        <f t="shared" si="53"/>
        <v>379.33703505493219</v>
      </c>
      <c r="R58" s="60">
        <f t="shared" si="0"/>
        <v>672.6703683882655</v>
      </c>
      <c r="S58" s="60">
        <f ca="1">AVERAGE(OFFSET($R$3,0,0,'Données projet'!$E$9+1,1))-AVERAGE(OFFSET($H$3,0,0,'Données projet'!$E$9+1,1))</f>
        <v>353.61481736740694</v>
      </c>
      <c r="T58" s="60">
        <f t="shared" si="34"/>
        <v>244.7141066773861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28.205128205128204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190.5384</v>
      </c>
      <c r="AK58" s="14">
        <f t="shared" si="35"/>
        <v>47.658965836673829</v>
      </c>
      <c r="AL58" s="22">
        <f t="shared" si="4"/>
        <v>414.86041216554025</v>
      </c>
      <c r="AM58" s="60">
        <f t="shared" si="5"/>
        <v>708.19374549887357</v>
      </c>
      <c r="AN58" s="60">
        <f ca="1">AVERAGE(OFFSET($AM$3,0,0,'Données projet'!$E$10+1,1))-AVERAGE(OFFSET($H$3,0,0,'Données projet'!$E$10+1,1))</f>
        <v>455.50822833641354</v>
      </c>
      <c r="AO58" s="60">
        <f t="shared" si="36"/>
        <v>261.14722581688039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205.90440000000001</v>
      </c>
      <c r="BF58" s="14">
        <f t="shared" si="37"/>
        <v>51.039570729770148</v>
      </c>
      <c r="BG58" s="22">
        <f t="shared" si="7"/>
        <v>447.51074902101635</v>
      </c>
      <c r="BH58" s="60">
        <f t="shared" si="8"/>
        <v>740.84408235434967</v>
      </c>
      <c r="BI58" s="60">
        <f ca="1">AVERAGE(OFFSET($BH$3,0,0,'Données projet'!$E$11+1,1))-AVERAGE(OFFSET($H$3,0,0,'Données projet'!$E$11+1,1))</f>
        <v>488.7825919901664</v>
      </c>
      <c r="BJ58" s="60">
        <f t="shared" si="38"/>
        <v>278.78817181412438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199.75800000000004</v>
      </c>
      <c r="CA58" s="14">
        <f t="shared" si="39"/>
        <v>49.690979702964015</v>
      </c>
      <c r="CB58" s="22">
        <f t="shared" si="10"/>
        <v>434.45697298266236</v>
      </c>
      <c r="CC58" s="60">
        <f t="shared" si="11"/>
        <v>727.79030631599562</v>
      </c>
      <c r="CD58" s="60">
        <f ca="1">AVERAGE(OFFSET($CC$3,0,0,'Données projet'!$E$12+1,1))-AVERAGE(OFFSET($H$3,0,0,'Données projet'!$E$12+1,1))</f>
        <v>475.47920969424894</v>
      </c>
      <c r="CE58" s="60">
        <f t="shared" si="40"/>
        <v>271.73544012419364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178.2456</v>
      </c>
      <c r="CV58" s="14">
        <f t="shared" si="41"/>
        <v>44.931642269910427</v>
      </c>
      <c r="CW58" s="22">
        <f t="shared" si="13"/>
        <v>388.70036362009404</v>
      </c>
      <c r="CX58" s="60">
        <f t="shared" si="14"/>
        <v>682.03369695342735</v>
      </c>
      <c r="CY58" s="60">
        <f ca="1">AVERAGE(OFFSET($CX$3,0,0,'Données projet'!$E$13+1,1))-AVERAGE(OFFSET($H$3,0,0,'Données projet'!$E$13+1,1))</f>
        <v>428.8489304403459</v>
      </c>
      <c r="CZ58" s="60">
        <f t="shared" si="42"/>
        <v>247.01165577562966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212.05079999999998</v>
      </c>
      <c r="DQ58" s="14">
        <f t="shared" si="43"/>
        <v>52.383483303212302</v>
      </c>
      <c r="DR58" s="22">
        <f t="shared" si="16"/>
        <v>460.55637675309475</v>
      </c>
      <c r="DS58" s="60">
        <f t="shared" si="17"/>
        <v>753.88971008642807</v>
      </c>
      <c r="DT58" s="60">
        <f ca="1">AVERAGE(OFFSET($DS$3,0,0,'Données projet'!$E$14+1,1))-AVERAGE(OFFSET($H$3,0,0,'Données projet'!$E$14+1,1))</f>
        <v>502.07782026233912</v>
      </c>
      <c r="DU58" s="60">
        <f t="shared" si="44"/>
        <v>285.83623046025156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17.625</v>
      </c>
      <c r="EJ58" s="13">
        <f>IF('Données projet'!$A$192&gt;35,EJ57+EI58-ER57,IF(A58&lt;'Données projet'!$A$192,$EG$205^A58,IF(A58='Données projet'!$A$192,'Données projet'!$B$192,EJ57+EI58-ER57)))</f>
        <v>387.12499999999983</v>
      </c>
      <c r="EK58" s="18">
        <f>EJ58*VLOOKUP('Données projet'!$B$15,Paramètres!$A$1:$I$89,3,0)*VLOOKUP('Données projet'!$B$15,Paramètres!$A$1:$I$89,5,0)</f>
        <v>231.50074999999993</v>
      </c>
      <c r="EL58" s="14">
        <f t="shared" si="45"/>
        <v>56.607055837426699</v>
      </c>
      <c r="EM58" s="22">
        <f t="shared" si="19"/>
        <v>501.787761833518</v>
      </c>
      <c r="EN58" s="60">
        <f t="shared" si="20"/>
        <v>795.12109516685132</v>
      </c>
      <c r="EO58" s="60">
        <f ca="1">AVERAGE(OFFSET($EN$3,0,0,'Données projet'!$E$15+1,1))-AVERAGE(OFFSET($H$3,0,0,'Données projet'!$E$15+1,1))</f>
        <v>392.62423122800357</v>
      </c>
      <c r="EP58" s="60">
        <f t="shared" si="46"/>
        <v>314.09619163968642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5.6729099850011231</v>
      </c>
      <c r="EX58" s="23">
        <f>EXP(-LN(2)/2)*EX57+(1-EXP(-LN(2)/2))/(LN(2)/2)*ER58*EU58*VLOOKUP('Données projet'!$B$15,Paramètres!$A$1:$I$89,3,0)*0.475*44/12</f>
        <v>3.0390309663385199E-3</v>
      </c>
      <c r="EY58" s="24">
        <f t="shared" si="21"/>
        <v>5.6759490159674613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>
        <f>FE58*VLOOKUP('Données projet'!$B$16,Paramètres!$A$1:$I$89,3,0)*VLOOKUP('Données projet'!$B$16,Paramètres!$A$1:$I$89,5,0)</f>
        <v>0</v>
      </c>
      <c r="FG58" s="14" t="e">
        <f t="shared" si="47"/>
        <v>#NUM!</v>
      </c>
      <c r="FH58" s="22" t="e">
        <f t="shared" si="22"/>
        <v>#NUM!</v>
      </c>
      <c r="FI58" s="60" t="e">
        <f t="shared" si="23"/>
        <v>#NUM!</v>
      </c>
      <c r="FJ58" s="60">
        <f ca="1">AVERAGE(OFFSET($FI$3,0,0,'Données projet'!$E$16+1,1))-AVERAGE(OFFSET($H$3,0,0,'Données projet'!$E$16+1,1))</f>
        <v>207.03241199974599</v>
      </c>
      <c r="FK58" s="60">
        <f t="shared" si="48"/>
        <v>314.188568589113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8.2289176868434701</v>
      </c>
      <c r="FR58" s="23">
        <f>EXP(-LN(2)/25)*FR57+(1-EXP(-LN(2)/25))/(LN(2)/25)*Calculateur!FM58*Calculateur!FO58*VLOOKUP('Données projet'!$B$16,Paramètres!$A$1:$I$89,3,0)*0.475*44/12</f>
        <v>4.8747068157299118</v>
      </c>
      <c r="FS58" s="23">
        <f>EXP(-LN(2)/2)*FS57+(1-EXP(-LN(2)/2))/(LN(2)/2)*FM58*FP58*VLOOKUP('Données projet'!$B$16,Paramètres!$A$1:$I$89,3,0)*0.475*44/12</f>
        <v>5.0485416395918098E-4</v>
      </c>
      <c r="FT58" s="24">
        <f t="shared" si="24"/>
        <v>13.10412935673734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4.7435897435897463</v>
      </c>
      <c r="N59" s="14">
        <f>IF('Données projet'!$A$36&gt;35,N58+M59-V58,IF(A59&lt;'Données projet'!$A$36,$K$205^A59,IF(A59='Données projet'!$A$36,'Données projet'!$B$36,N58+M59-V58)))</f>
        <v>159.23076923076914</v>
      </c>
      <c r="O59" s="14">
        <f>N59*VLOOKUP('Données projet'!$B$9,Paramètres!$A$1:$I$89,3,0)*VLOOKUP('Données projet'!$B$9,Paramètres!$A$1:$I$89,5,0)</f>
        <v>151.52399999999992</v>
      </c>
      <c r="P59" s="14">
        <f t="shared" si="33"/>
        <v>38.924716067948651</v>
      </c>
      <c r="Q59" s="22">
        <f t="shared" si="53"/>
        <v>331.69818048501043</v>
      </c>
      <c r="R59" s="60">
        <f t="shared" si="0"/>
        <v>625.03151381834368</v>
      </c>
      <c r="S59" s="60">
        <f ca="1">AVERAGE(OFFSET($R$3,0,0,'Données projet'!$E$9+1,1))-AVERAGE(OFFSET($H$3,0,0,'Données projet'!$E$9+1,1))</f>
        <v>353.61481736740694</v>
      </c>
      <c r="T59" s="60">
        <f t="shared" si="34"/>
        <v>244.7141066773861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197.88911999999999</v>
      </c>
      <c r="AK59" s="14">
        <f t="shared" si="35"/>
        <v>49.279974103179534</v>
      </c>
      <c r="AL59" s="22">
        <f t="shared" si="4"/>
        <v>430.48617222970438</v>
      </c>
      <c r="AM59" s="60">
        <f t="shared" si="5"/>
        <v>723.81950556303764</v>
      </c>
      <c r="AN59" s="60">
        <f ca="1">AVERAGE(OFFSET($AM$3,0,0,'Données projet'!$E$10+1,1))-AVERAGE(OFFSET($H$3,0,0,'Données projet'!$E$10+1,1))</f>
        <v>455.50822833641354</v>
      </c>
      <c r="AO59" s="60">
        <f t="shared" si="36"/>
        <v>261.14722581688039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213.84791999999999</v>
      </c>
      <c r="BF59" s="14">
        <f t="shared" si="37"/>
        <v>52.77556236574889</v>
      </c>
      <c r="BG59" s="22">
        <f t="shared" si="7"/>
        <v>464.36923178701255</v>
      </c>
      <c r="BH59" s="60">
        <f t="shared" si="8"/>
        <v>757.70256512034587</v>
      </c>
      <c r="BI59" s="60">
        <f ca="1">AVERAGE(OFFSET($BH$3,0,0,'Données projet'!$E$11+1,1))-AVERAGE(OFFSET($H$3,0,0,'Données projet'!$E$11+1,1))</f>
        <v>488.7825919901664</v>
      </c>
      <c r="BJ59" s="60">
        <f t="shared" si="38"/>
        <v>278.78817181412438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207.46440000000001</v>
      </c>
      <c r="CA59" s="14">
        <f t="shared" si="39"/>
        <v>51.381102169014063</v>
      </c>
      <c r="CB59" s="22">
        <f t="shared" si="10"/>
        <v>450.82258294436616</v>
      </c>
      <c r="CC59" s="60">
        <f t="shared" si="11"/>
        <v>744.15591627769948</v>
      </c>
      <c r="CD59" s="60">
        <f ca="1">AVERAGE(OFFSET($CC$3,0,0,'Données projet'!$E$12+1,1))-AVERAGE(OFFSET($H$3,0,0,'Données projet'!$E$12+1,1))</f>
        <v>475.47920969424894</v>
      </c>
      <c r="CE59" s="60">
        <f t="shared" si="40"/>
        <v>271.73544012419364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185.12207999999998</v>
      </c>
      <c r="CV59" s="14">
        <f t="shared" si="41"/>
        <v>46.459887003478677</v>
      </c>
      <c r="CW59" s="22">
        <f t="shared" si="13"/>
        <v>403.33859253105862</v>
      </c>
      <c r="CX59" s="60">
        <f t="shared" si="14"/>
        <v>696.67192586439194</v>
      </c>
      <c r="CY59" s="60">
        <f ca="1">AVERAGE(OFFSET($CX$3,0,0,'Données projet'!$E$13+1,1))-AVERAGE(OFFSET($H$3,0,0,'Données projet'!$E$13+1,1))</f>
        <v>428.8489304403459</v>
      </c>
      <c r="CZ59" s="60">
        <f t="shared" si="42"/>
        <v>247.01165577562966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220.23143999999996</v>
      </c>
      <c r="DQ59" s="14">
        <f t="shared" si="43"/>
        <v>54.165184982469711</v>
      </c>
      <c r="DR59" s="22">
        <f t="shared" si="16"/>
        <v>477.9074551778013</v>
      </c>
      <c r="DS59" s="60">
        <f t="shared" si="17"/>
        <v>771.24078851113461</v>
      </c>
      <c r="DT59" s="60">
        <f ca="1">AVERAGE(OFFSET($DS$3,0,0,'Données projet'!$E$14+1,1))-AVERAGE(OFFSET($H$3,0,0,'Données projet'!$E$14+1,1))</f>
        <v>502.07782026233912</v>
      </c>
      <c r="DU59" s="60">
        <f t="shared" si="44"/>
        <v>285.83623046025156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17.625</v>
      </c>
      <c r="EJ59" s="13">
        <f>IF('Données projet'!$A$192&gt;35,EJ58+EI59-ER58,IF(A59&lt;'Données projet'!$A$192,$EG$205^A59,IF(A59='Données projet'!$A$192,'Données projet'!$B$192,EJ58+EI59-ER58)))</f>
        <v>404.74999999999983</v>
      </c>
      <c r="EK59" s="18">
        <f>EJ59*VLOOKUP('Données projet'!$B$15,Paramètres!$A$1:$I$89,3,0)*VLOOKUP('Données projet'!$B$15,Paramètres!$A$1:$I$89,5,0)</f>
        <v>242.04049999999989</v>
      </c>
      <c r="EL59" s="14">
        <f t="shared" si="45"/>
        <v>58.878337443371535</v>
      </c>
      <c r="EM59" s="22">
        <f t="shared" si="19"/>
        <v>524.10030854720515</v>
      </c>
      <c r="EN59" s="60">
        <f t="shared" si="20"/>
        <v>817.43364188053852</v>
      </c>
      <c r="EO59" s="60">
        <f ca="1">AVERAGE(OFFSET($EN$3,0,0,'Données projet'!$E$15+1,1))-AVERAGE(OFFSET($H$3,0,0,'Données projet'!$E$15+1,1))</f>
        <v>392.62423122800357</v>
      </c>
      <c r="EP59" s="60">
        <f t="shared" si="46"/>
        <v>314.09619163968642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5.5177839631358969</v>
      </c>
      <c r="EX59" s="23">
        <f>EXP(-LN(2)/2)*EX58+(1-EXP(-LN(2)/2))/(LN(2)/2)*ER59*EU59*VLOOKUP('Données projet'!$B$15,Paramètres!$A$1:$I$89,3,0)*0.475*44/12</f>
        <v>2.1489194045338738E-3</v>
      </c>
      <c r="EY59" s="24">
        <f t="shared" si="21"/>
        <v>5.5199328825404308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>
        <f>FE59*VLOOKUP('Données projet'!$B$16,Paramètres!$A$1:$I$89,3,0)*VLOOKUP('Données projet'!$B$16,Paramètres!$A$1:$I$89,5,0)</f>
        <v>0</v>
      </c>
      <c r="FG59" s="14" t="e">
        <f t="shared" si="47"/>
        <v>#NUM!</v>
      </c>
      <c r="FH59" s="22" t="e">
        <f t="shared" si="22"/>
        <v>#NUM!</v>
      </c>
      <c r="FI59" s="60" t="e">
        <f t="shared" si="23"/>
        <v>#NUM!</v>
      </c>
      <c r="FJ59" s="60">
        <f ca="1">AVERAGE(OFFSET($FI$3,0,0,'Données projet'!$E$16+1,1))-AVERAGE(OFFSET($H$3,0,0,'Données projet'!$E$16+1,1))</f>
        <v>207.03241199974599</v>
      </c>
      <c r="FK59" s="60">
        <f t="shared" si="48"/>
        <v>314.188568589113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8.0675536301486588</v>
      </c>
      <c r="FR59" s="23">
        <f>EXP(-LN(2)/25)*FR58+(1-EXP(-LN(2)/25))/(LN(2)/25)*Calculateur!FM59*Calculateur!FO59*VLOOKUP('Données projet'!$B$16,Paramètres!$A$1:$I$89,3,0)*0.475*44/12</f>
        <v>4.7414077015040874</v>
      </c>
      <c r="FS59" s="23">
        <f>EXP(-LN(2)/2)*FS58+(1-EXP(-LN(2)/2))/(LN(2)/2)*FM59*FP59*VLOOKUP('Données projet'!$B$16,Paramètres!$A$1:$I$89,3,0)*0.475*44/12</f>
        <v>3.5698580284580198E-4</v>
      </c>
      <c r="FT59" s="24">
        <f t="shared" si="24"/>
        <v>12.809318317455592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4.7435897435897463</v>
      </c>
      <c r="N60" s="14">
        <f>IF('Données projet'!$A$36&gt;35,N59+M60-V59,IF(A60&lt;'Données projet'!$A$36,$K$205^A60,IF(A60='Données projet'!$A$36,'Données projet'!$B$36,N59+M60-V59)))</f>
        <v>163.97435897435889</v>
      </c>
      <c r="O60" s="14">
        <f>N60*VLOOKUP('Données projet'!$B$9,Paramètres!$A$1:$I$89,3,0)*VLOOKUP('Données projet'!$B$9,Paramètres!$A$1:$I$89,5,0)</f>
        <v>156.03799999999993</v>
      </c>
      <c r="P60" s="14">
        <f t="shared" si="33"/>
        <v>39.94757532752773</v>
      </c>
      <c r="Q60" s="22">
        <f t="shared" si="53"/>
        <v>341.34154369544399</v>
      </c>
      <c r="R60" s="60">
        <f t="shared" si="0"/>
        <v>634.67487702877725</v>
      </c>
      <c r="S60" s="60">
        <f ca="1">AVERAGE(OFFSET($R$3,0,0,'Données projet'!$E$9+1,1))-AVERAGE(OFFSET($H$3,0,0,'Données projet'!$E$9+1,1))</f>
        <v>353.61481736740694</v>
      </c>
      <c r="T60" s="60">
        <f t="shared" si="34"/>
        <v>244.7141066773861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205.23983999999999</v>
      </c>
      <c r="AK60" s="14">
        <f t="shared" si="35"/>
        <v>50.893986960458122</v>
      </c>
      <c r="AL60" s="22">
        <f t="shared" si="4"/>
        <v>446.0997486227979</v>
      </c>
      <c r="AM60" s="60">
        <f t="shared" si="5"/>
        <v>739.43308195613122</v>
      </c>
      <c r="AN60" s="60">
        <f ca="1">AVERAGE(OFFSET($AM$3,0,0,'Données projet'!$E$10+1,1))-AVERAGE(OFFSET($H$3,0,0,'Données projet'!$E$10+1,1))</f>
        <v>455.50822833641354</v>
      </c>
      <c r="AO60" s="60">
        <f t="shared" si="36"/>
        <v>261.14722581688039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221.79144000000002</v>
      </c>
      <c r="BF60" s="14">
        <f t="shared" si="37"/>
        <v>54.504062385454226</v>
      </c>
      <c r="BG60" s="22">
        <f t="shared" si="7"/>
        <v>481.21466665466613</v>
      </c>
      <c r="BH60" s="60">
        <f t="shared" si="8"/>
        <v>774.54799998799945</v>
      </c>
      <c r="BI60" s="60">
        <f ca="1">AVERAGE(OFFSET($BH$3,0,0,'Données projet'!$E$11+1,1))-AVERAGE(OFFSET($H$3,0,0,'Données projet'!$E$11+1,1))</f>
        <v>488.7825919901664</v>
      </c>
      <c r="BJ60" s="60">
        <f t="shared" si="38"/>
        <v>278.78817181412438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215.17080000000001</v>
      </c>
      <c r="CA60" s="14">
        <f t="shared" si="39"/>
        <v>53.063930965723607</v>
      </c>
      <c r="CB60" s="22">
        <f t="shared" si="10"/>
        <v>467.17548976530185</v>
      </c>
      <c r="CC60" s="60">
        <f t="shared" si="11"/>
        <v>760.50882309863516</v>
      </c>
      <c r="CD60" s="60">
        <f ca="1">AVERAGE(OFFSET($CC$3,0,0,'Données projet'!$E$12+1,1))-AVERAGE(OFFSET($H$3,0,0,'Données projet'!$E$12+1,1))</f>
        <v>475.47920969424894</v>
      </c>
      <c r="CE60" s="60">
        <f t="shared" si="40"/>
        <v>271.73544012419364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191.99855999999997</v>
      </c>
      <c r="CV60" s="14">
        <f t="shared" si="41"/>
        <v>47.981536645873334</v>
      </c>
      <c r="CW60" s="22">
        <f t="shared" si="13"/>
        <v>417.96533499156266</v>
      </c>
      <c r="CX60" s="60">
        <f t="shared" si="14"/>
        <v>711.29866832489597</v>
      </c>
      <c r="CY60" s="60">
        <f ca="1">AVERAGE(OFFSET($CX$3,0,0,'Données projet'!$E$13+1,1))-AVERAGE(OFFSET($H$3,0,0,'Données projet'!$E$13+1,1))</f>
        <v>428.8489304403459</v>
      </c>
      <c r="CZ60" s="60">
        <f t="shared" si="42"/>
        <v>247.01165577562966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228.41207999999997</v>
      </c>
      <c r="DQ60" s="14">
        <f t="shared" si="43"/>
        <v>55.939197785226767</v>
      </c>
      <c r="DR60" s="22">
        <f t="shared" si="16"/>
        <v>495.24514214260324</v>
      </c>
      <c r="DS60" s="60">
        <f t="shared" si="17"/>
        <v>788.57847547593656</v>
      </c>
      <c r="DT60" s="60">
        <f ca="1">AVERAGE(OFFSET($DS$3,0,0,'Données projet'!$E$14+1,1))-AVERAGE(OFFSET($H$3,0,0,'Données projet'!$E$14+1,1))</f>
        <v>502.07782026233912</v>
      </c>
      <c r="DU60" s="60">
        <f t="shared" si="44"/>
        <v>285.83623046025156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17.625</v>
      </c>
      <c r="EJ60" s="13">
        <f>IF('Données projet'!$A$192&gt;35,EJ59+EI60-ER59,IF(A60&lt;'Données projet'!$A$192,$EG$205^A60,IF(A60='Données projet'!$A$192,'Données projet'!$B$192,EJ59+EI60-ER59)))</f>
        <v>422.37499999999983</v>
      </c>
      <c r="EK60" s="18">
        <f>EJ60*VLOOKUP('Données projet'!$B$15,Paramètres!$A$1:$I$89,3,0)*VLOOKUP('Données projet'!$B$15,Paramètres!$A$1:$I$89,5,0)</f>
        <v>252.58024999999992</v>
      </c>
      <c r="EL60" s="14">
        <f t="shared" si="45"/>
        <v>61.138131933251536</v>
      </c>
      <c r="EM60" s="22">
        <f t="shared" si="19"/>
        <v>546.39284853374625</v>
      </c>
      <c r="EN60" s="60">
        <f t="shared" si="20"/>
        <v>839.7261818670795</v>
      </c>
      <c r="EO60" s="60">
        <f ca="1">AVERAGE(OFFSET($EN$3,0,0,'Données projet'!$E$15+1,1))-AVERAGE(OFFSET($H$3,0,0,'Données projet'!$E$15+1,1))</f>
        <v>392.62423122800357</v>
      </c>
      <c r="EP60" s="60">
        <f t="shared" si="46"/>
        <v>314.09619163968642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5.3668998704962982</v>
      </c>
      <c r="EX60" s="23">
        <f>EXP(-LN(2)/2)*EX59+(1-EXP(-LN(2)/2))/(LN(2)/2)*ER60*EU60*VLOOKUP('Données projet'!$B$15,Paramètres!$A$1:$I$89,3,0)*0.475*44/12</f>
        <v>1.51951548316926E-3</v>
      </c>
      <c r="EY60" s="24">
        <f t="shared" si="21"/>
        <v>5.3684193859794673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>
        <f>FE60*VLOOKUP('Données projet'!$B$16,Paramètres!$A$1:$I$89,3,0)*VLOOKUP('Données projet'!$B$16,Paramètres!$A$1:$I$89,5,0)</f>
        <v>0</v>
      </c>
      <c r="FG60" s="14" t="e">
        <f t="shared" si="47"/>
        <v>#NUM!</v>
      </c>
      <c r="FH60" s="22" t="e">
        <f t="shared" si="22"/>
        <v>#NUM!</v>
      </c>
      <c r="FI60" s="60" t="e">
        <f t="shared" si="23"/>
        <v>#NUM!</v>
      </c>
      <c r="FJ60" s="60">
        <f ca="1">AVERAGE(OFFSET($FI$3,0,0,'Données projet'!$E$16+1,1))-AVERAGE(OFFSET($H$3,0,0,'Données projet'!$E$16+1,1))</f>
        <v>207.03241199974599</v>
      </c>
      <c r="FK60" s="60">
        <f t="shared" si="48"/>
        <v>314.188568589113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7.9093538241832775</v>
      </c>
      <c r="FR60" s="23">
        <f>EXP(-LN(2)/25)*FR59+(1-EXP(-LN(2)/25))/(LN(2)/25)*Calculateur!FM60*Calculateur!FO60*VLOOKUP('Données projet'!$B$16,Paramètres!$A$1:$I$89,3,0)*0.475*44/12</f>
        <v>4.6117536585666636</v>
      </c>
      <c r="FS60" s="23">
        <f>EXP(-LN(2)/2)*FS59+(1-EXP(-LN(2)/2))/(LN(2)/2)*FM60*FP60*VLOOKUP('Données projet'!$B$16,Paramètres!$A$1:$I$89,3,0)*0.475*44/12</f>
        <v>2.5242708197959049E-4</v>
      </c>
      <c r="FT60" s="24">
        <f t="shared" si="24"/>
        <v>12.52135990983192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4.7435897435897463</v>
      </c>
      <c r="N61" s="14">
        <f>IF('Données projet'!$A$36&gt;35,N60+M61-V60,IF(A61&lt;'Données projet'!$A$36,$K$205^A61,IF(A61='Données projet'!$A$36,'Données projet'!$B$36,N60+M61-V60)))</f>
        <v>168.71794871794864</v>
      </c>
      <c r="O61" s="14">
        <f>N61*VLOOKUP('Données projet'!$B$9,Paramètres!$A$1:$I$89,3,0)*VLOOKUP('Données projet'!$B$9,Paramètres!$A$1:$I$89,5,0)</f>
        <v>160.55199999999994</v>
      </c>
      <c r="P61" s="14">
        <f t="shared" si="33"/>
        <v>40.966995580161921</v>
      </c>
      <c r="Q61" s="22">
        <f t="shared" si="53"/>
        <v>350.97891730211518</v>
      </c>
      <c r="R61" s="60">
        <f t="shared" si="0"/>
        <v>644.31225063544844</v>
      </c>
      <c r="S61" s="60">
        <f ca="1">AVERAGE(OFFSET($R$3,0,0,'Données projet'!$E$9+1,1))-AVERAGE(OFFSET($H$3,0,0,'Données projet'!$E$9+1,1))</f>
        <v>353.61481736740694</v>
      </c>
      <c r="T61" s="60">
        <f t="shared" si="34"/>
        <v>244.7141066773861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212.59055999999998</v>
      </c>
      <c r="AK61" s="14">
        <f t="shared" si="35"/>
        <v>52.501283653296404</v>
      </c>
      <c r="AL61" s="22">
        <f t="shared" si="4"/>
        <v>461.70162769615786</v>
      </c>
      <c r="AM61" s="60">
        <f t="shared" si="5"/>
        <v>755.03496102949111</v>
      </c>
      <c r="AN61" s="60">
        <f ca="1">AVERAGE(OFFSET($AM$3,0,0,'Données projet'!$E$10+1,1))-AVERAGE(OFFSET($H$3,0,0,'Données projet'!$E$10+1,1))</f>
        <v>455.50822833641354</v>
      </c>
      <c r="AO61" s="60">
        <f t="shared" si="36"/>
        <v>261.14722581688039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229.73496</v>
      </c>
      <c r="BF61" s="14">
        <f t="shared" si="37"/>
        <v>56.225369841410824</v>
      </c>
      <c r="BG61" s="22">
        <f t="shared" si="7"/>
        <v>498.04757447379058</v>
      </c>
      <c r="BH61" s="60">
        <f t="shared" si="8"/>
        <v>791.38090780712389</v>
      </c>
      <c r="BI61" s="60">
        <f ca="1">AVERAGE(OFFSET($BH$3,0,0,'Données projet'!$E$11+1,1))-AVERAGE(OFFSET($H$3,0,0,'Données projet'!$E$11+1,1))</f>
        <v>488.7825919901664</v>
      </c>
      <c r="BJ61" s="60">
        <f t="shared" si="38"/>
        <v>278.78817181412438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222.87720000000002</v>
      </c>
      <c r="CA61" s="14">
        <f t="shared" si="39"/>
        <v>54.739757243913829</v>
      </c>
      <c r="CB61" s="22">
        <f t="shared" si="10"/>
        <v>483.51620053314986</v>
      </c>
      <c r="CC61" s="60">
        <f t="shared" si="11"/>
        <v>776.84953386648317</v>
      </c>
      <c r="CD61" s="60">
        <f ca="1">AVERAGE(OFFSET($CC$3,0,0,'Données projet'!$E$12+1,1))-AVERAGE(OFFSET($H$3,0,0,'Données projet'!$E$12+1,1))</f>
        <v>475.47920969424894</v>
      </c>
      <c r="CE61" s="60">
        <f t="shared" si="40"/>
        <v>271.73544012419364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198.87503999999998</v>
      </c>
      <c r="CV61" s="14">
        <f t="shared" si="41"/>
        <v>49.496854461868558</v>
      </c>
      <c r="CW61" s="22">
        <f t="shared" si="13"/>
        <v>432.58104952108766</v>
      </c>
      <c r="CX61" s="60">
        <f t="shared" si="14"/>
        <v>725.91438285442098</v>
      </c>
      <c r="CY61" s="60">
        <f ca="1">AVERAGE(OFFSET($CX$3,0,0,'Données projet'!$E$13+1,1))-AVERAGE(OFFSET($H$3,0,0,'Données projet'!$E$13+1,1))</f>
        <v>428.8489304403459</v>
      </c>
      <c r="CZ61" s="60">
        <f t="shared" si="42"/>
        <v>247.01165577562966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236.59271999999999</v>
      </c>
      <c r="DQ61" s="14">
        <f t="shared" si="43"/>
        <v>57.705828638299394</v>
      </c>
      <c r="DR61" s="22">
        <f t="shared" si="16"/>
        <v>512.56997221170479</v>
      </c>
      <c r="DS61" s="60">
        <f t="shared" si="17"/>
        <v>805.90330554503817</v>
      </c>
      <c r="DT61" s="60">
        <f ca="1">AVERAGE(OFFSET($DS$3,0,0,'Données projet'!$E$14+1,1))-AVERAGE(OFFSET($H$3,0,0,'Données projet'!$E$14+1,1))</f>
        <v>502.07782026233912</v>
      </c>
      <c r="DU61" s="60">
        <f t="shared" si="44"/>
        <v>285.83623046025156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>
        <f>VLOOKUP(A61,'Données projet'!$A$191:$I$211,2,0)</f>
        <v>440</v>
      </c>
      <c r="EH61" s="13">
        <f>VLOOKUP(A61,'Données projet'!$A$191:$I$211,9,0)</f>
        <v>17.625</v>
      </c>
      <c r="EI61" s="13">
        <f t="array" ref="EI61">INDEX(EH:EH,MIN(IF(ISNUMBER(EH61:EH257),ROW(EH61:EH257),"")))</f>
        <v>17.625</v>
      </c>
      <c r="EJ61" s="13">
        <f>IF('Données projet'!$A$192&gt;35,EJ60+EI61-ER60,IF(A61&lt;'Données projet'!$A$192,$EG$205^A61,IF(A61='Données projet'!$A$192,'Données projet'!$B$192,EJ60+EI61-ER60)))</f>
        <v>439.99999999999983</v>
      </c>
      <c r="EK61" s="18">
        <f>EJ61*VLOOKUP('Données projet'!$B$15,Paramètres!$A$1:$I$89,3,0)*VLOOKUP('Données projet'!$B$15,Paramètres!$A$1:$I$89,5,0)</f>
        <v>263.11999999999989</v>
      </c>
      <c r="EL61" s="14">
        <f t="shared" si="45"/>
        <v>63.386973458752003</v>
      </c>
      <c r="EM61" s="22">
        <f t="shared" si="19"/>
        <v>568.66631210732623</v>
      </c>
      <c r="EN61" s="60">
        <f t="shared" si="20"/>
        <v>861.99964544065961</v>
      </c>
      <c r="EO61" s="60">
        <f ca="1">AVERAGE(OFFSET($EN$3,0,0,'Données projet'!$E$15+1,1))-AVERAGE(OFFSET($H$3,0,0,'Données projet'!$E$15+1,1))</f>
        <v>392.62423122800357</v>
      </c>
      <c r="EP61" s="60">
        <f t="shared" si="46"/>
        <v>314.09619163968642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5.2201417113045787</v>
      </c>
      <c r="EX61" s="23">
        <f>EXP(-LN(2)/2)*EX60+(1-EXP(-LN(2)/2))/(LN(2)/2)*ER61*EU61*VLOOKUP('Données projet'!$B$15,Paramètres!$A$1:$I$89,3,0)*0.475*44/12</f>
        <v>1.0744597022669369E-3</v>
      </c>
      <c r="EY61" s="24">
        <f t="shared" si="21"/>
        <v>5.2212161710068452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>
        <f>FE61*VLOOKUP('Données projet'!$B$16,Paramètres!$A$1:$I$89,3,0)*VLOOKUP('Données projet'!$B$16,Paramètres!$A$1:$I$89,5,0)</f>
        <v>0</v>
      </c>
      <c r="FG61" s="14" t="e">
        <f t="shared" si="47"/>
        <v>#NUM!</v>
      </c>
      <c r="FH61" s="22" t="e">
        <f t="shared" si="22"/>
        <v>#NUM!</v>
      </c>
      <c r="FI61" s="60" t="e">
        <f t="shared" si="23"/>
        <v>#NUM!</v>
      </c>
      <c r="FJ61" s="60">
        <f ca="1">AVERAGE(OFFSET($FI$3,0,0,'Données projet'!$E$16+1,1))-AVERAGE(OFFSET($H$3,0,0,'Données projet'!$E$16+1,1))</f>
        <v>207.03241199974599</v>
      </c>
      <c r="FK61" s="60">
        <f t="shared" si="48"/>
        <v>314.188568589113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7.7542562199205234</v>
      </c>
      <c r="FR61" s="23">
        <f>EXP(-LN(2)/25)*FR60+(1-EXP(-LN(2)/25))/(LN(2)/25)*Calculateur!FM61*Calculateur!FO61*VLOOKUP('Données projet'!$B$16,Paramètres!$A$1:$I$89,3,0)*0.475*44/12</f>
        <v>4.4856450122515739</v>
      </c>
      <c r="FS61" s="23">
        <f>EXP(-LN(2)/2)*FS60+(1-EXP(-LN(2)/2))/(LN(2)/2)*FM61*FP61*VLOOKUP('Données projet'!$B$16,Paramètres!$A$1:$I$89,3,0)*0.475*44/12</f>
        <v>1.7849290142290099E-4</v>
      </c>
      <c r="FT61" s="24">
        <f t="shared" si="24"/>
        <v>12.240079725073521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4.7435897435897463</v>
      </c>
      <c r="N62" s="14">
        <f>IF('Données projet'!$A$36&gt;35,N61+M62-V61,IF(A62&lt;'Données projet'!$A$36,$K$205^A62,IF(A62='Données projet'!$A$36,'Données projet'!$B$36,N61+M62-V61)))</f>
        <v>173.4615384615384</v>
      </c>
      <c r="O62" s="14">
        <f>N62*VLOOKUP('Données projet'!$B$9,Paramètres!$A$1:$I$89,3,0)*VLOOKUP('Données projet'!$B$9,Paramètres!$A$1:$I$89,5,0)</f>
        <v>165.06599999999995</v>
      </c>
      <c r="P62" s="14">
        <f t="shared" si="33"/>
        <v>41.983084622237634</v>
      </c>
      <c r="Q62" s="22">
        <f t="shared" si="53"/>
        <v>360.61048905039712</v>
      </c>
      <c r="R62" s="60">
        <f t="shared" si="0"/>
        <v>653.94382238373043</v>
      </c>
      <c r="S62" s="60">
        <f ca="1">AVERAGE(OFFSET($R$3,0,0,'Données projet'!$E$9+1,1))-AVERAGE(OFFSET($H$3,0,0,'Données projet'!$E$9+1,1))</f>
        <v>353.61481736740694</v>
      </c>
      <c r="T62" s="60">
        <f t="shared" si="34"/>
        <v>244.7141066773861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219.94127999999995</v>
      </c>
      <c r="AK62" s="14">
        <f t="shared" si="35"/>
        <v>54.102123020446285</v>
      </c>
      <c r="AL62" s="22">
        <f t="shared" si="4"/>
        <v>477.29226026061059</v>
      </c>
      <c r="AM62" s="60">
        <f t="shared" si="5"/>
        <v>770.6255935939439</v>
      </c>
      <c r="AN62" s="60">
        <f ca="1">AVERAGE(OFFSET($AM$3,0,0,'Données projet'!$E$10+1,1))-AVERAGE(OFFSET($H$3,0,0,'Données projet'!$E$10+1,1))</f>
        <v>455.50822833641354</v>
      </c>
      <c r="AO62" s="60">
        <f t="shared" si="36"/>
        <v>261.14722581688039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237.67848000000001</v>
      </c>
      <c r="BF62" s="14">
        <f t="shared" si="37"/>
        <v>57.939761932641929</v>
      </c>
      <c r="BG62" s="22">
        <f t="shared" si="7"/>
        <v>514.86843803268459</v>
      </c>
      <c r="BH62" s="60">
        <f t="shared" si="8"/>
        <v>808.20177136601797</v>
      </c>
      <c r="BI62" s="60">
        <f ca="1">AVERAGE(OFFSET($BH$3,0,0,'Données projet'!$E$11+1,1))-AVERAGE(OFFSET($H$3,0,0,'Données projet'!$E$11+1,1))</f>
        <v>488.7825919901664</v>
      </c>
      <c r="BJ62" s="60">
        <f t="shared" si="38"/>
        <v>278.78817181412438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230.58360000000002</v>
      </c>
      <c r="CA62" s="14">
        <f t="shared" si="39"/>
        <v>56.408850878327968</v>
      </c>
      <c r="CB62" s="22">
        <f t="shared" si="10"/>
        <v>499.8451852797545</v>
      </c>
      <c r="CC62" s="60">
        <f t="shared" si="11"/>
        <v>793.17851861308782</v>
      </c>
      <c r="CD62" s="60">
        <f ca="1">AVERAGE(OFFSET($CC$3,0,0,'Données projet'!$E$12+1,1))-AVERAGE(OFFSET($H$3,0,0,'Données projet'!$E$12+1,1))</f>
        <v>475.47920969424894</v>
      </c>
      <c r="CE62" s="60">
        <f t="shared" si="40"/>
        <v>271.73544012419364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205.75151999999994</v>
      </c>
      <c r="CV62" s="14">
        <f t="shared" si="41"/>
        <v>51.006084477955554</v>
      </c>
      <c r="CW62" s="22">
        <f t="shared" si="13"/>
        <v>447.18616113243911</v>
      </c>
      <c r="CX62" s="60">
        <f t="shared" si="14"/>
        <v>740.51949446577237</v>
      </c>
      <c r="CY62" s="60">
        <f ca="1">AVERAGE(OFFSET($CX$3,0,0,'Données projet'!$E$13+1,1))-AVERAGE(OFFSET($H$3,0,0,'Données projet'!$E$13+1,1))</f>
        <v>428.8489304403459</v>
      </c>
      <c r="CZ62" s="60">
        <f t="shared" si="42"/>
        <v>247.01165577562966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244.77335999999997</v>
      </c>
      <c r="DQ62" s="14">
        <f t="shared" si="43"/>
        <v>59.465362039582196</v>
      </c>
      <c r="DR62" s="22">
        <f t="shared" si="16"/>
        <v>529.88244088560566</v>
      </c>
      <c r="DS62" s="60">
        <f t="shared" si="17"/>
        <v>823.21577421893903</v>
      </c>
      <c r="DT62" s="60">
        <f ca="1">AVERAGE(OFFSET($DS$3,0,0,'Données projet'!$E$14+1,1))-AVERAGE(OFFSET($H$3,0,0,'Données projet'!$E$14+1,1))</f>
        <v>502.07782026233912</v>
      </c>
      <c r="DU62" s="60">
        <f t="shared" si="44"/>
        <v>285.83623046025156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16.625</v>
      </c>
      <c r="EJ62" s="13">
        <f>IF('Données projet'!$A$192&gt;35,EJ61+EI62-ER61,IF(A62&lt;'Données projet'!$A$192,$EG$205^A62,IF(A62='Données projet'!$A$192,'Données projet'!$B$192,EJ61+EI62-ER61)))</f>
        <v>456.62499999999983</v>
      </c>
      <c r="EK62" s="18">
        <f>EJ62*VLOOKUP('Données projet'!$B$15,Paramètres!$A$1:$I$89,3,0)*VLOOKUP('Données projet'!$B$15,Paramètres!$A$1:$I$89,5,0)</f>
        <v>273.0617499999999</v>
      </c>
      <c r="EL62" s="14">
        <f t="shared" si="45"/>
        <v>65.498622869704363</v>
      </c>
      <c r="EM62" s="22">
        <f t="shared" si="19"/>
        <v>589.65931608140158</v>
      </c>
      <c r="EN62" s="60">
        <f t="shared" si="20"/>
        <v>882.99264941473484</v>
      </c>
      <c r="EO62" s="60">
        <f ca="1">AVERAGE(OFFSET($EN$3,0,0,'Données projet'!$E$15+1,1))-AVERAGE(OFFSET($H$3,0,0,'Données projet'!$E$15+1,1))</f>
        <v>392.62423122800357</v>
      </c>
      <c r="EP62" s="60">
        <f t="shared" si="46"/>
        <v>314.09619163968642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5.0773966616936335</v>
      </c>
      <c r="EX62" s="23">
        <f>EXP(-LN(2)/2)*EX61+(1-EXP(-LN(2)/2))/(LN(2)/2)*ER62*EU62*VLOOKUP('Données projet'!$B$15,Paramètres!$A$1:$I$89,3,0)*0.475*44/12</f>
        <v>7.5975774158462998E-4</v>
      </c>
      <c r="EY62" s="24">
        <f t="shared" si="21"/>
        <v>5.078156419435218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>
        <f>FE62*VLOOKUP('Données projet'!$B$16,Paramètres!$A$1:$I$89,3,0)*VLOOKUP('Données projet'!$B$16,Paramètres!$A$1:$I$89,5,0)</f>
        <v>0</v>
      </c>
      <c r="FG62" s="14" t="e">
        <f t="shared" si="47"/>
        <v>#NUM!</v>
      </c>
      <c r="FH62" s="22" t="e">
        <f t="shared" si="22"/>
        <v>#NUM!</v>
      </c>
      <c r="FI62" s="60" t="e">
        <f t="shared" si="23"/>
        <v>#NUM!</v>
      </c>
      <c r="FJ62" s="60">
        <f ca="1">AVERAGE(OFFSET($FI$3,0,0,'Données projet'!$E$16+1,1))-AVERAGE(OFFSET($H$3,0,0,'Données projet'!$E$16+1,1))</f>
        <v>207.03241199974599</v>
      </c>
      <c r="FK62" s="60">
        <f t="shared" si="48"/>
        <v>314.188568589113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7.6021999850771635</v>
      </c>
      <c r="FR62" s="23">
        <f>EXP(-LN(2)/25)*FR61+(1-EXP(-LN(2)/25))/(LN(2)/25)*Calculateur!FM62*Calculateur!FO62*VLOOKUP('Données projet'!$B$16,Paramètres!$A$1:$I$89,3,0)*0.475*44/12</f>
        <v>4.3629848135017353</v>
      </c>
      <c r="FS62" s="23">
        <f>EXP(-LN(2)/2)*FS61+(1-EXP(-LN(2)/2))/(LN(2)/2)*FM62*FP62*VLOOKUP('Données projet'!$B$16,Paramètres!$A$1:$I$89,3,0)*0.475*44/12</f>
        <v>1.2621354098979524E-4</v>
      </c>
      <c r="FT62" s="24">
        <f t="shared" si="24"/>
        <v>11.965311012119889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178.2051282051282</v>
      </c>
      <c r="L63" s="13">
        <f>VLOOKUP(A63,'Données projet'!$A$35:$I$55,9,0)</f>
        <v>4.7435897435897463</v>
      </c>
      <c r="M63" s="13">
        <f t="array" ref="M63">INDEX(L:L,MIN(IF(ISNUMBER(L63:L259),ROW(L63:L259),"")))</f>
        <v>4.7435897435897463</v>
      </c>
      <c r="N63" s="14">
        <f>IF('Données projet'!$A$36&gt;35,N62+M63-V62,IF(A63&lt;'Données projet'!$A$36,$K$205^A63,IF(A63='Données projet'!$A$36,'Données projet'!$B$36,N62+M63-V62)))</f>
        <v>178.20512820512815</v>
      </c>
      <c r="O63" s="14">
        <f>N63*VLOOKUP('Données projet'!$B$9,Paramètres!$A$1:$I$89,3,0)*VLOOKUP('Données projet'!$B$9,Paramètres!$A$1:$I$89,5,0)</f>
        <v>169.57999999999993</v>
      </c>
      <c r="P63" s="14">
        <f t="shared" si="33"/>
        <v>42.995944018844156</v>
      </c>
      <c r="Q63" s="22">
        <f t="shared" si="53"/>
        <v>370.23643583282006</v>
      </c>
      <c r="R63" s="60">
        <f t="shared" si="0"/>
        <v>663.56976916615338</v>
      </c>
      <c r="S63" s="60">
        <f ca="1">AVERAGE(OFFSET($R$3,0,0,'Données projet'!$E$9+1,1))-AVERAGE(OFFSET($H$3,0,0,'Données projet'!$E$9+1,1))</f>
        <v>353.61481736740694</v>
      </c>
      <c r="T63" s="60">
        <f t="shared" si="34"/>
        <v>244.7141066773861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227.292</v>
      </c>
      <c r="AK63" s="14">
        <f t="shared" si="35"/>
        <v>55.6967456174837</v>
      </c>
      <c r="AL63" s="22">
        <f t="shared" si="4"/>
        <v>492.87206528378402</v>
      </c>
      <c r="AM63" s="60">
        <f t="shared" si="5"/>
        <v>786.20539861711734</v>
      </c>
      <c r="AN63" s="60">
        <f ca="1">AVERAGE(OFFSET($AM$3,0,0,'Données projet'!$E$10+1,1))-AVERAGE(OFFSET($H$3,0,0,'Données projet'!$E$10+1,1))</f>
        <v>455.50822833641354</v>
      </c>
      <c r="AO63" s="60">
        <f t="shared" si="36"/>
        <v>261.14722581688039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245.62199999999999</v>
      </c>
      <c r="BF63" s="14">
        <f t="shared" si="37"/>
        <v>59.647496278110026</v>
      </c>
      <c r="BG63" s="22">
        <f t="shared" si="7"/>
        <v>531.67770601770815</v>
      </c>
      <c r="BH63" s="60">
        <f t="shared" si="8"/>
        <v>825.01103935104152</v>
      </c>
      <c r="BI63" s="60">
        <f ca="1">AVERAGE(OFFSET($BH$3,0,0,'Données projet'!$E$11+1,1))-AVERAGE(OFFSET($H$3,0,0,'Données projet'!$E$11+1,1))</f>
        <v>488.7825919901664</v>
      </c>
      <c r="BJ63" s="60">
        <f t="shared" si="38"/>
        <v>278.78817181412438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238.29000000000002</v>
      </c>
      <c r="CA63" s="14">
        <f t="shared" si="39"/>
        <v>58.071462681001513</v>
      </c>
      <c r="CB63" s="22">
        <f t="shared" si="10"/>
        <v>516.16288083607753</v>
      </c>
      <c r="CC63" s="60">
        <f t="shared" si="11"/>
        <v>809.49621416941091</v>
      </c>
      <c r="CD63" s="60">
        <f ca="1">AVERAGE(OFFSET($CC$3,0,0,'Données projet'!$E$12+1,1))-AVERAGE(OFFSET($H$3,0,0,'Données projet'!$E$12+1,1))</f>
        <v>475.47920969424894</v>
      </c>
      <c r="CE63" s="60">
        <f t="shared" si="40"/>
        <v>271.73544012419364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212.62799999999999</v>
      </c>
      <c r="CV63" s="14">
        <f t="shared" si="41"/>
        <v>52.509453483719035</v>
      </c>
      <c r="CW63" s="22">
        <f t="shared" si="13"/>
        <v>461.78106481747727</v>
      </c>
      <c r="CX63" s="60">
        <f t="shared" si="14"/>
        <v>755.11439815081053</v>
      </c>
      <c r="CY63" s="60">
        <f ca="1">AVERAGE(OFFSET($CX$3,0,0,'Données projet'!$E$13+1,1))-AVERAGE(OFFSET($H$3,0,0,'Données projet'!$E$13+1,1))</f>
        <v>428.8489304403459</v>
      </c>
      <c r="CZ63" s="60">
        <f t="shared" si="42"/>
        <v>247.01165577562966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252.95399999999998</v>
      </c>
      <c r="DQ63" s="14">
        <f t="shared" si="43"/>
        <v>61.218062391350081</v>
      </c>
      <c r="DR63" s="22">
        <f t="shared" si="16"/>
        <v>547.18300866493462</v>
      </c>
      <c r="DS63" s="60">
        <f t="shared" si="17"/>
        <v>840.51634199826799</v>
      </c>
      <c r="DT63" s="60">
        <f ca="1">AVERAGE(OFFSET($DS$3,0,0,'Données projet'!$E$14+1,1))-AVERAGE(OFFSET($H$3,0,0,'Données projet'!$E$14+1,1))</f>
        <v>502.07782026233912</v>
      </c>
      <c r="DU63" s="60">
        <f t="shared" si="44"/>
        <v>285.83623046025156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16.625</v>
      </c>
      <c r="EJ63" s="13">
        <f>IF('Données projet'!$A$192&gt;35,EJ62+EI63-ER62,IF(A63&lt;'Données projet'!$A$192,$EG$205^A63,IF(A63='Données projet'!$A$192,'Données projet'!$B$192,EJ62+EI63-ER62)))</f>
        <v>473.24999999999983</v>
      </c>
      <c r="EK63" s="18">
        <f>EJ63*VLOOKUP('Données projet'!$B$15,Paramètres!$A$1:$I$89,3,0)*VLOOKUP('Données projet'!$B$15,Paramètres!$A$1:$I$89,5,0)</f>
        <v>283.00349999999992</v>
      </c>
      <c r="EL63" s="14">
        <f t="shared" si="45"/>
        <v>67.601340085686161</v>
      </c>
      <c r="EM63" s="22">
        <f t="shared" si="19"/>
        <v>610.63676314923657</v>
      </c>
      <c r="EN63" s="60">
        <f t="shared" si="20"/>
        <v>903.97009648256994</v>
      </c>
      <c r="EO63" s="60">
        <f ca="1">AVERAGE(OFFSET($EN$3,0,0,'Données projet'!$E$15+1,1))-AVERAGE(OFFSET($H$3,0,0,'Données projet'!$E$15+1,1))</f>
        <v>392.62423122800357</v>
      </c>
      <c r="EP63" s="60">
        <f t="shared" si="46"/>
        <v>314.09619163968642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4.9385549829709348</v>
      </c>
      <c r="EX63" s="23">
        <f>EXP(-LN(2)/2)*EX62+(1-EXP(-LN(2)/2))/(LN(2)/2)*ER63*EU63*VLOOKUP('Données projet'!$B$15,Paramètres!$A$1:$I$89,3,0)*0.475*44/12</f>
        <v>5.3722985113346846E-4</v>
      </c>
      <c r="EY63" s="24">
        <f t="shared" si="21"/>
        <v>4.939092212822068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>
        <f>FE63*VLOOKUP('Données projet'!$B$16,Paramètres!$A$1:$I$89,3,0)*VLOOKUP('Données projet'!$B$16,Paramètres!$A$1:$I$89,5,0)</f>
        <v>0</v>
      </c>
      <c r="FG63" s="14" t="e">
        <f t="shared" si="47"/>
        <v>#NUM!</v>
      </c>
      <c r="FH63" s="22" t="e">
        <f t="shared" si="22"/>
        <v>#NUM!</v>
      </c>
      <c r="FI63" s="60" t="e">
        <f t="shared" si="23"/>
        <v>#NUM!</v>
      </c>
      <c r="FJ63" s="60">
        <f ca="1">AVERAGE(OFFSET($FI$3,0,0,'Données projet'!$E$16+1,1))-AVERAGE(OFFSET($H$3,0,0,'Données projet'!$E$16+1,1))</f>
        <v>207.03241199974599</v>
      </c>
      <c r="FK63" s="60">
        <f t="shared" si="48"/>
        <v>314.188568589113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7.4531254802539371</v>
      </c>
      <c r="FR63" s="23">
        <f>EXP(-LN(2)/25)*FR62+(1-EXP(-LN(2)/25))/(LN(2)/25)*Calculateur!FM63*Calculateur!FO63*VLOOKUP('Données projet'!$B$16,Paramètres!$A$1:$I$89,3,0)*0.475*44/12</f>
        <v>4.2436787643371305</v>
      </c>
      <c r="FS63" s="23">
        <f>EXP(-LN(2)/2)*FS62+(1-EXP(-LN(2)/2))/(LN(2)/2)*FM63*FP63*VLOOKUP('Données projet'!$B$16,Paramètres!$A$1:$I$89,3,0)*0.475*44/12</f>
        <v>8.9246450711450494E-5</v>
      </c>
      <c r="FT63" s="24">
        <f t="shared" si="24"/>
        <v>11.696893491041779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4.4871794871794863</v>
      </c>
      <c r="N64" s="14">
        <f>IF('Données projet'!$A$36&gt;35,N63+M64-V63,IF(A64&lt;'Données projet'!$A$36,$K$205^A64,IF(A64='Données projet'!$A$36,'Données projet'!$B$36,N63+M64-V63)))</f>
        <v>182.69230769230762</v>
      </c>
      <c r="O64" s="14">
        <f>N64*VLOOKUP('Données projet'!$B$9,Paramètres!$A$1:$I$89,3,0)*VLOOKUP('Données projet'!$B$9,Paramètres!$A$1:$I$89,5,0)</f>
        <v>173.84999999999994</v>
      </c>
      <c r="P64" s="14">
        <f t="shared" si="33"/>
        <v>43.951168452592761</v>
      </c>
      <c r="Q64" s="22">
        <f t="shared" si="53"/>
        <v>379.3370350549323</v>
      </c>
      <c r="R64" s="60">
        <f t="shared" si="0"/>
        <v>672.67036838826562</v>
      </c>
      <c r="S64" s="60">
        <f ca="1">AVERAGE(OFFSET($R$3,0,0,'Données projet'!$E$9+1,1))-AVERAGE(OFFSET($H$3,0,0,'Données projet'!$E$9+1,1))</f>
        <v>353.61481736740694</v>
      </c>
      <c r="T64" s="60">
        <f t="shared" si="34"/>
        <v>244.7141066773861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193.63343999999998</v>
      </c>
      <c r="AK64" s="14">
        <f t="shared" si="35"/>
        <v>48.342367086681229</v>
      </c>
      <c r="AL64" s="22">
        <f t="shared" si="4"/>
        <v>421.44119734263637</v>
      </c>
      <c r="AM64" s="60">
        <f t="shared" si="5"/>
        <v>714.77453067596969</v>
      </c>
      <c r="AN64" s="60">
        <f ca="1">AVERAGE(OFFSET($AM$3,0,0,'Données projet'!$E$10+1,1))-AVERAGE(OFFSET($H$3,0,0,'Données projet'!$E$10+1,1))</f>
        <v>455.50822833641354</v>
      </c>
      <c r="AO64" s="60">
        <f t="shared" si="36"/>
        <v>261.14722581688039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209.24903999999998</v>
      </c>
      <c r="BF64" s="14">
        <f t="shared" si="37"/>
        <v>51.771447845108803</v>
      </c>
      <c r="BG64" s="22">
        <f t="shared" si="7"/>
        <v>454.61068299689782</v>
      </c>
      <c r="BH64" s="60">
        <f t="shared" si="8"/>
        <v>747.94401633023108</v>
      </c>
      <c r="BI64" s="60">
        <f ca="1">AVERAGE(OFFSET($BH$3,0,0,'Données projet'!$E$11+1,1))-AVERAGE(OFFSET($H$3,0,0,'Données projet'!$E$11+1,1))</f>
        <v>488.7825919901664</v>
      </c>
      <c r="BJ64" s="60">
        <f t="shared" si="38"/>
        <v>278.78817181412438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203.00279999999995</v>
      </c>
      <c r="CA64" s="14">
        <f t="shared" si="39"/>
        <v>50.403518824343074</v>
      </c>
      <c r="CB64" s="22">
        <f t="shared" si="10"/>
        <v>441.3493386190641</v>
      </c>
      <c r="CC64" s="60">
        <f t="shared" si="11"/>
        <v>734.68267195239741</v>
      </c>
      <c r="CD64" s="60">
        <f ca="1">AVERAGE(OFFSET($CC$3,0,0,'Données projet'!$E$12+1,1))-AVERAGE(OFFSET($H$3,0,0,'Données projet'!$E$12+1,1))</f>
        <v>475.47920969424894</v>
      </c>
      <c r="CE64" s="60">
        <f t="shared" si="40"/>
        <v>271.73544012419364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181.14095999999995</v>
      </c>
      <c r="CV64" s="14">
        <f t="shared" si="41"/>
        <v>45.575935320610945</v>
      </c>
      <c r="CW64" s="22">
        <f t="shared" si="13"/>
        <v>394.86525935006392</v>
      </c>
      <c r="CX64" s="60">
        <f t="shared" si="14"/>
        <v>688.19859268339724</v>
      </c>
      <c r="CY64" s="60">
        <f ca="1">AVERAGE(OFFSET($CX$3,0,0,'Données projet'!$E$13+1,1))-AVERAGE(OFFSET($H$3,0,0,'Données projet'!$E$13+1,1))</f>
        <v>428.8489304403459</v>
      </c>
      <c r="CZ64" s="60">
        <f t="shared" si="42"/>
        <v>247.01165577562966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215.49527999999992</v>
      </c>
      <c r="DQ64" s="14">
        <f t="shared" si="43"/>
        <v>53.134631326269272</v>
      </c>
      <c r="DR64" s="22">
        <f t="shared" si="16"/>
        <v>467.86376222658549</v>
      </c>
      <c r="DS64" s="60">
        <f t="shared" si="17"/>
        <v>761.19709555991881</v>
      </c>
      <c r="DT64" s="60">
        <f ca="1">AVERAGE(OFFSET($DS$3,0,0,'Données projet'!$E$14+1,1))-AVERAGE(OFFSET($H$3,0,0,'Données projet'!$E$14+1,1))</f>
        <v>502.07782026233912</v>
      </c>
      <c r="DU64" s="60">
        <f t="shared" si="44"/>
        <v>285.83623046025156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16.625</v>
      </c>
      <c r="EJ64" s="13">
        <f>IF('Données projet'!$A$192&gt;35,EJ63+EI64-ER63,IF(A64&lt;'Données projet'!$A$192,$EG$205^A64,IF(A64='Données projet'!$A$192,'Données projet'!$B$192,EJ63+EI64-ER63)))</f>
        <v>489.87499999999983</v>
      </c>
      <c r="EK64" s="18">
        <f>EJ64*VLOOKUP('Données projet'!$B$15,Paramètres!$A$1:$I$89,3,0)*VLOOKUP('Données projet'!$B$15,Paramètres!$A$1:$I$89,5,0)</f>
        <v>292.94524999999993</v>
      </c>
      <c r="EL64" s="14">
        <f t="shared" si="45"/>
        <v>69.69547484488767</v>
      </c>
      <c r="EM64" s="22">
        <f t="shared" si="19"/>
        <v>631.59926243817915</v>
      </c>
      <c r="EN64" s="60">
        <f t="shared" si="20"/>
        <v>924.93259577151252</v>
      </c>
      <c r="EO64" s="60">
        <f ca="1">AVERAGE(OFFSET($EN$3,0,0,'Données projet'!$E$15+1,1))-AVERAGE(OFFSET($H$3,0,0,'Données projet'!$E$15+1,1))</f>
        <v>392.62423122800357</v>
      </c>
      <c r="EP64" s="60">
        <f t="shared" si="46"/>
        <v>314.09619163968642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4.8035099372542751</v>
      </c>
      <c r="EX64" s="23">
        <f>EXP(-LN(2)/2)*EX63+(1-EXP(-LN(2)/2))/(LN(2)/2)*ER64*EU64*VLOOKUP('Données projet'!$B$15,Paramètres!$A$1:$I$89,3,0)*0.475*44/12</f>
        <v>3.7987887079231499E-4</v>
      </c>
      <c r="EY64" s="24">
        <f t="shared" si="21"/>
        <v>4.8038898161250678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>
        <f>FE64*VLOOKUP('Données projet'!$B$16,Paramètres!$A$1:$I$89,3,0)*VLOOKUP('Données projet'!$B$16,Paramètres!$A$1:$I$89,5,0)</f>
        <v>0</v>
      </c>
      <c r="FG64" s="14" t="e">
        <f t="shared" si="47"/>
        <v>#NUM!</v>
      </c>
      <c r="FH64" s="22" t="e">
        <f t="shared" si="22"/>
        <v>#NUM!</v>
      </c>
      <c r="FI64" s="60" t="e">
        <f t="shared" si="23"/>
        <v>#NUM!</v>
      </c>
      <c r="FJ64" s="60">
        <f ca="1">AVERAGE(OFFSET($FI$3,0,0,'Données projet'!$E$16+1,1))-AVERAGE(OFFSET($H$3,0,0,'Données projet'!$E$16+1,1))</f>
        <v>207.03241199974599</v>
      </c>
      <c r="FK64" s="60">
        <f t="shared" si="48"/>
        <v>314.188568589113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7.3069742355438239</v>
      </c>
      <c r="FR64" s="23">
        <f>EXP(-LN(2)/25)*FR63+(1-EXP(-LN(2)/25))/(LN(2)/25)*Calculateur!FM64*Calculateur!FO64*VLOOKUP('Données projet'!$B$16,Paramètres!$A$1:$I$89,3,0)*0.475*44/12</f>
        <v>4.1276351453609648</v>
      </c>
      <c r="FS64" s="23">
        <f>EXP(-LN(2)/2)*FS63+(1-EXP(-LN(2)/2))/(LN(2)/2)*FM64*FP64*VLOOKUP('Données projet'!$B$16,Paramètres!$A$1:$I$89,3,0)*0.475*44/12</f>
        <v>6.3106770494897622E-5</v>
      </c>
      <c r="FT64" s="24">
        <f t="shared" si="24"/>
        <v>11.434672487675284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4.4871794871794863</v>
      </c>
      <c r="N65" s="14">
        <f>IF('Données projet'!$A$36&gt;35,N64+M65-V64,IF(A65&lt;'Données projet'!$A$36,$K$205^A65,IF(A65='Données projet'!$A$36,'Données projet'!$B$36,N64+M65-V64)))</f>
        <v>187.1794871794871</v>
      </c>
      <c r="O65" s="14">
        <f>N65*VLOOKUP('Données projet'!$B$9,Paramètres!$A$1:$I$89,3,0)*VLOOKUP('Données projet'!$B$9,Paramètres!$A$1:$I$89,5,0)</f>
        <v>178.11999999999992</v>
      </c>
      <c r="P65" s="14">
        <f t="shared" si="33"/>
        <v>44.90366556024162</v>
      </c>
      <c r="Q65" s="22">
        <f t="shared" si="53"/>
        <v>388.4328841840873</v>
      </c>
      <c r="R65" s="60">
        <f t="shared" si="0"/>
        <v>681.76621751742061</v>
      </c>
      <c r="S65" s="60">
        <f ca="1">AVERAGE(OFFSET($R$3,0,0,'Données projet'!$E$9+1,1))-AVERAGE(OFFSET($H$3,0,0,'Données projet'!$E$9+1,1))</f>
        <v>353.61481736740694</v>
      </c>
      <c r="T65" s="60">
        <f t="shared" si="34"/>
        <v>244.7141066773861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200.59727999999996</v>
      </c>
      <c r="AK65" s="14">
        <f t="shared" si="35"/>
        <v>49.875409002022977</v>
      </c>
      <c r="AL65" s="22">
        <f t="shared" si="4"/>
        <v>436.23993334518991</v>
      </c>
      <c r="AM65" s="60">
        <f t="shared" si="5"/>
        <v>729.57326667852317</v>
      </c>
      <c r="AN65" s="60">
        <f ca="1">AVERAGE(OFFSET($AM$3,0,0,'Données projet'!$E$10+1,1))-AVERAGE(OFFSET($H$3,0,0,'Données projet'!$E$10+1,1))</f>
        <v>455.50822833641354</v>
      </c>
      <c r="AO65" s="60">
        <f t="shared" si="36"/>
        <v>261.14722581688039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216.77447999999995</v>
      </c>
      <c r="BF65" s="14">
        <f t="shared" si="37"/>
        <v>53.41323339156682</v>
      </c>
      <c r="BG65" s="22">
        <f t="shared" si="7"/>
        <v>470.57693415697872</v>
      </c>
      <c r="BH65" s="60">
        <f t="shared" si="8"/>
        <v>763.91026749031198</v>
      </c>
      <c r="BI65" s="60">
        <f ca="1">AVERAGE(OFFSET($BH$3,0,0,'Données projet'!$E$11+1,1))-AVERAGE(OFFSET($H$3,0,0,'Données projet'!$E$11+1,1))</f>
        <v>488.7825919901664</v>
      </c>
      <c r="BJ65" s="60">
        <f t="shared" si="38"/>
        <v>278.78817181412438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210.30359999999996</v>
      </c>
      <c r="CA65" s="14">
        <f t="shared" si="39"/>
        <v>52.001924357524459</v>
      </c>
      <c r="CB65" s="22">
        <f t="shared" si="10"/>
        <v>456.84878825602163</v>
      </c>
      <c r="CC65" s="60">
        <f t="shared" si="11"/>
        <v>750.18212158935489</v>
      </c>
      <c r="CD65" s="60">
        <f ca="1">AVERAGE(OFFSET($CC$3,0,0,'Données projet'!$E$12+1,1))-AVERAGE(OFFSET($H$3,0,0,'Données projet'!$E$12+1,1))</f>
        <v>475.47920969424894</v>
      </c>
      <c r="CE65" s="60">
        <f t="shared" si="40"/>
        <v>271.73544012419364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187.65551999999994</v>
      </c>
      <c r="CV65" s="14">
        <f t="shared" si="41"/>
        <v>47.021247649900147</v>
      </c>
      <c r="CW65" s="22">
        <f t="shared" si="13"/>
        <v>408.72870365690932</v>
      </c>
      <c r="CX65" s="60">
        <f t="shared" si="14"/>
        <v>702.06203699024263</v>
      </c>
      <c r="CY65" s="60">
        <f ca="1">AVERAGE(OFFSET($CX$3,0,0,'Données projet'!$E$13+1,1))-AVERAGE(OFFSET($H$3,0,0,'Données projet'!$E$13+1,1))</f>
        <v>428.8489304403459</v>
      </c>
      <c r="CZ65" s="60">
        <f t="shared" si="42"/>
        <v>247.01165577562966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223.24535999999995</v>
      </c>
      <c r="DQ65" s="14">
        <f t="shared" si="43"/>
        <v>54.819646394591118</v>
      </c>
      <c r="DR65" s="22">
        <f t="shared" si="16"/>
        <v>484.29655280391279</v>
      </c>
      <c r="DS65" s="60">
        <f t="shared" si="17"/>
        <v>777.6298861372461</v>
      </c>
      <c r="DT65" s="60">
        <f ca="1">AVERAGE(OFFSET($DS$3,0,0,'Données projet'!$E$14+1,1))-AVERAGE(OFFSET($H$3,0,0,'Données projet'!$E$14+1,1))</f>
        <v>502.07782026233912</v>
      </c>
      <c r="DU65" s="60">
        <f t="shared" si="44"/>
        <v>285.83623046025156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16.625</v>
      </c>
      <c r="EJ65" s="13">
        <f>IF('Données projet'!$A$192&gt;35,EJ64+EI65-ER64,IF(A65&lt;'Données projet'!$A$192,$EG$205^A65,IF(A65='Données projet'!$A$192,'Données projet'!$B$192,EJ64+EI65-ER64)))</f>
        <v>506.49999999999983</v>
      </c>
      <c r="EK65" s="18">
        <f>EJ65*VLOOKUP('Données projet'!$B$15,Paramètres!$A$1:$I$89,3,0)*VLOOKUP('Données projet'!$B$15,Paramètres!$A$1:$I$89,5,0)</f>
        <v>302.88699999999989</v>
      </c>
      <c r="EL65" s="14">
        <f t="shared" si="45"/>
        <v>71.78135180053944</v>
      </c>
      <c r="EM65" s="22">
        <f t="shared" si="19"/>
        <v>652.54737938593928</v>
      </c>
      <c r="EN65" s="60">
        <f t="shared" si="20"/>
        <v>945.88071271927265</v>
      </c>
      <c r="EO65" s="60">
        <f ca="1">AVERAGE(OFFSET($EN$3,0,0,'Données projet'!$E$15+1,1))-AVERAGE(OFFSET($H$3,0,0,'Données projet'!$E$15+1,1))</f>
        <v>392.62423122800357</v>
      </c>
      <c r="EP65" s="60">
        <f t="shared" si="46"/>
        <v>314.09619163968642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4.6721577054144481</v>
      </c>
      <c r="EX65" s="23">
        <f>EXP(-LN(2)/2)*EX64+(1-EXP(-LN(2)/2))/(LN(2)/2)*ER65*EU65*VLOOKUP('Données projet'!$B$15,Paramètres!$A$1:$I$89,3,0)*0.475*44/12</f>
        <v>2.6861492556673423E-4</v>
      </c>
      <c r="EY65" s="24">
        <f t="shared" si="21"/>
        <v>4.6724263203400147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>
        <f>FE65*VLOOKUP('Données projet'!$B$16,Paramètres!$A$1:$I$89,3,0)*VLOOKUP('Données projet'!$B$16,Paramètres!$A$1:$I$89,5,0)</f>
        <v>0</v>
      </c>
      <c r="FG65" s="14" t="e">
        <f t="shared" si="47"/>
        <v>#NUM!</v>
      </c>
      <c r="FH65" s="22" t="e">
        <f t="shared" si="22"/>
        <v>#NUM!</v>
      </c>
      <c r="FI65" s="60" t="e">
        <f t="shared" si="23"/>
        <v>#NUM!</v>
      </c>
      <c r="FJ65" s="60">
        <f ca="1">AVERAGE(OFFSET($FI$3,0,0,'Données projet'!$E$16+1,1))-AVERAGE(OFFSET($H$3,0,0,'Données projet'!$E$16+1,1))</f>
        <v>207.03241199974599</v>
      </c>
      <c r="FK65" s="60">
        <f t="shared" si="48"/>
        <v>314.188568589113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7.1636889275990194</v>
      </c>
      <c r="FR65" s="23">
        <f>EXP(-LN(2)/25)*FR64+(1-EXP(-LN(2)/25))/(LN(2)/25)*Calculateur!FM65*Calculateur!FO65*VLOOKUP('Données projet'!$B$16,Paramètres!$A$1:$I$89,3,0)*0.475*44/12</f>
        <v>4.0147647452481703</v>
      </c>
      <c r="FS65" s="23">
        <f>EXP(-LN(2)/2)*FS64+(1-EXP(-LN(2)/2))/(LN(2)/2)*FM65*FP65*VLOOKUP('Données projet'!$B$16,Paramètres!$A$1:$I$89,3,0)*0.475*44/12</f>
        <v>4.4623225355725247E-5</v>
      </c>
      <c r="FT65" s="24">
        <f t="shared" si="24"/>
        <v>11.178498296072547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4.4871794871794863</v>
      </c>
      <c r="N66" s="14">
        <f>IF('Données projet'!$A$36&gt;35,N65+M66-V65,IF(A66&lt;'Données projet'!$A$36,$K$205^A66,IF(A66='Données projet'!$A$36,'Données projet'!$B$36,N65+M66-V65)))</f>
        <v>191.66666666666657</v>
      </c>
      <c r="O66" s="14">
        <f>N66*VLOOKUP('Données projet'!$B$9,Paramètres!$A$1:$I$89,3,0)*VLOOKUP('Données projet'!$B$9,Paramètres!$A$1:$I$89,5,0)</f>
        <v>182.3899999999999</v>
      </c>
      <c r="P66" s="14">
        <f t="shared" si="33"/>
        <v>45.853508245632462</v>
      </c>
      <c r="Q66" s="22">
        <f t="shared" si="53"/>
        <v>397.52411019447635</v>
      </c>
      <c r="R66" s="60">
        <f t="shared" si="0"/>
        <v>690.85744352780966</v>
      </c>
      <c r="S66" s="60">
        <f ca="1">AVERAGE(OFFSET($R$3,0,0,'Données projet'!$E$9+1,1))-AVERAGE(OFFSET($H$3,0,0,'Données projet'!$E$9+1,1))</f>
        <v>353.61481736740694</v>
      </c>
      <c r="T66" s="60">
        <f t="shared" si="34"/>
        <v>244.7141066773861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207.56111999999996</v>
      </c>
      <c r="AK66" s="14">
        <f t="shared" si="35"/>
        <v>51.40226725537714</v>
      </c>
      <c r="AL66" s="22">
        <f t="shared" si="4"/>
        <v>451.02789946978169</v>
      </c>
      <c r="AM66" s="60">
        <f t="shared" si="5"/>
        <v>744.36123280311494</v>
      </c>
      <c r="AN66" s="60">
        <f ca="1">AVERAGE(OFFSET($AM$3,0,0,'Données projet'!$E$10+1,1))-AVERAGE(OFFSET($H$3,0,0,'Données projet'!$E$10+1,1))</f>
        <v>455.50822833641354</v>
      </c>
      <c r="AO66" s="60">
        <f t="shared" si="36"/>
        <v>261.14722581688039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224.29991999999993</v>
      </c>
      <c r="BF66" s="14">
        <f t="shared" si="37"/>
        <v>55.048396648853249</v>
      </c>
      <c r="BG66" s="22">
        <f t="shared" si="7"/>
        <v>486.5316514967526</v>
      </c>
      <c r="BH66" s="60">
        <f t="shared" si="8"/>
        <v>779.86498483008586</v>
      </c>
      <c r="BI66" s="60">
        <f ca="1">AVERAGE(OFFSET($BH$3,0,0,'Données projet'!$E$11+1,1))-AVERAGE(OFFSET($H$3,0,0,'Données projet'!$E$11+1,1))</f>
        <v>488.7825919901664</v>
      </c>
      <c r="BJ66" s="60">
        <f t="shared" si="38"/>
        <v>278.78817181412438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217.60439999999994</v>
      </c>
      <c r="CA66" s="14">
        <f t="shared" si="39"/>
        <v>53.593882578706356</v>
      </c>
      <c r="CB66" s="22">
        <f t="shared" si="10"/>
        <v>472.33700882458015</v>
      </c>
      <c r="CC66" s="60">
        <f t="shared" si="11"/>
        <v>765.67034215791341</v>
      </c>
      <c r="CD66" s="60">
        <f ca="1">AVERAGE(OFFSET($CC$3,0,0,'Données projet'!$E$12+1,1))-AVERAGE(OFFSET($H$3,0,0,'Données projet'!$E$12+1,1))</f>
        <v>475.47920969424894</v>
      </c>
      <c r="CE66" s="60">
        <f t="shared" si="40"/>
        <v>271.73544012419364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194.17007999999996</v>
      </c>
      <c r="CV66" s="14">
        <f t="shared" si="41"/>
        <v>48.460730182351035</v>
      </c>
      <c r="CW66" s="22">
        <f t="shared" si="13"/>
        <v>422.5819944009279</v>
      </c>
      <c r="CX66" s="60">
        <f t="shared" si="14"/>
        <v>715.91532773426115</v>
      </c>
      <c r="CY66" s="60">
        <f ca="1">AVERAGE(OFFSET($CX$3,0,0,'Données projet'!$E$13+1,1))-AVERAGE(OFFSET($H$3,0,0,'Données projet'!$E$13+1,1))</f>
        <v>428.8489304403459</v>
      </c>
      <c r="CZ66" s="60">
        <f t="shared" si="42"/>
        <v>247.01165577562966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230.99543999999995</v>
      </c>
      <c r="DQ66" s="14">
        <f t="shared" si="43"/>
        <v>56.497864803589785</v>
      </c>
      <c r="DR66" s="22">
        <f t="shared" si="16"/>
        <v>500.71750586625211</v>
      </c>
      <c r="DS66" s="60">
        <f t="shared" si="17"/>
        <v>794.05083919958543</v>
      </c>
      <c r="DT66" s="60">
        <f ca="1">AVERAGE(OFFSET($DS$3,0,0,'Données projet'!$E$14+1,1))-AVERAGE(OFFSET($H$3,0,0,'Données projet'!$E$14+1,1))</f>
        <v>502.07782026233912</v>
      </c>
      <c r="DU66" s="60">
        <f t="shared" si="44"/>
        <v>285.83623046025156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16.625</v>
      </c>
      <c r="EJ66" s="13">
        <f>IF('Données projet'!$A$192&gt;35,EJ65+EI66-ER65,IF(A66&lt;'Données projet'!$A$192,$EG$205^A66,IF(A66='Données projet'!$A$192,'Données projet'!$B$192,EJ65+EI66-ER65)))</f>
        <v>523.12499999999977</v>
      </c>
      <c r="EK66" s="18">
        <f>EJ66*VLOOKUP('Données projet'!$B$15,Paramètres!$A$1:$I$89,3,0)*VLOOKUP('Données projet'!$B$15,Paramètres!$A$1:$I$89,5,0)</f>
        <v>312.8287499999999</v>
      </c>
      <c r="EL66" s="14">
        <f t="shared" si="45"/>
        <v>73.859273083850155</v>
      </c>
      <c r="EM66" s="22">
        <f t="shared" si="19"/>
        <v>673.48164020437218</v>
      </c>
      <c r="EN66" s="60">
        <f t="shared" si="20"/>
        <v>966.81497353770555</v>
      </c>
      <c r="EO66" s="60">
        <f ca="1">AVERAGE(OFFSET($EN$3,0,0,'Données projet'!$E$15+1,1))-AVERAGE(OFFSET($H$3,0,0,'Données projet'!$E$15+1,1))</f>
        <v>392.62423122800357</v>
      </c>
      <c r="EP66" s="60">
        <f t="shared" si="46"/>
        <v>314.09619163968642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4.5443973072617947</v>
      </c>
      <c r="EX66" s="23">
        <f>EXP(-LN(2)/2)*EX65+(1-EXP(-LN(2)/2))/(LN(2)/2)*ER66*EU66*VLOOKUP('Données projet'!$B$15,Paramètres!$A$1:$I$89,3,0)*0.475*44/12</f>
        <v>1.8993943539615749E-4</v>
      </c>
      <c r="EY66" s="24">
        <f t="shared" si="21"/>
        <v>4.5445872466971906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>
        <f>FE66*VLOOKUP('Données projet'!$B$16,Paramètres!$A$1:$I$89,3,0)*VLOOKUP('Données projet'!$B$16,Paramètres!$A$1:$I$89,5,0)</f>
        <v>0</v>
      </c>
      <c r="FG66" s="14" t="e">
        <f t="shared" si="47"/>
        <v>#NUM!</v>
      </c>
      <c r="FH66" s="22" t="e">
        <f t="shared" si="22"/>
        <v>#NUM!</v>
      </c>
      <c r="FI66" s="60" t="e">
        <f t="shared" si="23"/>
        <v>#NUM!</v>
      </c>
      <c r="FJ66" s="60">
        <f ca="1">AVERAGE(OFFSET($FI$3,0,0,'Données projet'!$E$16+1,1))-AVERAGE(OFFSET($H$3,0,0,'Données projet'!$E$16+1,1))</f>
        <v>207.03241199974599</v>
      </c>
      <c r="FK66" s="60">
        <f t="shared" si="48"/>
        <v>314.188568589113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7.0232133571476041</v>
      </c>
      <c r="FR66" s="23">
        <f>EXP(-LN(2)/25)*FR65+(1-EXP(-LN(2)/25))/(LN(2)/25)*Calculateur!FM66*Calculateur!FO66*VLOOKUP('Données projet'!$B$16,Paramètres!$A$1:$I$89,3,0)*0.475*44/12</f>
        <v>3.904980792162057</v>
      </c>
      <c r="FS66" s="23">
        <f>EXP(-LN(2)/2)*FS65+(1-EXP(-LN(2)/2))/(LN(2)/2)*FM66*FP66*VLOOKUP('Données projet'!$B$16,Paramètres!$A$1:$I$89,3,0)*0.475*44/12</f>
        <v>3.1553385247448811E-5</v>
      </c>
      <c r="FT66" s="24">
        <f t="shared" si="24"/>
        <v>10.928225702694908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4.4871794871794863</v>
      </c>
      <c r="N67" s="14">
        <f>IF('Données projet'!$A$36&gt;35,N66+M67-V66,IF(A67&lt;'Données projet'!$A$36,$K$205^A67,IF(A67='Données projet'!$A$36,'Données projet'!$B$36,N66+M67-V66)))</f>
        <v>196.15384615384605</v>
      </c>
      <c r="O67" s="14">
        <f>N67*VLOOKUP('Données projet'!$B$9,Paramètres!$A$1:$I$89,3,0)*VLOOKUP('Données projet'!$B$9,Paramètres!$A$1:$I$89,5,0)</f>
        <v>186.65999999999991</v>
      </c>
      <c r="P67" s="14">
        <f t="shared" si="33"/>
        <v>46.800765804305463</v>
      </c>
      <c r="Q67" s="22">
        <f t="shared" ref="Q67:Q98" si="54">(O67+P67)*0.475*44/12</f>
        <v>406.61083377583185</v>
      </c>
      <c r="R67" s="60">
        <f t="shared" ref="R67:R130" si="55">Q67+(I67+J67)*44/12</f>
        <v>699.94416710916516</v>
      </c>
      <c r="S67" s="60">
        <f ca="1">AVERAGE(OFFSET($R$3,0,0,'Données projet'!$E$9+1,1))-AVERAGE(OFFSET($H$3,0,0,'Données projet'!$E$9+1,1))</f>
        <v>353.61481736740694</v>
      </c>
      <c r="T67" s="60">
        <f t="shared" si="34"/>
        <v>244.7141066773861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214.52495999999994</v>
      </c>
      <c r="AK67" s="14">
        <f t="shared" si="35"/>
        <v>52.923173099085716</v>
      </c>
      <c r="AL67" s="22">
        <f t="shared" si="4"/>
        <v>465.80549848090754</v>
      </c>
      <c r="AM67" s="60">
        <f t="shared" si="5"/>
        <v>759.1388318142408</v>
      </c>
      <c r="AN67" s="60">
        <f ca="1">AVERAGE(OFFSET($AM$3,0,0,'Données projet'!$E$10+1,1))-AVERAGE(OFFSET($H$3,0,0,'Données projet'!$E$10+1,1))</f>
        <v>455.50822833641354</v>
      </c>
      <c r="AO67" s="60">
        <f t="shared" si="36"/>
        <v>261.14722581688039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231.82535999999996</v>
      </c>
      <c r="BF67" s="14">
        <f t="shared" si="37"/>
        <v>56.677185272788428</v>
      </c>
      <c r="BG67" s="22">
        <f t="shared" si="7"/>
        <v>502.47526635010644</v>
      </c>
      <c r="BH67" s="60">
        <f t="shared" si="8"/>
        <v>795.80859968343975</v>
      </c>
      <c r="BI67" s="60">
        <f ca="1">AVERAGE(OFFSET($BH$3,0,0,'Données projet'!$E$11+1,1))-AVERAGE(OFFSET($H$3,0,0,'Données projet'!$E$11+1,1))</f>
        <v>488.7825919901664</v>
      </c>
      <c r="BJ67" s="60">
        <f t="shared" si="38"/>
        <v>278.78817181412438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224.90519999999995</v>
      </c>
      <c r="CA67" s="14">
        <f t="shared" si="39"/>
        <v>55.17963460003309</v>
      </c>
      <c r="CB67" s="22">
        <f t="shared" si="10"/>
        <v>487.81442026172425</v>
      </c>
      <c r="CC67" s="60">
        <f t="shared" si="11"/>
        <v>781.14775359505757</v>
      </c>
      <c r="CD67" s="60">
        <f ca="1">AVERAGE(OFFSET($CC$3,0,0,'Données projet'!$E$12+1,1))-AVERAGE(OFFSET($H$3,0,0,'Données projet'!$E$12+1,1))</f>
        <v>475.47920969424894</v>
      </c>
      <c r="CE67" s="60">
        <f t="shared" si="40"/>
        <v>271.73544012419364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200.68463999999992</v>
      </c>
      <c r="CV67" s="14">
        <f t="shared" si="41"/>
        <v>49.894600936700193</v>
      </c>
      <c r="CW67" s="22">
        <f t="shared" si="13"/>
        <v>436.42551129808606</v>
      </c>
      <c r="CX67" s="60">
        <f t="shared" si="14"/>
        <v>729.75884463141938</v>
      </c>
      <c r="CY67" s="60">
        <f ca="1">AVERAGE(OFFSET($CX$3,0,0,'Données projet'!$E$13+1,1))-AVERAGE(OFFSET($H$3,0,0,'Données projet'!$E$13+1,1))</f>
        <v>428.8489304403459</v>
      </c>
      <c r="CZ67" s="60">
        <f t="shared" si="42"/>
        <v>247.01165577562966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238.74551999999991</v>
      </c>
      <c r="DQ67" s="14">
        <f t="shared" si="43"/>
        <v>58.169540730060781</v>
      </c>
      <c r="DR67" s="22">
        <f t="shared" si="16"/>
        <v>517.12706410485578</v>
      </c>
      <c r="DS67" s="60">
        <f t="shared" si="17"/>
        <v>810.46039743818915</v>
      </c>
      <c r="DT67" s="60">
        <f ca="1">AVERAGE(OFFSET($DS$3,0,0,'Données projet'!$E$14+1,1))-AVERAGE(OFFSET($H$3,0,0,'Données projet'!$E$14+1,1))</f>
        <v>502.07782026233912</v>
      </c>
      <c r="DU67" s="60">
        <f t="shared" si="44"/>
        <v>285.83623046025156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16.625</v>
      </c>
      <c r="EJ67" s="13">
        <f>IF('Données projet'!$A$192&gt;35,EJ66+EI67-ER66,IF(A67&lt;'Données projet'!$A$192,$EG$205^A67,IF(A67='Données projet'!$A$192,'Données projet'!$B$192,EJ66+EI67-ER66)))</f>
        <v>539.74999999999977</v>
      </c>
      <c r="EK67" s="18">
        <f>EJ67*VLOOKUP('Données projet'!$B$15,Paramètres!$A$1:$I$89,3,0)*VLOOKUP('Données projet'!$B$15,Paramètres!$A$1:$I$89,5,0)</f>
        <v>322.77049999999991</v>
      </c>
      <c r="EL67" s="14">
        <f t="shared" si="45"/>
        <v>75.929520531989581</v>
      </c>
      <c r="EM67" s="22">
        <f t="shared" si="19"/>
        <v>694.40253575988163</v>
      </c>
      <c r="EN67" s="60">
        <f t="shared" si="20"/>
        <v>987.73586909321489</v>
      </c>
      <c r="EO67" s="60">
        <f ca="1">AVERAGE(OFFSET($EN$3,0,0,'Données projet'!$E$15+1,1))-AVERAGE(OFFSET($H$3,0,0,'Données projet'!$E$15+1,1))</f>
        <v>392.62423122800357</v>
      </c>
      <c r="EP67" s="60">
        <f t="shared" si="46"/>
        <v>314.09619163968642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4.4201305239152529</v>
      </c>
      <c r="EX67" s="23">
        <f>EXP(-LN(2)/2)*EX66+(1-EXP(-LN(2)/2))/(LN(2)/2)*ER67*EU67*VLOOKUP('Données projet'!$B$15,Paramètres!$A$1:$I$89,3,0)*0.475*44/12</f>
        <v>1.3430746278336712E-4</v>
      </c>
      <c r="EY67" s="24">
        <f t="shared" si="21"/>
        <v>4.4202648313780362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>
        <f>FE67*VLOOKUP('Données projet'!$B$16,Paramètres!$A$1:$I$89,3,0)*VLOOKUP('Données projet'!$B$16,Paramètres!$A$1:$I$89,5,0)</f>
        <v>0</v>
      </c>
      <c r="FG67" s="14" t="e">
        <f t="shared" si="47"/>
        <v>#NUM!</v>
      </c>
      <c r="FH67" s="22" t="e">
        <f t="shared" si="22"/>
        <v>#NUM!</v>
      </c>
      <c r="FI67" s="60" t="e">
        <f t="shared" si="23"/>
        <v>#NUM!</v>
      </c>
      <c r="FJ67" s="60">
        <f ca="1">AVERAGE(OFFSET($FI$3,0,0,'Données projet'!$E$16+1,1))-AVERAGE(OFFSET($H$3,0,0,'Données projet'!$E$16+1,1))</f>
        <v>207.03241199974599</v>
      </c>
      <c r="FK67" s="60">
        <f t="shared" si="48"/>
        <v>314.188568589113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6.8854924269511031</v>
      </c>
      <c r="FR67" s="23">
        <f>EXP(-LN(2)/25)*FR66+(1-EXP(-LN(2)/25))/(LN(2)/25)*Calculateur!FM67*Calculateur!FO67*VLOOKUP('Données projet'!$B$16,Paramètres!$A$1:$I$89,3,0)*0.475*44/12</f>
        <v>3.7981988870463708</v>
      </c>
      <c r="FS67" s="23">
        <f>EXP(-LN(2)/2)*FS66+(1-EXP(-LN(2)/2))/(LN(2)/2)*FM67*FP67*VLOOKUP('Données projet'!$B$16,Paramètres!$A$1:$I$89,3,0)*0.475*44/12</f>
        <v>2.2311612677862624E-5</v>
      </c>
      <c r="FT67" s="24">
        <f t="shared" si="24"/>
        <v>10.683713625610153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200.64102564102564</v>
      </c>
      <c r="L68" s="13">
        <f>VLOOKUP(A68,'Données projet'!$A$35:$I$55,9,0)</f>
        <v>4.4871794871794863</v>
      </c>
      <c r="M68" s="13">
        <f t="array" ref="M68">INDEX(L:L,MIN(IF(ISNUMBER(L68:L264),ROW(L68:L264),"")))</f>
        <v>4.4871794871794863</v>
      </c>
      <c r="N68" s="14">
        <f>IF('Données projet'!$A$36&gt;35,N67+M68-V67,IF(A68&lt;'Données projet'!$A$36,$K$205^A68,IF(A68='Données projet'!$A$36,'Données projet'!$B$36,N67+M68-V67)))</f>
        <v>200.64102564102552</v>
      </c>
      <c r="O68" s="14">
        <f>N68*VLOOKUP('Données projet'!$B$9,Paramètres!$A$1:$I$89,3,0)*VLOOKUP('Données projet'!$B$9,Paramètres!$A$1:$I$89,5,0)</f>
        <v>190.92999999999989</v>
      </c>
      <c r="P68" s="14">
        <f t="shared" si="33"/>
        <v>47.745504180483643</v>
      </c>
      <c r="Q68" s="22">
        <f t="shared" si="54"/>
        <v>415.69316978100875</v>
      </c>
      <c r="R68" s="60">
        <f t="shared" si="55"/>
        <v>709.02650311434206</v>
      </c>
      <c r="S68" s="60">
        <f ca="1">AVERAGE(OFFSET($R$3,0,0,'Données projet'!$E$9+1,1))-AVERAGE(OFFSET($H$3,0,0,'Données projet'!$E$9+1,1))</f>
        <v>353.61481736740694</v>
      </c>
      <c r="T68" s="60">
        <f t="shared" si="34"/>
        <v>244.7141066773861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28.205128205128204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221.48879999999991</v>
      </c>
      <c r="AK68" s="14">
        <f t="shared" si="35"/>
        <v>54.43834191952984</v>
      </c>
      <c r="AL68" s="22">
        <f t="shared" ref="AL68:AL131" si="58">(AJ68+AK68)*0.475*44/12</f>
        <v>480.57310550984766</v>
      </c>
      <c r="AM68" s="60">
        <f t="shared" ref="AM68:AM131" si="59">AL68+(AD68+AE68)*44/12</f>
        <v>773.90643884318092</v>
      </c>
      <c r="AN68" s="60">
        <f ca="1">AVERAGE(OFFSET($AM$3,0,0,'Données projet'!$E$10+1,1))-AVERAGE(OFFSET($H$3,0,0,'Données projet'!$E$10+1,1))</f>
        <v>455.50822833641354</v>
      </c>
      <c r="AO68" s="60">
        <f t="shared" si="36"/>
        <v>261.14722581688039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239.35079999999994</v>
      </c>
      <c r="BF68" s="14">
        <f t="shared" si="37"/>
        <v>58.299829927807131</v>
      </c>
      <c r="BG68" s="22">
        <f t="shared" ref="BG68:BG131" si="61">(BE68+BF68)*0.475*44/12</f>
        <v>518.40818045759727</v>
      </c>
      <c r="BH68" s="60">
        <f t="shared" ref="BH68:BH131" si="62">BG68+(AY68+AZ68)*44/12</f>
        <v>811.74151379093064</v>
      </c>
      <c r="BI68" s="60">
        <f ca="1">AVERAGE(OFFSET($BH$3,0,0,'Données projet'!$E$11+1,1))-AVERAGE(OFFSET($H$3,0,0,'Données projet'!$E$11+1,1))</f>
        <v>488.7825919901664</v>
      </c>
      <c r="BJ68" s="60">
        <f t="shared" si="38"/>
        <v>278.78817181412438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232.2059999999999</v>
      </c>
      <c r="CA68" s="14">
        <f t="shared" si="39"/>
        <v>56.759404991217522</v>
      </c>
      <c r="CB68" s="22">
        <f t="shared" ref="CB68:CB131" si="64">(BZ68+CA68)*0.475*44/12</f>
        <v>503.281413693037</v>
      </c>
      <c r="CC68" s="60">
        <f t="shared" ref="CC68:CC131" si="65">CB68+(BT68+BU68)*44/12</f>
        <v>796.61474702637031</v>
      </c>
      <c r="CD68" s="60">
        <f ca="1">AVERAGE(OFFSET($CC$3,0,0,'Données projet'!$E$12+1,1))-AVERAGE(OFFSET($H$3,0,0,'Données projet'!$E$12+1,1))</f>
        <v>475.47920969424894</v>
      </c>
      <c r="CE68" s="60">
        <f t="shared" si="40"/>
        <v>271.73544012419364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207.19919999999991</v>
      </c>
      <c r="CV68" s="14">
        <f t="shared" si="41"/>
        <v>51.3230629736655</v>
      </c>
      <c r="CW68" s="22">
        <f t="shared" ref="CW68:CW131" si="67">(CU68+CV68)*0.475*44/12</f>
        <v>450.25960801246725</v>
      </c>
      <c r="CX68" s="60">
        <f t="shared" ref="CX68:CX131" si="68">CW68+(CO68+CP68)*44/12</f>
        <v>743.59294134580057</v>
      </c>
      <c r="CY68" s="60">
        <f ca="1">AVERAGE(OFFSET($CX$3,0,0,'Données projet'!$E$13+1,1))-AVERAGE(OFFSET($H$3,0,0,'Données projet'!$E$13+1,1))</f>
        <v>428.8489304403459</v>
      </c>
      <c r="CZ68" s="60">
        <f t="shared" si="42"/>
        <v>247.01165577562966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246.49559999999991</v>
      </c>
      <c r="DQ68" s="14">
        <f t="shared" si="43"/>
        <v>59.834910912017278</v>
      </c>
      <c r="DR68" s="22">
        <f t="shared" ref="DR68:DR131" si="70">(DP68+DQ68)*0.475*44/12</f>
        <v>533.52563983842992</v>
      </c>
      <c r="DS68" s="60">
        <f t="shared" ref="DS68:DS131" si="71">DR68+(DJ68+DK68)*44/12</f>
        <v>826.85897317176318</v>
      </c>
      <c r="DT68" s="60">
        <f ca="1">AVERAGE(OFFSET($DS$3,0,0,'Données projet'!$E$14+1,1))-AVERAGE(OFFSET($H$3,0,0,'Données projet'!$E$14+1,1))</f>
        <v>502.07782026233912</v>
      </c>
      <c r="DU68" s="60">
        <f t="shared" si="44"/>
        <v>285.83623046025156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16.625</v>
      </c>
      <c r="EJ68" s="13">
        <f>IF('Données projet'!$A$192&gt;35,EJ67+EI68-ER67,IF(A68&lt;'Données projet'!$A$192,$EG$205^A68,IF(A68='Données projet'!$A$192,'Données projet'!$B$192,EJ67+EI68-ER67)))</f>
        <v>556.37499999999977</v>
      </c>
      <c r="EK68" s="18">
        <f>EJ68*VLOOKUP('Données projet'!$B$15,Paramètres!$A$1:$I$89,3,0)*VLOOKUP('Données projet'!$B$15,Paramètres!$A$1:$I$89,5,0)</f>
        <v>332.71224999999993</v>
      </c>
      <c r="EL68" s="14">
        <f t="shared" si="45"/>
        <v>77.992357633861118</v>
      </c>
      <c r="EM68" s="22">
        <f t="shared" ref="EM68:EM131" si="73">(EK68+EL68)*0.475*44/12</f>
        <v>715.31052496230802</v>
      </c>
      <c r="EN68" s="60">
        <f t="shared" ref="EN68:EN131" si="74">EM68+(EE68+EF68)*44/12</f>
        <v>1008.6438582956414</v>
      </c>
      <c r="EO68" s="60">
        <f ca="1">AVERAGE(OFFSET($EN$3,0,0,'Données projet'!$E$15+1,1))-AVERAGE(OFFSET($H$3,0,0,'Données projet'!$E$15+1,1))</f>
        <v>392.62423122800357</v>
      </c>
      <c r="EP68" s="60">
        <f t="shared" si="46"/>
        <v>314.09619163968642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4.2992618222942287</v>
      </c>
      <c r="EX68" s="23">
        <f>EXP(-LN(2)/2)*EX67+(1-EXP(-LN(2)/2))/(LN(2)/2)*ER68*EU68*VLOOKUP('Données projet'!$B$15,Paramètres!$A$1:$I$89,3,0)*0.475*44/12</f>
        <v>9.4969717698078747E-5</v>
      </c>
      <c r="EY68" s="24">
        <f t="shared" ref="EY68:EY131" si="75">SUM(EV68:EX68)</f>
        <v>4.2993567920119267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>
        <f>FE68*VLOOKUP('Données projet'!$B$16,Paramètres!$A$1:$I$89,3,0)*VLOOKUP('Données projet'!$B$16,Paramètres!$A$1:$I$89,5,0)</f>
        <v>0</v>
      </c>
      <c r="FG68" s="14" t="e">
        <f t="shared" si="47"/>
        <v>#NUM!</v>
      </c>
      <c r="FH68" s="22" t="e">
        <f t="shared" ref="FH68:FH131" si="76">(FF68+FG68)*0.475*44/12</f>
        <v>#NUM!</v>
      </c>
      <c r="FI68" s="60" t="e">
        <f t="shared" ref="FI68:FI131" si="77">FH68+(EZ68+FA68)*44/12</f>
        <v>#NUM!</v>
      </c>
      <c r="FJ68" s="60">
        <f ca="1">AVERAGE(OFFSET($FI$3,0,0,'Données projet'!$E$16+1,1))-AVERAGE(OFFSET($H$3,0,0,'Données projet'!$E$16+1,1))</f>
        <v>207.03241199974599</v>
      </c>
      <c r="FK68" s="60">
        <f t="shared" si="48"/>
        <v>314.188568589113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6.7504721201942832</v>
      </c>
      <c r="FR68" s="23">
        <f>EXP(-LN(2)/25)*FR67+(1-EXP(-LN(2)/25))/(LN(2)/25)*Calculateur!FM68*Calculateur!FO68*VLOOKUP('Données projet'!$B$16,Paramètres!$A$1:$I$89,3,0)*0.475*44/12</f>
        <v>3.6943369387414893</v>
      </c>
      <c r="FS68" s="23">
        <f>EXP(-LN(2)/2)*FS67+(1-EXP(-LN(2)/2))/(LN(2)/2)*FM68*FP68*VLOOKUP('Données projet'!$B$16,Paramètres!$A$1:$I$89,3,0)*0.475*44/12</f>
        <v>1.5776692623724406E-5</v>
      </c>
      <c r="FT68" s="24">
        <f t="shared" ref="FT68:FT131" si="78">SUM(FQ68:FS68)</f>
        <v>10.444824835628397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4.3589743589743595</v>
      </c>
      <c r="N69" s="14">
        <f>IF('Données projet'!$A$36&gt;35,N68+M69-V68,IF(A69&lt;'Données projet'!$A$36,$K$205^A69,IF(A69='Données projet'!$A$36,'Données projet'!$B$36,N68+M69-V68)))</f>
        <v>176.79487179487168</v>
      </c>
      <c r="O69" s="14">
        <f>N69*VLOOKUP('Données projet'!$B$9,Paramètres!$A$1:$I$89,3,0)*VLOOKUP('Données projet'!$B$9,Paramètres!$A$1:$I$89,5,0)</f>
        <v>168.23799999999989</v>
      </c>
      <c r="P69" s="14">
        <f t="shared" ref="P69:P132" si="87">EXP(-1.0587+0.8836*LN(O69)+0.284)</f>
        <v>42.695155225480995</v>
      </c>
      <c r="Q69" s="22">
        <f t="shared" si="54"/>
        <v>367.37524535104586</v>
      </c>
      <c r="R69" s="60">
        <f t="shared" si="55"/>
        <v>660.70857868437918</v>
      </c>
      <c r="S69" s="60">
        <f ca="1">AVERAGE(OFFSET($R$3,0,0,'Données projet'!$E$9+1,1))-AVERAGE(OFFSET($H$3,0,0,'Données projet'!$E$9+1,1))</f>
        <v>353.61481736740694</v>
      </c>
      <c r="T69" s="60">
        <f t="shared" ref="T69:T132" si="88">$T$3</f>
        <v>244.7141066773861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228.06575999999993</v>
      </c>
      <c r="AK69" s="14">
        <f t="shared" ref="AK69:AK132" si="89">EXP(-1.0587+0.8836*LN(AJ69)+0.284)</f>
        <v>55.864248276798108</v>
      </c>
      <c r="AL69" s="22">
        <f t="shared" si="58"/>
        <v>494.51143108208981</v>
      </c>
      <c r="AM69" s="60">
        <f t="shared" si="59"/>
        <v>787.84476441542313</v>
      </c>
      <c r="AN69" s="60">
        <f ca="1">AVERAGE(OFFSET($AM$3,0,0,'Données projet'!$E$10+1,1))-AVERAGE(OFFSET($H$3,0,0,'Données projet'!$E$10+1,1))</f>
        <v>455.50822833641354</v>
      </c>
      <c r="AO69" s="60">
        <f t="shared" ref="AO69:AO132" si="90">$AO$3</f>
        <v>261.14722581688039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246.45815999999994</v>
      </c>
      <c r="BF69" s="14">
        <f t="shared" ref="BF69:BF132" si="91">EXP(-1.0587+0.8836*LN(BE69)+0.284)</f>
        <v>59.826880443868056</v>
      </c>
      <c r="BG69" s="22">
        <f t="shared" si="61"/>
        <v>533.44644543973675</v>
      </c>
      <c r="BH69" s="60">
        <f t="shared" si="62"/>
        <v>826.77977877307012</v>
      </c>
      <c r="BI69" s="60">
        <f ca="1">AVERAGE(OFFSET($BH$3,0,0,'Données projet'!$E$11+1,1))-AVERAGE(OFFSET($H$3,0,0,'Données projet'!$E$11+1,1))</f>
        <v>488.7825919901664</v>
      </c>
      <c r="BJ69" s="60">
        <f t="shared" ref="BJ69:BJ132" si="92">$BJ$3</f>
        <v>278.78817181412438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239.10119999999995</v>
      </c>
      <c r="CA69" s="14">
        <f t="shared" ref="CA69:CA132" si="93">EXP(-1.0587+0.8836*LN(BZ69)+0.284)</f>
        <v>58.246107075777331</v>
      </c>
      <c r="CB69" s="22">
        <f t="shared" si="64"/>
        <v>517.87989315697871</v>
      </c>
      <c r="CC69" s="60">
        <f t="shared" si="65"/>
        <v>811.21322649031208</v>
      </c>
      <c r="CD69" s="60">
        <f ca="1">AVERAGE(OFFSET($CC$3,0,0,'Données projet'!$E$12+1,1))-AVERAGE(OFFSET($H$3,0,0,'Données projet'!$E$12+1,1))</f>
        <v>475.47920969424894</v>
      </c>
      <c r="CE69" s="60">
        <f t="shared" ref="CE69:CE132" si="94">$CE$3</f>
        <v>271.73544012419364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213.35183999999992</v>
      </c>
      <c r="CV69" s="14">
        <f t="shared" ref="CV69:CV132" si="95">EXP(-1.0587+0.8836*LN(CU69)+0.284)</f>
        <v>52.667370665417188</v>
      </c>
      <c r="CW69" s="22">
        <f t="shared" si="67"/>
        <v>463.31679190893482</v>
      </c>
      <c r="CX69" s="60">
        <f t="shared" si="68"/>
        <v>756.65012524226813</v>
      </c>
      <c r="CY69" s="60">
        <f ca="1">AVERAGE(OFFSET($CX$3,0,0,'Données projet'!$E$13+1,1))-AVERAGE(OFFSET($H$3,0,0,'Données projet'!$E$13+1,1))</f>
        <v>428.8489304403459</v>
      </c>
      <c r="CZ69" s="60">
        <f t="shared" ref="CZ69:CZ132" si="96">$CZ$3</f>
        <v>247.01165577562966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253.81511999999992</v>
      </c>
      <c r="DQ69" s="14">
        <f t="shared" ref="DQ69:DQ132" si="97">EXP(-1.0587+0.8836*LN(DP69)+0.284)</f>
        <v>61.402169885153235</v>
      </c>
      <c r="DR69" s="22">
        <f t="shared" si="70"/>
        <v>549.00344654997514</v>
      </c>
      <c r="DS69" s="60">
        <f t="shared" si="71"/>
        <v>842.33677988330851</v>
      </c>
      <c r="DT69" s="60">
        <f ca="1">AVERAGE(OFFSET($DS$3,0,0,'Données projet'!$E$14+1,1))-AVERAGE(OFFSET($H$3,0,0,'Données projet'!$E$14+1,1))</f>
        <v>502.07782026233912</v>
      </c>
      <c r="DU69" s="60">
        <f t="shared" ref="DU69:DU132" si="98">$DU$3</f>
        <v>285.83623046025156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>
        <f>VLOOKUP(A69,'Données projet'!$A$191:$I$211,2,0)</f>
        <v>573</v>
      </c>
      <c r="EH69" s="13">
        <f>VLOOKUP(A69,'Données projet'!$A$191:$I$211,9,0)</f>
        <v>16.625</v>
      </c>
      <c r="EI69" s="13">
        <f t="array" ref="EI69">INDEX(EH:EH,MIN(IF(ISNUMBER(EH69:EH265),ROW(EH69:EH265),"")))</f>
        <v>16.625</v>
      </c>
      <c r="EJ69" s="13">
        <f>IF('Données projet'!$A$192&gt;35,EJ68+EI69-ER68,IF(A69&lt;'Données projet'!$A$192,$EG$205^A69,IF(A69='Données projet'!$A$192,'Données projet'!$B$192,EJ68+EI69-ER68)))</f>
        <v>572.99999999999977</v>
      </c>
      <c r="EK69" s="18">
        <f>EJ69*VLOOKUP('Données projet'!$B$15,Paramètres!$A$1:$I$89,3,0)*VLOOKUP('Données projet'!$B$15,Paramètres!$A$1:$I$89,5,0)</f>
        <v>342.65399999999994</v>
      </c>
      <c r="EL69" s="14">
        <f t="shared" ref="EL69:EL132" si="99">EXP(-1.0587+0.8836*LN(EK69)+0.284)</f>
        <v>80.048031236773483</v>
      </c>
      <c r="EM69" s="22">
        <f t="shared" si="73"/>
        <v>736.20603773738048</v>
      </c>
      <c r="EN69" s="60">
        <f t="shared" si="74"/>
        <v>1029.5393710707137</v>
      </c>
      <c r="EO69" s="60">
        <f ca="1">AVERAGE(OFFSET($EN$3,0,0,'Données projet'!$E$15+1,1))-AVERAGE(OFFSET($H$3,0,0,'Données projet'!$E$15+1,1))</f>
        <v>392.62423122800357</v>
      </c>
      <c r="EP69" s="60">
        <f t="shared" ref="EP69:EP132" si="100">$EP$3</f>
        <v>314.09619163968642</v>
      </c>
      <c r="EQ69" s="16">
        <f>IF(ISNA(VLOOKUP(A69,'Données projet'!$A$191:$I$211,3,0)),0,VLOOKUP(A69,'Données projet'!$A$191:$I$211,3,0))</f>
        <v>5</v>
      </c>
      <c r="ER69" s="16">
        <f>IF(ISNA(VLOOKUP(A69,'Données projet'!$A$191:$I$211,4,0)),0,VLOOKUP(A69,'Données projet'!$A$191:$I$211,4,0))</f>
        <v>143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4.1816982816752395</v>
      </c>
      <c r="EX69" s="23">
        <f>EXP(-LN(2)/2)*EX68+(1-EXP(-LN(2)/2))/(LN(2)/2)*ER69*EU69*VLOOKUP('Données projet'!$B$15,Paramètres!$A$1:$I$89,3,0)*0.475*44/12</f>
        <v>6.7153731391683558E-5</v>
      </c>
      <c r="EY69" s="24">
        <f t="shared" si="75"/>
        <v>4.1817654354066311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>
        <f>FE69*VLOOKUP('Données projet'!$B$16,Paramètres!$A$1:$I$89,3,0)*VLOOKUP('Données projet'!$B$16,Paramètres!$A$1:$I$89,5,0)</f>
        <v>0</v>
      </c>
      <c r="FG69" s="14" t="e">
        <f t="shared" ref="FG69:FG132" si="101">EXP(-1.0587+0.8836*LN(FF69)+0.284)</f>
        <v>#NUM!</v>
      </c>
      <c r="FH69" s="22" t="e">
        <f t="shared" si="76"/>
        <v>#NUM!</v>
      </c>
      <c r="FI69" s="60" t="e">
        <f t="shared" si="77"/>
        <v>#NUM!</v>
      </c>
      <c r="FJ69" s="60">
        <f ca="1">AVERAGE(OFFSET($FI$3,0,0,'Données projet'!$E$16+1,1))-AVERAGE(OFFSET($H$3,0,0,'Données projet'!$E$16+1,1))</f>
        <v>207.03241199974599</v>
      </c>
      <c r="FK69" s="60">
        <f t="shared" ref="FK69:FK132" si="102">$FK$3</f>
        <v>314.188568589113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6.6180994792987091</v>
      </c>
      <c r="FR69" s="23">
        <f>EXP(-LN(2)/25)*FR68+(1-EXP(-LN(2)/25))/(LN(2)/25)*Calculateur!FM69*Calculateur!FO69*VLOOKUP('Données projet'!$B$16,Paramètres!$A$1:$I$89,3,0)*0.475*44/12</f>
        <v>3.5933151008748672</v>
      </c>
      <c r="FS69" s="23">
        <f>EXP(-LN(2)/2)*FS68+(1-EXP(-LN(2)/2))/(LN(2)/2)*FM69*FP69*VLOOKUP('Données projet'!$B$16,Paramètres!$A$1:$I$89,3,0)*0.475*44/12</f>
        <v>1.1155806338931312E-5</v>
      </c>
      <c r="FT69" s="24">
        <f t="shared" si="78"/>
        <v>10.211425735979915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4.3589743589743595</v>
      </c>
      <c r="N70" s="14">
        <f>IF('Données projet'!$A$36&gt;35,N69+M70-V69,IF(A70&lt;'Données projet'!$A$36,$K$205^A70,IF(A70='Données projet'!$A$36,'Données projet'!$B$36,N69+M70-V69)))</f>
        <v>181.15384615384605</v>
      </c>
      <c r="O70" s="14">
        <f>N70*VLOOKUP('Données projet'!$B$9,Paramètres!$A$1:$I$89,3,0)*VLOOKUP('Données projet'!$B$9,Paramètres!$A$1:$I$89,5,0)</f>
        <v>172.38599999999991</v>
      </c>
      <c r="P70" s="14">
        <f t="shared" si="87"/>
        <v>43.623973962324399</v>
      </c>
      <c r="Q70" s="22">
        <f t="shared" si="54"/>
        <v>376.21737131771482</v>
      </c>
      <c r="R70" s="60">
        <f t="shared" si="55"/>
        <v>669.55070465104814</v>
      </c>
      <c r="S70" s="60">
        <f ca="1">AVERAGE(OFFSET($R$3,0,0,'Données projet'!$E$9+1,1))-AVERAGE(OFFSET($H$3,0,0,'Données projet'!$E$9+1,1))</f>
        <v>353.61481736740694</v>
      </c>
      <c r="T70" s="60">
        <f t="shared" si="88"/>
        <v>244.7141066773861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234.64271999999994</v>
      </c>
      <c r="AK70" s="14">
        <f t="shared" si="89"/>
        <v>57.285375557336316</v>
      </c>
      <c r="AL70" s="22">
        <f t="shared" si="58"/>
        <v>508.44143309569387</v>
      </c>
      <c r="AM70" s="60">
        <f t="shared" si="59"/>
        <v>801.77476642902718</v>
      </c>
      <c r="AN70" s="60">
        <f ca="1">AVERAGE(OFFSET($AM$3,0,0,'Données projet'!$E$10+1,1))-AVERAGE(OFFSET($H$3,0,0,'Données projet'!$E$10+1,1))</f>
        <v>455.50822833641354</v>
      </c>
      <c r="AO70" s="60">
        <f t="shared" si="90"/>
        <v>261.14722581688039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253.56551999999996</v>
      </c>
      <c r="BF70" s="14">
        <f t="shared" si="91"/>
        <v>61.348812887799113</v>
      </c>
      <c r="BG70" s="22">
        <f t="shared" si="61"/>
        <v>548.47579644625011</v>
      </c>
      <c r="BH70" s="60">
        <f t="shared" si="62"/>
        <v>841.80912977958337</v>
      </c>
      <c r="BI70" s="60">
        <f ca="1">AVERAGE(OFFSET($BH$3,0,0,'Données projet'!$E$11+1,1))-AVERAGE(OFFSET($H$3,0,0,'Données projet'!$E$11+1,1))</f>
        <v>488.7825919901664</v>
      </c>
      <c r="BJ70" s="60">
        <f t="shared" si="92"/>
        <v>278.78817181412438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245.99639999999997</v>
      </c>
      <c r="CA70" s="14">
        <f t="shared" si="93"/>
        <v>59.72782632026442</v>
      </c>
      <c r="CB70" s="22">
        <f t="shared" si="64"/>
        <v>532.46969417446041</v>
      </c>
      <c r="CC70" s="60">
        <f t="shared" si="65"/>
        <v>825.80302750779379</v>
      </c>
      <c r="CD70" s="60">
        <f ca="1">AVERAGE(OFFSET($CC$3,0,0,'Données projet'!$E$12+1,1))-AVERAGE(OFFSET($H$3,0,0,'Données projet'!$E$12+1,1))</f>
        <v>475.47920969424894</v>
      </c>
      <c r="CE70" s="60">
        <f t="shared" si="94"/>
        <v>271.73544012419364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219.50447999999992</v>
      </c>
      <c r="CV70" s="14">
        <f t="shared" si="95"/>
        <v>54.007172767040167</v>
      </c>
      <c r="CW70" s="22">
        <f t="shared" si="67"/>
        <v>476.36612856926143</v>
      </c>
      <c r="CX70" s="60">
        <f t="shared" si="68"/>
        <v>769.69946190259475</v>
      </c>
      <c r="CY70" s="60">
        <f ca="1">AVERAGE(OFFSET($CX$3,0,0,'Données projet'!$E$13+1,1))-AVERAGE(OFFSET($H$3,0,0,'Données projet'!$E$13+1,1))</f>
        <v>428.8489304403459</v>
      </c>
      <c r="CZ70" s="60">
        <f t="shared" si="96"/>
        <v>247.01165577562966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261.13463999999993</v>
      </c>
      <c r="DQ70" s="14">
        <f t="shared" si="97"/>
        <v>62.964176023241265</v>
      </c>
      <c r="DR70" s="22">
        <f t="shared" si="70"/>
        <v>564.47210457381163</v>
      </c>
      <c r="DS70" s="60">
        <f t="shared" si="71"/>
        <v>857.80543790714501</v>
      </c>
      <c r="DT70" s="60">
        <f ca="1">AVERAGE(OFFSET($DS$3,0,0,'Données projet'!$E$14+1,1))-AVERAGE(OFFSET($H$3,0,0,'Données projet'!$E$14+1,1))</f>
        <v>502.07782026233912</v>
      </c>
      <c r="DU70" s="60">
        <f t="shared" si="98"/>
        <v>285.83623046025156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12.875</v>
      </c>
      <c r="EJ70" s="13">
        <f>IF('Données projet'!$A$192&gt;35,EJ69+EI70-ER69,IF(A70&lt;'Données projet'!$A$192,$EG$205^A70,IF(A70='Données projet'!$A$192,'Données projet'!$B$192,EJ69+EI70-ER69)))</f>
        <v>442.87499999999977</v>
      </c>
      <c r="EK70" s="18">
        <f>EJ70*VLOOKUP('Données projet'!$B$15,Paramètres!$A$1:$I$89,3,0)*VLOOKUP('Données projet'!$B$15,Paramètres!$A$1:$I$89,5,0)</f>
        <v>264.83924999999988</v>
      </c>
      <c r="EL70" s="14">
        <f t="shared" si="99"/>
        <v>63.752800756768096</v>
      </c>
      <c r="EM70" s="22">
        <f t="shared" si="73"/>
        <v>572.29782173470414</v>
      </c>
      <c r="EN70" s="60">
        <f t="shared" si="74"/>
        <v>865.63115506803751</v>
      </c>
      <c r="EO70" s="60">
        <f ca="1">AVERAGE(OFFSET($EN$3,0,0,'Données projet'!$E$15+1,1))-AVERAGE(OFFSET($H$3,0,0,'Données projet'!$E$15+1,1))</f>
        <v>392.62423122800357</v>
      </c>
      <c r="EP70" s="60">
        <f t="shared" si="100"/>
        <v>314.09619163968642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4.0673495222568752</v>
      </c>
      <c r="EX70" s="23">
        <f>EXP(-LN(2)/2)*EX69+(1-EXP(-LN(2)/2))/(LN(2)/2)*ER70*EU70*VLOOKUP('Données projet'!$B$15,Paramètres!$A$1:$I$89,3,0)*0.475*44/12</f>
        <v>4.7484858849039374E-5</v>
      </c>
      <c r="EY70" s="24">
        <f t="shared" si="75"/>
        <v>4.0673970071157246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>
        <f>FE70*VLOOKUP('Données projet'!$B$16,Paramètres!$A$1:$I$89,3,0)*VLOOKUP('Données projet'!$B$16,Paramètres!$A$1:$I$89,5,0)</f>
        <v>0</v>
      </c>
      <c r="FG70" s="14" t="e">
        <f t="shared" si="101"/>
        <v>#NUM!</v>
      </c>
      <c r="FH70" s="22" t="e">
        <f t="shared" si="76"/>
        <v>#NUM!</v>
      </c>
      <c r="FI70" s="60" t="e">
        <f t="shared" si="77"/>
        <v>#NUM!</v>
      </c>
      <c r="FJ70" s="60">
        <f ca="1">AVERAGE(OFFSET($FI$3,0,0,'Données projet'!$E$16+1,1))-AVERAGE(OFFSET($H$3,0,0,'Données projet'!$E$16+1,1))</f>
        <v>207.03241199974599</v>
      </c>
      <c r="FK70" s="60">
        <f t="shared" si="102"/>
        <v>314.188568589113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6.4883225851517583</v>
      </c>
      <c r="FR70" s="23">
        <f>EXP(-LN(2)/25)*FR69+(1-EXP(-LN(2)/25))/(LN(2)/25)*Calculateur!FM70*Calculateur!FO70*VLOOKUP('Données projet'!$B$16,Paramètres!$A$1:$I$89,3,0)*0.475*44/12</f>
        <v>3.4950557104772155</v>
      </c>
      <c r="FS70" s="23">
        <f>EXP(-LN(2)/2)*FS69+(1-EXP(-LN(2)/2))/(LN(2)/2)*FM70*FP70*VLOOKUP('Données projet'!$B$16,Paramètres!$A$1:$I$89,3,0)*0.475*44/12</f>
        <v>7.8883463118622028E-6</v>
      </c>
      <c r="FT70" s="24">
        <f t="shared" si="78"/>
        <v>9.983386183975286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4.3589743589743595</v>
      </c>
      <c r="N71" s="14">
        <f>IF('Données projet'!$A$36&gt;35,N70+M71-V70,IF(A71&lt;'Données projet'!$A$36,$K$205^A71,IF(A71='Données projet'!$A$36,'Données projet'!$B$36,N70+M71-V70)))</f>
        <v>185.51282051282041</v>
      </c>
      <c r="O71" s="14">
        <f>N71*VLOOKUP('Données projet'!$B$9,Paramètres!$A$1:$I$89,3,0)*VLOOKUP('Données projet'!$B$9,Paramètres!$A$1:$I$89,5,0)</f>
        <v>176.53399999999991</v>
      </c>
      <c r="P71" s="14">
        <f t="shared" si="87"/>
        <v>44.550194592706617</v>
      </c>
      <c r="Q71" s="22">
        <f t="shared" si="54"/>
        <v>385.05497224896385</v>
      </c>
      <c r="R71" s="60">
        <f t="shared" si="55"/>
        <v>678.38830558229711</v>
      </c>
      <c r="S71" s="60">
        <f ca="1">AVERAGE(OFFSET($R$3,0,0,'Données projet'!$E$9+1,1))-AVERAGE(OFFSET($H$3,0,0,'Données projet'!$E$9+1,1))</f>
        <v>353.61481736740694</v>
      </c>
      <c r="T71" s="60">
        <f t="shared" si="88"/>
        <v>244.7141066773861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241.21967999999995</v>
      </c>
      <c r="AK71" s="14">
        <f t="shared" si="89"/>
        <v>58.701873105526744</v>
      </c>
      <c r="AL71" s="22">
        <f t="shared" si="58"/>
        <v>522.36337165879229</v>
      </c>
      <c r="AM71" s="60">
        <f t="shared" si="59"/>
        <v>815.69670499212566</v>
      </c>
      <c r="AN71" s="60">
        <f ca="1">AVERAGE(OFFSET($AM$3,0,0,'Données projet'!$E$10+1,1))-AVERAGE(OFFSET($H$3,0,0,'Données projet'!$E$10+1,1))</f>
        <v>455.50822833641354</v>
      </c>
      <c r="AO71" s="60">
        <f t="shared" si="90"/>
        <v>261.14722581688039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260.67287999999996</v>
      </c>
      <c r="BF71" s="14">
        <f t="shared" si="91"/>
        <v>62.86578719746359</v>
      </c>
      <c r="BG71" s="22">
        <f t="shared" si="61"/>
        <v>563.49651203558233</v>
      </c>
      <c r="BH71" s="60">
        <f t="shared" si="62"/>
        <v>856.82984536891558</v>
      </c>
      <c r="BI71" s="60">
        <f ca="1">AVERAGE(OFFSET($BH$3,0,0,'Données projet'!$E$11+1,1))-AVERAGE(OFFSET($H$3,0,0,'Données projet'!$E$11+1,1))</f>
        <v>488.7825919901664</v>
      </c>
      <c r="BJ71" s="60">
        <f t="shared" si="92"/>
        <v>278.78817181412438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252.89159999999998</v>
      </c>
      <c r="CA71" s="14">
        <f t="shared" si="93"/>
        <v>61.204718436590312</v>
      </c>
      <c r="CB71" s="22">
        <f t="shared" si="64"/>
        <v>547.05108794372802</v>
      </c>
      <c r="CC71" s="60">
        <f t="shared" si="65"/>
        <v>840.38442127706139</v>
      </c>
      <c r="CD71" s="60">
        <f ca="1">AVERAGE(OFFSET($CC$3,0,0,'Données projet'!$E$12+1,1))-AVERAGE(OFFSET($H$3,0,0,'Données projet'!$E$12+1,1))</f>
        <v>475.47920969424894</v>
      </c>
      <c r="CE71" s="60">
        <f t="shared" si="94"/>
        <v>271.73544012419364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225.65711999999994</v>
      </c>
      <c r="CV71" s="14">
        <f t="shared" si="95"/>
        <v>55.342610076561513</v>
      </c>
      <c r="CW71" s="22">
        <f t="shared" si="67"/>
        <v>489.40786321667775</v>
      </c>
      <c r="CX71" s="60">
        <f t="shared" si="68"/>
        <v>782.74119655001107</v>
      </c>
      <c r="CY71" s="60">
        <f ca="1">AVERAGE(OFFSET($CX$3,0,0,'Données projet'!$E$13+1,1))-AVERAGE(OFFSET($H$3,0,0,'Données projet'!$E$13+1,1))</f>
        <v>428.8489304403459</v>
      </c>
      <c r="CZ71" s="60">
        <f t="shared" si="96"/>
        <v>247.01165577562966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268.45415999999994</v>
      </c>
      <c r="DQ71" s="14">
        <f t="shared" si="97"/>
        <v>64.521093475436089</v>
      </c>
      <c r="DR71" s="22">
        <f t="shared" si="70"/>
        <v>579.93189980305101</v>
      </c>
      <c r="DS71" s="60">
        <f t="shared" si="71"/>
        <v>873.26523313638427</v>
      </c>
      <c r="DT71" s="60">
        <f ca="1">AVERAGE(OFFSET($DS$3,0,0,'Données projet'!$E$14+1,1))-AVERAGE(OFFSET($H$3,0,0,'Données projet'!$E$14+1,1))</f>
        <v>502.07782026233912</v>
      </c>
      <c r="DU71" s="60">
        <f t="shared" si="98"/>
        <v>285.83623046025156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12.875</v>
      </c>
      <c r="EJ71" s="13">
        <f>IF('Données projet'!$A$192&gt;35,EJ70+EI71-ER70,IF(A71&lt;'Données projet'!$A$192,$EG$205^A71,IF(A71='Données projet'!$A$192,'Données projet'!$B$192,EJ70+EI71-ER70)))</f>
        <v>455.74999999999977</v>
      </c>
      <c r="EK71" s="18">
        <f>EJ71*VLOOKUP('Données projet'!$B$15,Paramètres!$A$1:$I$89,3,0)*VLOOKUP('Données projet'!$B$15,Paramètres!$A$1:$I$89,5,0)</f>
        <v>272.53849999999989</v>
      </c>
      <c r="EL71" s="14">
        <f t="shared" si="99"/>
        <v>65.387709293034902</v>
      </c>
      <c r="EM71" s="22">
        <f t="shared" si="73"/>
        <v>588.55481451870219</v>
      </c>
      <c r="EN71" s="60">
        <f t="shared" si="74"/>
        <v>881.88814785203544</v>
      </c>
      <c r="EO71" s="60">
        <f ca="1">AVERAGE(OFFSET($EN$3,0,0,'Données projet'!$E$15+1,1))-AVERAGE(OFFSET($H$3,0,0,'Données projet'!$E$15+1,1))</f>
        <v>392.62423122800357</v>
      </c>
      <c r="EP71" s="60">
        <f t="shared" si="100"/>
        <v>314.09619163968642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3.9561276356781456</v>
      </c>
      <c r="EX71" s="23">
        <f>EXP(-LN(2)/2)*EX70+(1-EXP(-LN(2)/2))/(LN(2)/2)*ER71*EU71*VLOOKUP('Données projet'!$B$15,Paramètres!$A$1:$I$89,3,0)*0.475*44/12</f>
        <v>3.3576865695841779E-5</v>
      </c>
      <c r="EY71" s="24">
        <f t="shared" si="75"/>
        <v>3.9561612125438415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>
        <f>FE71*VLOOKUP('Données projet'!$B$16,Paramètres!$A$1:$I$89,3,0)*VLOOKUP('Données projet'!$B$16,Paramètres!$A$1:$I$89,5,0)</f>
        <v>0</v>
      </c>
      <c r="FG71" s="14" t="e">
        <f t="shared" si="101"/>
        <v>#NUM!</v>
      </c>
      <c r="FH71" s="22" t="e">
        <f t="shared" si="76"/>
        <v>#NUM!</v>
      </c>
      <c r="FI71" s="60" t="e">
        <f t="shared" si="77"/>
        <v>#NUM!</v>
      </c>
      <c r="FJ71" s="60">
        <f ca="1">AVERAGE(OFFSET($FI$3,0,0,'Données projet'!$E$16+1,1))-AVERAGE(OFFSET($H$3,0,0,'Données projet'!$E$16+1,1))</f>
        <v>207.03241199974599</v>
      </c>
      <c r="FK71" s="60">
        <f t="shared" si="102"/>
        <v>314.188568589113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6.3610905367429398</v>
      </c>
      <c r="FR71" s="23">
        <f>EXP(-LN(2)/25)*FR70+(1-EXP(-LN(2)/25))/(LN(2)/25)*Calculateur!FM71*Calculateur!FO71*VLOOKUP('Données projet'!$B$16,Paramètres!$A$1:$I$89,3,0)*0.475*44/12</f>
        <v>3.3994832282772243</v>
      </c>
      <c r="FS71" s="23">
        <f>EXP(-LN(2)/2)*FS70+(1-EXP(-LN(2)/2))/(LN(2)/2)*FM71*FP71*VLOOKUP('Données projet'!$B$16,Paramètres!$A$1:$I$89,3,0)*0.475*44/12</f>
        <v>5.5779031694656559E-6</v>
      </c>
      <c r="FT71" s="24">
        <f t="shared" si="78"/>
        <v>9.7605793429233323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4.3589743589743595</v>
      </c>
      <c r="N72" s="14">
        <f>IF('Données projet'!$A$36&gt;35,N71+M72-V71,IF(A72&lt;'Données projet'!$A$36,$K$205^A72,IF(A72='Données projet'!$A$36,'Données projet'!$B$36,N71+M72-V71)))</f>
        <v>189.87179487179478</v>
      </c>
      <c r="O72" s="14">
        <f>N72*VLOOKUP('Données projet'!$B$9,Paramètres!$A$1:$I$89,3,0)*VLOOKUP('Données projet'!$B$9,Paramètres!$A$1:$I$89,5,0)</f>
        <v>180.6819999999999</v>
      </c>
      <c r="P72" s="14">
        <f t="shared" si="87"/>
        <v>45.473885189516494</v>
      </c>
      <c r="Q72" s="22">
        <f t="shared" si="54"/>
        <v>393.88816670507435</v>
      </c>
      <c r="R72" s="60">
        <f t="shared" si="55"/>
        <v>687.22150003840761</v>
      </c>
      <c r="S72" s="60">
        <f ca="1">AVERAGE(OFFSET($R$3,0,0,'Données projet'!$E$9+1,1))-AVERAGE(OFFSET($H$3,0,0,'Données projet'!$E$9+1,1))</f>
        <v>353.61481736740694</v>
      </c>
      <c r="T72" s="60">
        <f t="shared" si="88"/>
        <v>244.7141066773861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247.79663999999997</v>
      </c>
      <c r="AK72" s="14">
        <f t="shared" si="89"/>
        <v>60.113881658336368</v>
      </c>
      <c r="AL72" s="22">
        <f t="shared" si="58"/>
        <v>536.27749188826908</v>
      </c>
      <c r="AM72" s="60">
        <f t="shared" si="59"/>
        <v>829.61082522160245</v>
      </c>
      <c r="AN72" s="60">
        <f ca="1">AVERAGE(OFFSET($AM$3,0,0,'Données projet'!$E$10+1,1))-AVERAGE(OFFSET($H$3,0,0,'Données projet'!$E$10+1,1))</f>
        <v>455.50822833641354</v>
      </c>
      <c r="AO72" s="60">
        <f t="shared" si="90"/>
        <v>261.14722581688039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267.78023999999994</v>
      </c>
      <c r="BF72" s="14">
        <f t="shared" si="91"/>
        <v>64.377954092757676</v>
      </c>
      <c r="BG72" s="22">
        <f t="shared" si="61"/>
        <v>578.50885471155289</v>
      </c>
      <c r="BH72" s="60">
        <f t="shared" si="62"/>
        <v>871.84218804488614</v>
      </c>
      <c r="BI72" s="60">
        <f ca="1">AVERAGE(OFFSET($BH$3,0,0,'Données projet'!$E$11+1,1))-AVERAGE(OFFSET($H$3,0,0,'Données projet'!$E$11+1,1))</f>
        <v>488.7825919901664</v>
      </c>
      <c r="BJ72" s="60">
        <f t="shared" si="92"/>
        <v>278.78817181412438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259.78679999999997</v>
      </c>
      <c r="CA72" s="14">
        <f t="shared" si="93"/>
        <v>62.676930162260739</v>
      </c>
      <c r="CB72" s="22">
        <f t="shared" si="64"/>
        <v>561.62433003260401</v>
      </c>
      <c r="CC72" s="60">
        <f t="shared" si="65"/>
        <v>854.95766336593738</v>
      </c>
      <c r="CD72" s="60">
        <f ca="1">AVERAGE(OFFSET($CC$3,0,0,'Données projet'!$E$12+1,1))-AVERAGE(OFFSET($H$3,0,0,'Données projet'!$E$12+1,1))</f>
        <v>475.47920969424894</v>
      </c>
      <c r="CE72" s="60">
        <f t="shared" si="94"/>
        <v>271.73544012419364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231.80975999999993</v>
      </c>
      <c r="CV72" s="14">
        <f t="shared" si="95"/>
        <v>56.673815277159328</v>
      </c>
      <c r="CW72" s="22">
        <f t="shared" si="67"/>
        <v>502.44222694105241</v>
      </c>
      <c r="CX72" s="60">
        <f t="shared" si="68"/>
        <v>795.77556027438573</v>
      </c>
      <c r="CY72" s="60">
        <f ca="1">AVERAGE(OFFSET($CX$3,0,0,'Données projet'!$E$13+1,1))-AVERAGE(OFFSET($H$3,0,0,'Données projet'!$E$13+1,1))</f>
        <v>428.8489304403459</v>
      </c>
      <c r="CZ72" s="60">
        <f t="shared" si="96"/>
        <v>247.01165577562966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275.7736799999999</v>
      </c>
      <c r="DQ72" s="14">
        <f t="shared" si="97"/>
        <v>66.073076930208813</v>
      </c>
      <c r="DR72" s="22">
        <f t="shared" si="70"/>
        <v>595.38310165344672</v>
      </c>
      <c r="DS72" s="60">
        <f t="shared" si="71"/>
        <v>888.71643498678009</v>
      </c>
      <c r="DT72" s="60">
        <f ca="1">AVERAGE(OFFSET($DS$3,0,0,'Données projet'!$E$14+1,1))-AVERAGE(OFFSET($H$3,0,0,'Données projet'!$E$14+1,1))</f>
        <v>502.07782026233912</v>
      </c>
      <c r="DU72" s="60">
        <f t="shared" si="98"/>
        <v>285.83623046025156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12.875</v>
      </c>
      <c r="EJ72" s="13">
        <f>IF('Données projet'!$A$192&gt;35,EJ71+EI72-ER71,IF(A72&lt;'Données projet'!$A$192,$EG$205^A72,IF(A72='Données projet'!$A$192,'Données projet'!$B$192,EJ71+EI72-ER71)))</f>
        <v>468.62499999999977</v>
      </c>
      <c r="EK72" s="18">
        <f>EJ72*VLOOKUP('Données projet'!$B$15,Paramètres!$A$1:$I$89,3,0)*VLOOKUP('Données projet'!$B$15,Paramètres!$A$1:$I$89,5,0)</f>
        <v>280.23774999999989</v>
      </c>
      <c r="EL72" s="14">
        <f t="shared" si="99"/>
        <v>67.017249808465152</v>
      </c>
      <c r="EM72" s="22">
        <f t="shared" si="73"/>
        <v>604.8024579997433</v>
      </c>
      <c r="EN72" s="60">
        <f t="shared" si="74"/>
        <v>898.13579133307667</v>
      </c>
      <c r="EO72" s="60">
        <f ca="1">AVERAGE(OFFSET($EN$3,0,0,'Données projet'!$E$15+1,1))-AVERAGE(OFFSET($H$3,0,0,'Données projet'!$E$15+1,1))</f>
        <v>392.62423122800357</v>
      </c>
      <c r="EP72" s="60">
        <f t="shared" si="100"/>
        <v>314.09619163968642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3.8479471174368163</v>
      </c>
      <c r="EX72" s="23">
        <f>EXP(-LN(2)/2)*EX71+(1-EXP(-LN(2)/2))/(LN(2)/2)*ER72*EU72*VLOOKUP('Données projet'!$B$15,Paramètres!$A$1:$I$89,3,0)*0.475*44/12</f>
        <v>2.3742429424519687E-5</v>
      </c>
      <c r="EY72" s="24">
        <f t="shared" si="75"/>
        <v>3.847970859866241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>
        <f>FE72*VLOOKUP('Données projet'!$B$16,Paramètres!$A$1:$I$89,3,0)*VLOOKUP('Données projet'!$B$16,Paramètres!$A$1:$I$89,5,0)</f>
        <v>0</v>
      </c>
      <c r="FG72" s="14" t="e">
        <f t="shared" si="101"/>
        <v>#NUM!</v>
      </c>
      <c r="FH72" s="22" t="e">
        <f t="shared" si="76"/>
        <v>#NUM!</v>
      </c>
      <c r="FI72" s="60" t="e">
        <f t="shared" si="77"/>
        <v>#NUM!</v>
      </c>
      <c r="FJ72" s="60">
        <f ca="1">AVERAGE(OFFSET($FI$3,0,0,'Données projet'!$E$16+1,1))-AVERAGE(OFFSET($H$3,0,0,'Données projet'!$E$16+1,1))</f>
        <v>207.03241199974599</v>
      </c>
      <c r="FK72" s="60">
        <f t="shared" si="102"/>
        <v>314.188568589113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6.2363534311995314</v>
      </c>
      <c r="FR72" s="23">
        <f>EXP(-LN(2)/25)*FR71+(1-EXP(-LN(2)/25))/(LN(2)/25)*Calculateur!FM72*Calculateur!FO72*VLOOKUP('Données projet'!$B$16,Paramètres!$A$1:$I$89,3,0)*0.475*44/12</f>
        <v>3.3065241806289301</v>
      </c>
      <c r="FS72" s="23">
        <f>EXP(-LN(2)/2)*FS71+(1-EXP(-LN(2)/2))/(LN(2)/2)*FM72*FP72*VLOOKUP('Données projet'!$B$16,Paramètres!$A$1:$I$89,3,0)*0.475*44/12</f>
        <v>3.9441731559311014E-6</v>
      </c>
      <c r="FT72" s="24">
        <f t="shared" si="78"/>
        <v>9.5428815560016176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194.23076923076923</v>
      </c>
      <c r="L73" s="13">
        <f>VLOOKUP(A73,'Données projet'!$A$35:$I$55,9,0)</f>
        <v>4.3589743589743595</v>
      </c>
      <c r="M73" s="13">
        <f t="array" ref="M73">INDEX(L:L,MIN(IF(ISNUMBER(L73:L269),ROW(L73:L269),"")))</f>
        <v>4.3589743589743595</v>
      </c>
      <c r="N73" s="14">
        <f>IF('Données projet'!$A$36&gt;35,N72+M73-V72,IF(A73&lt;'Données projet'!$A$36,$K$205^A73,IF(A73='Données projet'!$A$36,'Données projet'!$B$36,N72+M73-V72)))</f>
        <v>194.23076923076914</v>
      </c>
      <c r="O73" s="14">
        <f>N73*VLOOKUP('Données projet'!$B$9,Paramètres!$A$1:$I$89,3,0)*VLOOKUP('Données projet'!$B$9,Paramètres!$A$1:$I$89,5,0)</f>
        <v>184.8299999999999</v>
      </c>
      <c r="P73" s="14">
        <f t="shared" si="87"/>
        <v>46.395110521715885</v>
      </c>
      <c r="Q73" s="22">
        <f t="shared" si="54"/>
        <v>402.7170674919883</v>
      </c>
      <c r="R73" s="60">
        <f t="shared" si="55"/>
        <v>696.05040082532162</v>
      </c>
      <c r="S73" s="60">
        <f ca="1">AVERAGE(OFFSET($R$3,0,0,'Données projet'!$E$9+1,1))-AVERAGE(OFFSET($H$3,0,0,'Données projet'!$E$9+1,1))</f>
        <v>353.61481736740694</v>
      </c>
      <c r="T73" s="60">
        <f t="shared" si="88"/>
        <v>244.7141066773861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254.37359999999998</v>
      </c>
      <c r="AK73" s="14">
        <f t="shared" si="89"/>
        <v>61.521534056516209</v>
      </c>
      <c r="AL73" s="22">
        <f t="shared" si="58"/>
        <v>550.1840251484324</v>
      </c>
      <c r="AM73" s="60">
        <f t="shared" si="59"/>
        <v>843.51735848176577</v>
      </c>
      <c r="AN73" s="60">
        <f ca="1">AVERAGE(OFFSET($AM$3,0,0,'Données projet'!$E$10+1,1))-AVERAGE(OFFSET($H$3,0,0,'Données projet'!$E$10+1,1))</f>
        <v>455.50822833641354</v>
      </c>
      <c r="AO73" s="60">
        <f t="shared" si="90"/>
        <v>261.14722581688039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274.88759999999996</v>
      </c>
      <c r="BF73" s="14">
        <f t="shared" si="91"/>
        <v>65.885455837257112</v>
      </c>
      <c r="BG73" s="22">
        <f t="shared" si="61"/>
        <v>593.51307224988932</v>
      </c>
      <c r="BH73" s="60">
        <f t="shared" si="62"/>
        <v>886.84640558322258</v>
      </c>
      <c r="BI73" s="60">
        <f ca="1">AVERAGE(OFFSET($BH$3,0,0,'Données projet'!$E$11+1,1))-AVERAGE(OFFSET($H$3,0,0,'Données projet'!$E$11+1,1))</f>
        <v>488.7825919901664</v>
      </c>
      <c r="BJ73" s="60">
        <f t="shared" si="92"/>
        <v>278.78817181412438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266.68199999999996</v>
      </c>
      <c r="CA73" s="14">
        <f t="shared" si="93"/>
        <v>64.144600001897771</v>
      </c>
      <c r="CB73" s="22">
        <f t="shared" si="64"/>
        <v>576.189661669972</v>
      </c>
      <c r="CC73" s="60">
        <f t="shared" si="65"/>
        <v>869.52299500330537</v>
      </c>
      <c r="CD73" s="60">
        <f ca="1">AVERAGE(OFFSET($CC$3,0,0,'Données projet'!$E$12+1,1))-AVERAGE(OFFSET($H$3,0,0,'Données projet'!$E$12+1,1))</f>
        <v>475.47920969424894</v>
      </c>
      <c r="CE73" s="60">
        <f t="shared" si="94"/>
        <v>271.73544012419364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237.96239999999995</v>
      </c>
      <c r="CV73" s="14">
        <f t="shared" si="95"/>
        <v>58.00091360766335</v>
      </c>
      <c r="CW73" s="22">
        <f t="shared" si="67"/>
        <v>515.4694378666801</v>
      </c>
      <c r="CX73" s="60">
        <f t="shared" si="68"/>
        <v>808.80277120001347</v>
      </c>
      <c r="CY73" s="60">
        <f ca="1">AVERAGE(OFFSET($CX$3,0,0,'Données projet'!$E$13+1,1))-AVERAGE(OFFSET($H$3,0,0,'Données projet'!$E$13+1,1))</f>
        <v>428.8489304403459</v>
      </c>
      <c r="CZ73" s="60">
        <f t="shared" si="96"/>
        <v>247.01165577562966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283.09319999999991</v>
      </c>
      <c r="DQ73" s="14">
        <f t="shared" si="97"/>
        <v>67.620272397048666</v>
      </c>
      <c r="DR73" s="22">
        <f t="shared" si="70"/>
        <v>610.82596442485954</v>
      </c>
      <c r="DS73" s="60">
        <f t="shared" si="71"/>
        <v>904.15929775819291</v>
      </c>
      <c r="DT73" s="60">
        <f ca="1">AVERAGE(OFFSET($DS$3,0,0,'Données projet'!$E$14+1,1))-AVERAGE(OFFSET($H$3,0,0,'Données projet'!$E$14+1,1))</f>
        <v>502.07782026233912</v>
      </c>
      <c r="DU73" s="60">
        <f t="shared" si="98"/>
        <v>285.83623046025156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12.875</v>
      </c>
      <c r="EJ73" s="13">
        <f>IF('Données projet'!$A$192&gt;35,EJ72+EI73-ER72,IF(A73&lt;'Données projet'!$A$192,$EG$205^A73,IF(A73='Données projet'!$A$192,'Données projet'!$B$192,EJ72+EI73-ER72)))</f>
        <v>481.49999999999977</v>
      </c>
      <c r="EK73" s="18">
        <f>EJ73*VLOOKUP('Données projet'!$B$15,Paramètres!$A$1:$I$89,3,0)*VLOOKUP('Données projet'!$B$15,Paramètres!$A$1:$I$89,5,0)</f>
        <v>287.9369999999999</v>
      </c>
      <c r="EL73" s="14">
        <f t="shared" si="99"/>
        <v>68.641586729718156</v>
      </c>
      <c r="EM73" s="22">
        <f t="shared" si="73"/>
        <v>621.04103855425888</v>
      </c>
      <c r="EN73" s="60">
        <f t="shared" si="74"/>
        <v>914.37437188759213</v>
      </c>
      <c r="EO73" s="60">
        <f ca="1">AVERAGE(OFFSET($EN$3,0,0,'Données projet'!$E$15+1,1))-AVERAGE(OFFSET($H$3,0,0,'Données projet'!$E$15+1,1))</f>
        <v>392.62423122800357</v>
      </c>
      <c r="EP73" s="60">
        <f t="shared" si="100"/>
        <v>314.09619163968642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3.7427248011557621</v>
      </c>
      <c r="EX73" s="23">
        <f>EXP(-LN(2)/2)*EX72+(1-EXP(-LN(2)/2))/(LN(2)/2)*ER73*EU73*VLOOKUP('Données projet'!$B$15,Paramètres!$A$1:$I$89,3,0)*0.475*44/12</f>
        <v>1.6788432847920889E-5</v>
      </c>
      <c r="EY73" s="24">
        <f t="shared" si="75"/>
        <v>3.74274158958861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>
        <f>FE73*VLOOKUP('Données projet'!$B$16,Paramètres!$A$1:$I$89,3,0)*VLOOKUP('Données projet'!$B$16,Paramètres!$A$1:$I$89,5,0)</f>
        <v>0</v>
      </c>
      <c r="FG73" s="14" t="e">
        <f t="shared" si="101"/>
        <v>#NUM!</v>
      </c>
      <c r="FH73" s="22" t="e">
        <f t="shared" si="76"/>
        <v>#NUM!</v>
      </c>
      <c r="FI73" s="60" t="e">
        <f t="shared" si="77"/>
        <v>#NUM!</v>
      </c>
      <c r="FJ73" s="60">
        <f ca="1">AVERAGE(OFFSET($FI$3,0,0,'Données projet'!$E$16+1,1))-AVERAGE(OFFSET($H$3,0,0,'Données projet'!$E$16+1,1))</f>
        <v>207.03241199974599</v>
      </c>
      <c r="FK73" s="60">
        <f t="shared" si="102"/>
        <v>314.188568589113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6.1140623442137079</v>
      </c>
      <c r="FR73" s="23">
        <f>EXP(-LN(2)/25)*FR72+(1-EXP(-LN(2)/25))/(LN(2)/25)*Calculateur!FM73*Calculateur!FO73*VLOOKUP('Données projet'!$B$16,Paramètres!$A$1:$I$89,3,0)*0.475*44/12</f>
        <v>3.2161071030270825</v>
      </c>
      <c r="FS73" s="23">
        <f>EXP(-LN(2)/2)*FS72+(1-EXP(-LN(2)/2))/(LN(2)/2)*FM73*FP73*VLOOKUP('Données projet'!$B$16,Paramètres!$A$1:$I$89,3,0)*0.475*44/12</f>
        <v>2.7889515847328279E-6</v>
      </c>
      <c r="FT73" s="24">
        <f t="shared" si="78"/>
        <v>9.3301722361923751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3.9743589743589722</v>
      </c>
      <c r="N74" s="14">
        <f>IF('Données projet'!$A$36&gt;35,N73+M74-V73,IF(A74&lt;'Données projet'!$A$36,$K$205^A74,IF(A74='Données projet'!$A$36,'Données projet'!$B$36,N73+M74-V73)))</f>
        <v>198.20512820512812</v>
      </c>
      <c r="O74" s="14">
        <f>N74*VLOOKUP('Données projet'!$B$9,Paramètres!$A$1:$I$89,3,0)*VLOOKUP('Données projet'!$B$9,Paramètres!$A$1:$I$89,5,0)</f>
        <v>188.61199999999991</v>
      </c>
      <c r="P74" s="14">
        <f t="shared" si="87"/>
        <v>47.232954932734806</v>
      </c>
      <c r="Q74" s="22">
        <f t="shared" si="54"/>
        <v>410.76329650784623</v>
      </c>
      <c r="R74" s="60">
        <f t="shared" si="55"/>
        <v>704.09662984117949</v>
      </c>
      <c r="S74" s="60">
        <f ca="1">AVERAGE(OFFSET($R$3,0,0,'Données projet'!$E$9+1,1))-AVERAGE(OFFSET($H$3,0,0,'Données projet'!$E$9+1,1))</f>
        <v>353.61481736740694</v>
      </c>
      <c r="T74" s="60">
        <f t="shared" si="88"/>
        <v>244.7141066773861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219.74783999999994</v>
      </c>
      <c r="AK74" s="14">
        <f t="shared" si="89"/>
        <v>54.060076332940561</v>
      </c>
      <c r="AL74" s="22">
        <f t="shared" si="58"/>
        <v>476.88212094653812</v>
      </c>
      <c r="AM74" s="60">
        <f t="shared" si="59"/>
        <v>770.21545427987144</v>
      </c>
      <c r="AN74" s="60">
        <f ca="1">AVERAGE(OFFSET($AM$3,0,0,'Données projet'!$E$10+1,1))-AVERAGE(OFFSET($H$3,0,0,'Données projet'!$E$10+1,1))</f>
        <v>455.50822833641354</v>
      </c>
      <c r="AO74" s="60">
        <f t="shared" si="90"/>
        <v>261.14722581688039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237.46943999999993</v>
      </c>
      <c r="BF74" s="14">
        <f t="shared" si="91"/>
        <v>57.894732737332582</v>
      </c>
      <c r="BG74" s="22">
        <f t="shared" si="61"/>
        <v>514.42593418418744</v>
      </c>
      <c r="BH74" s="60">
        <f t="shared" si="62"/>
        <v>807.75926751752081</v>
      </c>
      <c r="BI74" s="60">
        <f ca="1">AVERAGE(OFFSET($BH$3,0,0,'Données projet'!$E$11+1,1))-AVERAGE(OFFSET($H$3,0,0,'Données projet'!$E$11+1,1))</f>
        <v>488.7825919901664</v>
      </c>
      <c r="BJ74" s="60">
        <f t="shared" si="92"/>
        <v>278.78817181412438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230.38079999999994</v>
      </c>
      <c r="CA74" s="14">
        <f t="shared" si="93"/>
        <v>56.365011465139979</v>
      </c>
      <c r="CB74" s="22">
        <f t="shared" si="64"/>
        <v>499.41562163511867</v>
      </c>
      <c r="CC74" s="60">
        <f t="shared" si="65"/>
        <v>792.74895496845193</v>
      </c>
      <c r="CD74" s="60">
        <f ca="1">AVERAGE(OFFSET($CC$3,0,0,'Données projet'!$E$12+1,1))-AVERAGE(OFFSET($H$3,0,0,'Données projet'!$E$12+1,1))</f>
        <v>475.47920969424894</v>
      </c>
      <c r="CE74" s="60">
        <f t="shared" si="94"/>
        <v>271.73544012419364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205.57055999999994</v>
      </c>
      <c r="CV74" s="14">
        <f t="shared" si="95"/>
        <v>50.966443946767392</v>
      </c>
      <c r="CW74" s="22">
        <f t="shared" si="67"/>
        <v>446.80194854061978</v>
      </c>
      <c r="CX74" s="60">
        <f t="shared" si="68"/>
        <v>740.13528187395309</v>
      </c>
      <c r="CY74" s="60">
        <f ca="1">AVERAGE(OFFSET($CX$3,0,0,'Données projet'!$E$13+1,1))-AVERAGE(OFFSET($H$3,0,0,'Données projet'!$E$13+1,1))</f>
        <v>428.8489304403459</v>
      </c>
      <c r="CZ74" s="60">
        <f t="shared" si="96"/>
        <v>247.01165577562966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244.55807999999993</v>
      </c>
      <c r="DQ74" s="14">
        <f t="shared" si="97"/>
        <v>59.419147189674156</v>
      </c>
      <c r="DR74" s="22">
        <f t="shared" si="70"/>
        <v>529.42700402201569</v>
      </c>
      <c r="DS74" s="60">
        <f t="shared" si="71"/>
        <v>822.76033735534907</v>
      </c>
      <c r="DT74" s="60">
        <f ca="1">AVERAGE(OFFSET($DS$3,0,0,'Données projet'!$E$14+1,1))-AVERAGE(OFFSET($H$3,0,0,'Données projet'!$E$14+1,1))</f>
        <v>502.07782026233912</v>
      </c>
      <c r="DU74" s="60">
        <f t="shared" si="98"/>
        <v>285.83623046025156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12.875</v>
      </c>
      <c r="EJ74" s="13">
        <f>IF('Données projet'!$A$192&gt;35,EJ73+EI74-ER73,IF(A74&lt;'Données projet'!$A$192,$EG$205^A74,IF(A74='Données projet'!$A$192,'Données projet'!$B$192,EJ73+EI74-ER73)))</f>
        <v>494.37499999999977</v>
      </c>
      <c r="EK74" s="18">
        <f>EJ74*VLOOKUP('Données projet'!$B$15,Paramètres!$A$1:$I$89,3,0)*VLOOKUP('Données projet'!$B$15,Paramètres!$A$1:$I$89,5,0)</f>
        <v>295.6362499999999</v>
      </c>
      <c r="EL74" s="14">
        <f t="shared" si="99"/>
        <v>70.260875189476366</v>
      </c>
      <c r="EM74" s="22">
        <f t="shared" si="73"/>
        <v>637.27082637167109</v>
      </c>
      <c r="EN74" s="60">
        <f t="shared" si="74"/>
        <v>930.60415970500435</v>
      </c>
      <c r="EO74" s="60">
        <f ca="1">AVERAGE(OFFSET($EN$3,0,0,'Données projet'!$E$15+1,1))-AVERAGE(OFFSET($H$3,0,0,'Données projet'!$E$15+1,1))</f>
        <v>392.62423122800357</v>
      </c>
      <c r="EP74" s="60">
        <f t="shared" si="100"/>
        <v>314.09619163968642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3.6403797946468148</v>
      </c>
      <c r="EX74" s="23">
        <f>EXP(-LN(2)/2)*EX73+(1-EXP(-LN(2)/2))/(LN(2)/2)*ER74*EU74*VLOOKUP('Données projet'!$B$15,Paramètres!$A$1:$I$89,3,0)*0.475*44/12</f>
        <v>1.1871214712259843E-5</v>
      </c>
      <c r="EY74" s="24">
        <f t="shared" si="75"/>
        <v>3.640391665861527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>
        <f>FE74*VLOOKUP('Données projet'!$B$16,Paramètres!$A$1:$I$89,3,0)*VLOOKUP('Données projet'!$B$16,Paramètres!$A$1:$I$89,5,0)</f>
        <v>0</v>
      </c>
      <c r="FG74" s="14" t="e">
        <f t="shared" si="101"/>
        <v>#NUM!</v>
      </c>
      <c r="FH74" s="22" t="e">
        <f t="shared" si="76"/>
        <v>#NUM!</v>
      </c>
      <c r="FI74" s="60" t="e">
        <f t="shared" si="77"/>
        <v>#NUM!</v>
      </c>
      <c r="FJ74" s="60">
        <f ca="1">AVERAGE(OFFSET($FI$3,0,0,'Données projet'!$E$16+1,1))-AVERAGE(OFFSET($H$3,0,0,'Données projet'!$E$16+1,1))</f>
        <v>207.03241199974599</v>
      </c>
      <c r="FK74" s="60">
        <f t="shared" si="102"/>
        <v>314.188568589113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5.9941693108534784</v>
      </c>
      <c r="FR74" s="23">
        <f>EXP(-LN(2)/25)*FR73+(1-EXP(-LN(2)/25))/(LN(2)/25)*Calculateur!FM74*Calculateur!FO74*VLOOKUP('Données projet'!$B$16,Paramètres!$A$1:$I$89,3,0)*0.475*44/12</f>
        <v>3.1281624851670848</v>
      </c>
      <c r="FS74" s="23">
        <f>EXP(-LN(2)/2)*FS73+(1-EXP(-LN(2)/2))/(LN(2)/2)*FM74*FP74*VLOOKUP('Données projet'!$B$16,Paramètres!$A$1:$I$89,3,0)*0.475*44/12</f>
        <v>1.9720865779655507E-6</v>
      </c>
      <c r="FT74" s="24">
        <f t="shared" si="78"/>
        <v>9.1223337681071417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3.9743589743589722</v>
      </c>
      <c r="N75" s="14">
        <f>IF('Données projet'!$A$36&gt;35,N74+M75-V74,IF(A75&lt;'Données projet'!$A$36,$K$205^A75,IF(A75='Données projet'!$A$36,'Données projet'!$B$36,N74+M75-V74)))</f>
        <v>202.1794871794871</v>
      </c>
      <c r="O75" s="14">
        <f>N75*VLOOKUP('Données projet'!$B$9,Paramètres!$A$1:$I$89,3,0)*VLOOKUP('Données projet'!$B$9,Paramètres!$A$1:$I$89,5,0)</f>
        <v>192.39399999999992</v>
      </c>
      <c r="P75" s="14">
        <f t="shared" si="87"/>
        <v>48.06884593738954</v>
      </c>
      <c r="Q75" s="22">
        <f t="shared" si="54"/>
        <v>418.80612334095326</v>
      </c>
      <c r="R75" s="60">
        <f t="shared" si="55"/>
        <v>712.13945667428652</v>
      </c>
      <c r="S75" s="60">
        <f ca="1">AVERAGE(OFFSET($R$3,0,0,'Données projet'!$E$9+1,1))-AVERAGE(OFFSET($H$3,0,0,'Données projet'!$E$9+1,1))</f>
        <v>353.61481736740694</v>
      </c>
      <c r="T75" s="60">
        <f t="shared" si="88"/>
        <v>244.7141066773861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225.74447999999992</v>
      </c>
      <c r="AK75" s="14">
        <f t="shared" si="89"/>
        <v>55.36154088431374</v>
      </c>
      <c r="AL75" s="22">
        <f t="shared" si="58"/>
        <v>489.59298637351299</v>
      </c>
      <c r="AM75" s="60">
        <f t="shared" si="59"/>
        <v>782.92631970684624</v>
      </c>
      <c r="AN75" s="60">
        <f ca="1">AVERAGE(OFFSET($AM$3,0,0,'Données projet'!$E$10+1,1))-AVERAGE(OFFSET($H$3,0,0,'Données projet'!$E$10+1,1))</f>
        <v>455.50822833641354</v>
      </c>
      <c r="AO75" s="60">
        <f t="shared" si="90"/>
        <v>261.14722581688039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243.94967999999994</v>
      </c>
      <c r="BF75" s="14">
        <f t="shared" si="91"/>
        <v>59.288514386933123</v>
      </c>
      <c r="BG75" s="22">
        <f t="shared" si="61"/>
        <v>528.1398552239084</v>
      </c>
      <c r="BH75" s="60">
        <f t="shared" si="62"/>
        <v>821.47318855724166</v>
      </c>
      <c r="BI75" s="60">
        <f ca="1">AVERAGE(OFFSET($BH$3,0,0,'Données projet'!$E$11+1,1))-AVERAGE(OFFSET($H$3,0,0,'Données projet'!$E$11+1,1))</f>
        <v>488.7825919901664</v>
      </c>
      <c r="BJ75" s="60">
        <f t="shared" si="92"/>
        <v>278.78817181412438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236.66759999999994</v>
      </c>
      <c r="CA75" s="14">
        <f t="shared" si="93"/>
        <v>57.721965974560838</v>
      </c>
      <c r="CB75" s="22">
        <f t="shared" si="64"/>
        <v>512.72849407235992</v>
      </c>
      <c r="CC75" s="60">
        <f t="shared" si="65"/>
        <v>806.06182740569329</v>
      </c>
      <c r="CD75" s="60">
        <f ca="1">AVERAGE(OFFSET($CC$3,0,0,'Données projet'!$E$12+1,1))-AVERAGE(OFFSET($H$3,0,0,'Données projet'!$E$12+1,1))</f>
        <v>475.47920969424894</v>
      </c>
      <c r="CE75" s="60">
        <f t="shared" si="94"/>
        <v>271.73544012419364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211.18031999999994</v>
      </c>
      <c r="CV75" s="14">
        <f t="shared" si="95"/>
        <v>52.193431117443019</v>
      </c>
      <c r="CW75" s="22">
        <f t="shared" si="67"/>
        <v>458.70928319621316</v>
      </c>
      <c r="CX75" s="60">
        <f t="shared" si="68"/>
        <v>752.04261652954642</v>
      </c>
      <c r="CY75" s="60">
        <f ca="1">AVERAGE(OFFSET($CX$3,0,0,'Données projet'!$E$13+1,1))-AVERAGE(OFFSET($H$3,0,0,'Données projet'!$E$13+1,1))</f>
        <v>428.8489304403459</v>
      </c>
      <c r="CZ75" s="60">
        <f t="shared" si="96"/>
        <v>247.01165577562966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251.23175999999989</v>
      </c>
      <c r="DQ75" s="14">
        <f t="shared" si="97"/>
        <v>60.849628220886878</v>
      </c>
      <c r="DR75" s="22">
        <f t="shared" si="70"/>
        <v>543.54175115137775</v>
      </c>
      <c r="DS75" s="60">
        <f t="shared" si="71"/>
        <v>836.87508448471112</v>
      </c>
      <c r="DT75" s="60">
        <f ca="1">AVERAGE(OFFSET($DS$3,0,0,'Données projet'!$E$14+1,1))-AVERAGE(OFFSET($H$3,0,0,'Données projet'!$E$14+1,1))</f>
        <v>502.07782026233912</v>
      </c>
      <c r="DU75" s="60">
        <f t="shared" si="98"/>
        <v>285.83623046025156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12.875</v>
      </c>
      <c r="EJ75" s="13">
        <f>IF('Données projet'!$A$192&gt;35,EJ74+EI75-ER74,IF(A75&lt;'Données projet'!$A$192,$EG$205^A75,IF(A75='Données projet'!$A$192,'Données projet'!$B$192,EJ74+EI75-ER74)))</f>
        <v>507.24999999999977</v>
      </c>
      <c r="EK75" s="18">
        <f>EJ75*VLOOKUP('Données projet'!$B$15,Paramètres!$A$1:$I$89,3,0)*VLOOKUP('Données projet'!$B$15,Paramètres!$A$1:$I$89,5,0)</f>
        <v>303.33549999999985</v>
      </c>
      <c r="EL75" s="14">
        <f t="shared" si="99"/>
        <v>71.875261779950591</v>
      </c>
      <c r="EM75" s="22">
        <f t="shared" si="73"/>
        <v>653.492076766747</v>
      </c>
      <c r="EN75" s="60">
        <f t="shared" si="74"/>
        <v>946.82541010008026</v>
      </c>
      <c r="EO75" s="60">
        <f ca="1">AVERAGE(OFFSET($EN$3,0,0,'Données projet'!$E$15+1,1))-AVERAGE(OFFSET($H$3,0,0,'Données projet'!$E$15+1,1))</f>
        <v>392.62423122800357</v>
      </c>
      <c r="EP75" s="60">
        <f t="shared" si="100"/>
        <v>314.09619163968642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3.5408334177229444</v>
      </c>
      <c r="EX75" s="23">
        <f>EXP(-LN(2)/2)*EX74+(1-EXP(-LN(2)/2))/(LN(2)/2)*ER75*EU75*VLOOKUP('Données projet'!$B$15,Paramètres!$A$1:$I$89,3,0)*0.475*44/12</f>
        <v>8.3942164239604447E-6</v>
      </c>
      <c r="EY75" s="24">
        <f t="shared" si="75"/>
        <v>3.5408418119393685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>
        <f>FE75*VLOOKUP('Données projet'!$B$16,Paramètres!$A$1:$I$89,3,0)*VLOOKUP('Données projet'!$B$16,Paramètres!$A$1:$I$89,5,0)</f>
        <v>0</v>
      </c>
      <c r="FG75" s="14" t="e">
        <f t="shared" si="101"/>
        <v>#NUM!</v>
      </c>
      <c r="FH75" s="22" t="e">
        <f t="shared" si="76"/>
        <v>#NUM!</v>
      </c>
      <c r="FI75" s="60" t="e">
        <f t="shared" si="77"/>
        <v>#NUM!</v>
      </c>
      <c r="FJ75" s="60">
        <f ca="1">AVERAGE(OFFSET($FI$3,0,0,'Données projet'!$E$16+1,1))-AVERAGE(OFFSET($H$3,0,0,'Données projet'!$E$16+1,1))</f>
        <v>207.03241199974599</v>
      </c>
      <c r="FK75" s="60">
        <f t="shared" si="102"/>
        <v>314.188568589113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5.8766273067499135</v>
      </c>
      <c r="FR75" s="23">
        <f>EXP(-LN(2)/25)*FR74+(1-EXP(-LN(2)/25))/(LN(2)/25)*Calculateur!FM75*Calculateur!FO75*VLOOKUP('Données projet'!$B$16,Paramètres!$A$1:$I$89,3,0)*0.475*44/12</f>
        <v>3.0426227175072755</v>
      </c>
      <c r="FS75" s="23">
        <f>EXP(-LN(2)/2)*FS74+(1-EXP(-LN(2)/2))/(LN(2)/2)*FM75*FP75*VLOOKUP('Données projet'!$B$16,Paramètres!$A$1:$I$89,3,0)*0.475*44/12</f>
        <v>1.394475792366414E-6</v>
      </c>
      <c r="FT75" s="24">
        <f t="shared" si="78"/>
        <v>8.9192514187329799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3.9743589743589722</v>
      </c>
      <c r="N76" s="14">
        <f>IF('Données projet'!$A$36&gt;35,N75+M76-V75,IF(A76&lt;'Données projet'!$A$36,$K$205^A76,IF(A76='Données projet'!$A$36,'Données projet'!$B$36,N75+M76-V75)))</f>
        <v>206.15384615384608</v>
      </c>
      <c r="O76" s="14">
        <f>N76*VLOOKUP('Données projet'!$B$9,Paramètres!$A$1:$I$89,3,0)*VLOOKUP('Données projet'!$B$9,Paramètres!$A$1:$I$89,5,0)</f>
        <v>196.17599999999993</v>
      </c>
      <c r="P76" s="14">
        <f t="shared" si="87"/>
        <v>48.902826361146467</v>
      </c>
      <c r="Q76" s="22">
        <f t="shared" si="54"/>
        <v>426.84562257899665</v>
      </c>
      <c r="R76" s="60">
        <f t="shared" si="55"/>
        <v>720.17895591232991</v>
      </c>
      <c r="S76" s="60">
        <f ca="1">AVERAGE(OFFSET($R$3,0,0,'Données projet'!$E$9+1,1))-AVERAGE(OFFSET($H$3,0,0,'Données projet'!$E$9+1,1))</f>
        <v>353.61481736740694</v>
      </c>
      <c r="T76" s="60">
        <f t="shared" si="88"/>
        <v>244.7141066773861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231.74111999999991</v>
      </c>
      <c r="AK76" s="14">
        <f t="shared" si="89"/>
        <v>56.658986982752438</v>
      </c>
      <c r="AL76" s="22">
        <f t="shared" si="58"/>
        <v>502.29685299496032</v>
      </c>
      <c r="AM76" s="60">
        <f t="shared" si="59"/>
        <v>795.63018632829358</v>
      </c>
      <c r="AN76" s="60">
        <f ca="1">AVERAGE(OFFSET($AM$3,0,0,'Données projet'!$E$10+1,1))-AVERAGE(OFFSET($H$3,0,0,'Données projet'!$E$10+1,1))</f>
        <v>455.50822833641354</v>
      </c>
      <c r="AO76" s="60">
        <f t="shared" si="90"/>
        <v>261.14722581688039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250.42991999999992</v>
      </c>
      <c r="BF76" s="14">
        <f t="shared" si="91"/>
        <v>60.677992541710218</v>
      </c>
      <c r="BG76" s="22">
        <f t="shared" si="61"/>
        <v>541.84628101014516</v>
      </c>
      <c r="BH76" s="60">
        <f t="shared" si="62"/>
        <v>835.17961434347853</v>
      </c>
      <c r="BI76" s="60">
        <f ca="1">AVERAGE(OFFSET($BH$3,0,0,'Données projet'!$E$11+1,1))-AVERAGE(OFFSET($H$3,0,0,'Données projet'!$E$11+1,1))</f>
        <v>488.7825919901664</v>
      </c>
      <c r="BJ76" s="60">
        <f t="shared" si="92"/>
        <v>278.78817181412438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242.95439999999994</v>
      </c>
      <c r="CA76" s="14">
        <f t="shared" si="93"/>
        <v>59.074730698078945</v>
      </c>
      <c r="CB76" s="22">
        <f t="shared" si="64"/>
        <v>526.034069299154</v>
      </c>
      <c r="CC76" s="60">
        <f t="shared" si="65"/>
        <v>819.36740263248726</v>
      </c>
      <c r="CD76" s="60">
        <f ca="1">AVERAGE(OFFSET($CC$3,0,0,'Données projet'!$E$12+1,1))-AVERAGE(OFFSET($H$3,0,0,'Données projet'!$E$12+1,1))</f>
        <v>475.47920969424894</v>
      </c>
      <c r="CE76" s="60">
        <f t="shared" si="94"/>
        <v>271.73544012419364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216.7900799999999</v>
      </c>
      <c r="CV76" s="14">
        <f t="shared" si="95"/>
        <v>53.416629794462551</v>
      </c>
      <c r="CW76" s="22">
        <f t="shared" si="67"/>
        <v>470.61001955868869</v>
      </c>
      <c r="CX76" s="60">
        <f t="shared" si="68"/>
        <v>763.94335289202195</v>
      </c>
      <c r="CY76" s="60">
        <f ca="1">AVERAGE(OFFSET($CX$3,0,0,'Données projet'!$E$13+1,1))-AVERAGE(OFFSET($H$3,0,0,'Données projet'!$E$13+1,1))</f>
        <v>428.8489304403459</v>
      </c>
      <c r="CZ76" s="60">
        <f t="shared" si="96"/>
        <v>247.01165577562966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257.90543999999989</v>
      </c>
      <c r="DQ76" s="14">
        <f t="shared" si="97"/>
        <v>62.275692442827719</v>
      </c>
      <c r="DR76" s="22">
        <f t="shared" si="70"/>
        <v>557.64880567125817</v>
      </c>
      <c r="DS76" s="60">
        <f t="shared" si="71"/>
        <v>850.98213900459155</v>
      </c>
      <c r="DT76" s="60">
        <f ca="1">AVERAGE(OFFSET($DS$3,0,0,'Données projet'!$E$14+1,1))-AVERAGE(OFFSET($H$3,0,0,'Données projet'!$E$14+1,1))</f>
        <v>502.07782026233912</v>
      </c>
      <c r="DU76" s="60">
        <f t="shared" si="98"/>
        <v>285.83623046025156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12.875</v>
      </c>
      <c r="EJ76" s="13">
        <f>IF('Données projet'!$A$192&gt;35,EJ75+EI76-ER75,IF(A76&lt;'Données projet'!$A$192,$EG$205^A76,IF(A76='Données projet'!$A$192,'Données projet'!$B$192,EJ75+EI76-ER75)))</f>
        <v>520.12499999999977</v>
      </c>
      <c r="EK76" s="18">
        <f>EJ76*VLOOKUP('Données projet'!$B$15,Paramètres!$A$1:$I$89,3,0)*VLOOKUP('Données projet'!$B$15,Paramètres!$A$1:$I$89,5,0)</f>
        <v>311.03474999999992</v>
      </c>
      <c r="EL76" s="14">
        <f t="shared" si="99"/>
        <v>73.484885227728896</v>
      </c>
      <c r="EM76" s="22">
        <f t="shared" si="73"/>
        <v>669.70503135496108</v>
      </c>
      <c r="EN76" s="60">
        <f t="shared" si="74"/>
        <v>963.03836468829445</v>
      </c>
      <c r="EO76" s="60">
        <f ca="1">AVERAGE(OFFSET($EN$3,0,0,'Données projet'!$E$15+1,1))-AVERAGE(OFFSET($H$3,0,0,'Données projet'!$E$15+1,1))</f>
        <v>392.62423122800357</v>
      </c>
      <c r="EP76" s="60">
        <f t="shared" si="100"/>
        <v>314.09619163968642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3.4440091417109735</v>
      </c>
      <c r="EX76" s="23">
        <f>EXP(-LN(2)/2)*EX75+(1-EXP(-LN(2)/2))/(LN(2)/2)*ER76*EU76*VLOOKUP('Données projet'!$B$15,Paramètres!$A$1:$I$89,3,0)*0.475*44/12</f>
        <v>5.9356073561299217E-6</v>
      </c>
      <c r="EY76" s="24">
        <f t="shared" si="75"/>
        <v>3.4440150773183298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>
        <f>FE76*VLOOKUP('Données projet'!$B$16,Paramètres!$A$1:$I$89,3,0)*VLOOKUP('Données projet'!$B$16,Paramètres!$A$1:$I$89,5,0)</f>
        <v>0</v>
      </c>
      <c r="FG76" s="14" t="e">
        <f t="shared" si="101"/>
        <v>#NUM!</v>
      </c>
      <c r="FH76" s="22" t="e">
        <f t="shared" si="76"/>
        <v>#NUM!</v>
      </c>
      <c r="FI76" s="60" t="e">
        <f t="shared" si="77"/>
        <v>#NUM!</v>
      </c>
      <c r="FJ76" s="60">
        <f ca="1">AVERAGE(OFFSET($FI$3,0,0,'Données projet'!$E$16+1,1))-AVERAGE(OFFSET($H$3,0,0,'Données projet'!$E$16+1,1))</f>
        <v>207.03241199974599</v>
      </c>
      <c r="FK76" s="60">
        <f t="shared" si="102"/>
        <v>314.188568589113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5.7613902296532755</v>
      </c>
      <c r="FR76" s="23">
        <f>EXP(-LN(2)/25)*FR75+(1-EXP(-LN(2)/25))/(LN(2)/25)*Calculateur!FM76*Calculateur!FO76*VLOOKUP('Données projet'!$B$16,Paramètres!$A$1:$I$89,3,0)*0.475*44/12</f>
        <v>2.9594220392924644</v>
      </c>
      <c r="FS76" s="23">
        <f>EXP(-LN(2)/2)*FS75+(1-EXP(-LN(2)/2))/(LN(2)/2)*FM76*FP76*VLOOKUP('Données projet'!$B$16,Paramètres!$A$1:$I$89,3,0)*0.475*44/12</f>
        <v>9.8604328898277535E-7</v>
      </c>
      <c r="FT76" s="24">
        <f t="shared" si="78"/>
        <v>8.7208132549890287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3.9743589743589722</v>
      </c>
      <c r="N77" s="14">
        <f>IF('Données projet'!$A$36&gt;35,N76+M77-V76,IF(A77&lt;'Données projet'!$A$36,$K$205^A77,IF(A77='Données projet'!$A$36,'Données projet'!$B$36,N76+M77-V76)))</f>
        <v>210.12820512820505</v>
      </c>
      <c r="O77" s="14">
        <f>N77*VLOOKUP('Données projet'!$B$9,Paramètres!$A$1:$I$89,3,0)*VLOOKUP('Données projet'!$B$9,Paramètres!$A$1:$I$89,5,0)</f>
        <v>199.95799999999994</v>
      </c>
      <c r="P77" s="14">
        <f t="shared" si="87"/>
        <v>49.734937283774826</v>
      </c>
      <c r="Q77" s="22">
        <f t="shared" si="54"/>
        <v>434.88186576924096</v>
      </c>
      <c r="R77" s="60">
        <f t="shared" si="55"/>
        <v>728.21519910257427</v>
      </c>
      <c r="S77" s="60">
        <f ca="1">AVERAGE(OFFSET($R$3,0,0,'Données projet'!$E$9+1,1))-AVERAGE(OFFSET($H$3,0,0,'Données projet'!$E$9+1,1))</f>
        <v>353.61481736740694</v>
      </c>
      <c r="T77" s="60">
        <f t="shared" si="88"/>
        <v>244.7141066773861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237.73775999999989</v>
      </c>
      <c r="AK77" s="14">
        <f t="shared" si="89"/>
        <v>57.952530566790166</v>
      </c>
      <c r="AL77" s="22">
        <f t="shared" si="58"/>
        <v>514.99392273715932</v>
      </c>
      <c r="AM77" s="60">
        <f t="shared" si="59"/>
        <v>808.32725607049269</v>
      </c>
      <c r="AN77" s="60">
        <f ca="1">AVERAGE(OFFSET($AM$3,0,0,'Données projet'!$E$10+1,1))-AVERAGE(OFFSET($H$3,0,0,'Données projet'!$E$10+1,1))</f>
        <v>455.50822833641354</v>
      </c>
      <c r="AO77" s="60">
        <f t="shared" si="90"/>
        <v>261.14722581688039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256.91015999999991</v>
      </c>
      <c r="BF77" s="14">
        <f t="shared" si="91"/>
        <v>62.063291364093232</v>
      </c>
      <c r="BG77" s="22">
        <f t="shared" si="61"/>
        <v>555.54542779246219</v>
      </c>
      <c r="BH77" s="60">
        <f t="shared" si="62"/>
        <v>848.87876112579556</v>
      </c>
      <c r="BI77" s="60">
        <f ca="1">AVERAGE(OFFSET($BH$3,0,0,'Données projet'!$E$11+1,1))-AVERAGE(OFFSET($H$3,0,0,'Données projet'!$E$11+1,1))</f>
        <v>488.7825919901664</v>
      </c>
      <c r="BJ77" s="60">
        <f t="shared" si="92"/>
        <v>278.78817181412438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249.24119999999988</v>
      </c>
      <c r="CA77" s="14">
        <f t="shared" si="93"/>
        <v>60.42342651744687</v>
      </c>
      <c r="CB77" s="22">
        <f t="shared" si="64"/>
        <v>539.3325578512198</v>
      </c>
      <c r="CC77" s="60">
        <f t="shared" si="65"/>
        <v>832.66589118455317</v>
      </c>
      <c r="CD77" s="60">
        <f ca="1">AVERAGE(OFFSET($CC$3,0,0,'Données projet'!$E$12+1,1))-AVERAGE(OFFSET($H$3,0,0,'Données projet'!$E$12+1,1))</f>
        <v>475.47920969424894</v>
      </c>
      <c r="CE77" s="60">
        <f t="shared" si="94"/>
        <v>271.73544012419364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222.3998399999999</v>
      </c>
      <c r="CV77" s="14">
        <f t="shared" si="95"/>
        <v>54.636149281681448</v>
      </c>
      <c r="CW77" s="22">
        <f t="shared" si="67"/>
        <v>482.50434799892832</v>
      </c>
      <c r="CX77" s="60">
        <f t="shared" si="68"/>
        <v>775.83768133226158</v>
      </c>
      <c r="CY77" s="60">
        <f ca="1">AVERAGE(OFFSET($CX$3,0,0,'Données projet'!$E$13+1,1))-AVERAGE(OFFSET($H$3,0,0,'Données projet'!$E$13+1,1))</f>
        <v>428.8489304403459</v>
      </c>
      <c r="CZ77" s="60">
        <f t="shared" si="96"/>
        <v>247.01165577562966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264.57911999999988</v>
      </c>
      <c r="DQ77" s="14">
        <f t="shared" si="97"/>
        <v>63.697467287221869</v>
      </c>
      <c r="DR77" s="22">
        <f t="shared" si="70"/>
        <v>571.74838952524453</v>
      </c>
      <c r="DS77" s="60">
        <f t="shared" si="71"/>
        <v>865.0817228585779</v>
      </c>
      <c r="DT77" s="60">
        <f ca="1">AVERAGE(OFFSET($DS$3,0,0,'Données projet'!$E$14+1,1))-AVERAGE(OFFSET($H$3,0,0,'Données projet'!$E$14+1,1))</f>
        <v>502.07782026233912</v>
      </c>
      <c r="DU77" s="60">
        <f t="shared" si="98"/>
        <v>285.83623046025156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>
        <f>VLOOKUP(A77,'Données projet'!$A$191:$I$211,2,0)</f>
        <v>533</v>
      </c>
      <c r="EH77" s="13">
        <f>VLOOKUP(A77,'Données projet'!$A$191:$I$211,9,0)</f>
        <v>12.875</v>
      </c>
      <c r="EI77" s="13">
        <f t="array" ref="EI77">INDEX(EH:EH,MIN(IF(ISNUMBER(EH77:EH273),ROW(EH77:EH273),"")))</f>
        <v>12.875</v>
      </c>
      <c r="EJ77" s="13">
        <f>IF('Données projet'!$A$192&gt;35,EJ76+EI77-ER76,IF(A77&lt;'Données projet'!$A$192,$EG$205^A77,IF(A77='Données projet'!$A$192,'Données projet'!$B$192,EJ76+EI77-ER76)))</f>
        <v>532.99999999999977</v>
      </c>
      <c r="EK77" s="18">
        <f>EJ77*VLOOKUP('Données projet'!$B$15,Paramètres!$A$1:$I$89,3,0)*VLOOKUP('Données projet'!$B$15,Paramètres!$A$1:$I$89,5,0)</f>
        <v>318.73399999999987</v>
      </c>
      <c r="EL77" s="14">
        <f t="shared" si="99"/>
        <v>75.089876999925607</v>
      </c>
      <c r="EM77" s="22">
        <f t="shared" si="73"/>
        <v>685.90991910820355</v>
      </c>
      <c r="EN77" s="60">
        <f t="shared" si="74"/>
        <v>979.24325244153692</v>
      </c>
      <c r="EO77" s="60">
        <f ca="1">AVERAGE(OFFSET($EN$3,0,0,'Données projet'!$E$15+1,1))-AVERAGE(OFFSET($H$3,0,0,'Données projet'!$E$15+1,1))</f>
        <v>392.62423122800357</v>
      </c>
      <c r="EP77" s="60">
        <f t="shared" si="100"/>
        <v>314.09619163968642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3.3498325306183174</v>
      </c>
      <c r="EX77" s="23">
        <f>EXP(-LN(2)/2)*EX76+(1-EXP(-LN(2)/2))/(LN(2)/2)*ER77*EU77*VLOOKUP('Données projet'!$B$15,Paramètres!$A$1:$I$89,3,0)*0.475*44/12</f>
        <v>4.1971082119802224E-6</v>
      </c>
      <c r="EY77" s="24">
        <f t="shared" si="75"/>
        <v>3.3498367277265295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>
        <f>FE77*VLOOKUP('Données projet'!$B$16,Paramètres!$A$1:$I$89,3,0)*VLOOKUP('Données projet'!$B$16,Paramètres!$A$1:$I$89,5,0)</f>
        <v>0</v>
      </c>
      <c r="FG77" s="14" t="e">
        <f t="shared" si="101"/>
        <v>#NUM!</v>
      </c>
      <c r="FH77" s="22" t="e">
        <f t="shared" si="76"/>
        <v>#NUM!</v>
      </c>
      <c r="FI77" s="60" t="e">
        <f t="shared" si="77"/>
        <v>#NUM!</v>
      </c>
      <c r="FJ77" s="60">
        <f ca="1">AVERAGE(OFFSET($FI$3,0,0,'Données projet'!$E$16+1,1))-AVERAGE(OFFSET($H$3,0,0,'Données projet'!$E$16+1,1))</f>
        <v>207.03241199974599</v>
      </c>
      <c r="FK77" s="60">
        <f t="shared" si="102"/>
        <v>314.188568589113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5.6484128813508265</v>
      </c>
      <c r="FR77" s="23">
        <f>EXP(-LN(2)/25)*FR76+(1-EXP(-LN(2)/25))/(LN(2)/25)*Calculateur!FM77*Calculateur!FO77*VLOOKUP('Données projet'!$B$16,Paramètres!$A$1:$I$89,3,0)*0.475*44/12</f>
        <v>2.8784964879987709</v>
      </c>
      <c r="FS77" s="23">
        <f>EXP(-LN(2)/2)*FS76+(1-EXP(-LN(2)/2))/(LN(2)/2)*FM77*FP77*VLOOKUP('Données projet'!$B$16,Paramètres!$A$1:$I$89,3,0)*0.475*44/12</f>
        <v>6.9723789618320699E-7</v>
      </c>
      <c r="FT77" s="24">
        <f t="shared" si="78"/>
        <v>8.5269100665874937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214.10256410256409</v>
      </c>
      <c r="L78" s="13">
        <f>VLOOKUP(A78,'Données projet'!$A$35:$I$55,9,0)</f>
        <v>3.9743589743589722</v>
      </c>
      <c r="M78" s="13">
        <f t="array" ref="M78">INDEX(L:L,MIN(IF(ISNUMBER(L78:L274),ROW(L78:L274),"")))</f>
        <v>3.9743589743589722</v>
      </c>
      <c r="N78" s="14">
        <f>IF('Données projet'!$A$36&gt;35,N77+M78-V77,IF(A78&lt;'Données projet'!$A$36,$K$205^A78,IF(A78='Données projet'!$A$36,'Données projet'!$B$36,N77+M78-V77)))</f>
        <v>214.10256410256403</v>
      </c>
      <c r="O78" s="14">
        <f>N78*VLOOKUP('Données projet'!$B$9,Paramètres!$A$1:$I$89,3,0)*VLOOKUP('Données projet'!$B$9,Paramètres!$A$1:$I$89,5,0)</f>
        <v>203.73999999999995</v>
      </c>
      <c r="P78" s="14">
        <f t="shared" si="87"/>
        <v>50.565218142155274</v>
      </c>
      <c r="Q78" s="22">
        <f t="shared" si="54"/>
        <v>442.91492159758701</v>
      </c>
      <c r="R78" s="60">
        <f t="shared" si="55"/>
        <v>736.24825493092033</v>
      </c>
      <c r="S78" s="60">
        <f ca="1">AVERAGE(OFFSET($R$3,0,0,'Données projet'!$E$9+1,1))-AVERAGE(OFFSET($H$3,0,0,'Données projet'!$E$9+1,1))</f>
        <v>353.61481736740694</v>
      </c>
      <c r="T78" s="60">
        <f t="shared" si="88"/>
        <v>244.7141066773861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26.923076923076923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243.73439999999988</v>
      </c>
      <c r="AK78" s="14">
        <f t="shared" si="89"/>
        <v>59.242281392848767</v>
      </c>
      <c r="AL78" s="22">
        <f t="shared" si="58"/>
        <v>527.68438675921141</v>
      </c>
      <c r="AM78" s="60">
        <f t="shared" si="59"/>
        <v>821.01772009254478</v>
      </c>
      <c r="AN78" s="60">
        <f ca="1">AVERAGE(OFFSET($AM$3,0,0,'Données projet'!$E$10+1,1))-AVERAGE(OFFSET($H$3,0,0,'Données projet'!$E$10+1,1))</f>
        <v>455.50822833641354</v>
      </c>
      <c r="AO78" s="60">
        <f t="shared" si="90"/>
        <v>261.14722581688039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263.39039999999994</v>
      </c>
      <c r="BF78" s="14">
        <f t="shared" si="91"/>
        <v>63.444528395882578</v>
      </c>
      <c r="BG78" s="22">
        <f t="shared" si="61"/>
        <v>569.2375002894953</v>
      </c>
      <c r="BH78" s="60">
        <f t="shared" si="62"/>
        <v>862.57083362282856</v>
      </c>
      <c r="BI78" s="60">
        <f ca="1">AVERAGE(OFFSET($BH$3,0,0,'Données projet'!$E$11+1,1))-AVERAGE(OFFSET($H$3,0,0,'Données projet'!$E$11+1,1))</f>
        <v>488.7825919901664</v>
      </c>
      <c r="BJ78" s="60">
        <f t="shared" si="92"/>
        <v>278.78817181412438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255.52799999999991</v>
      </c>
      <c r="CA78" s="14">
        <f t="shared" si="93"/>
        <v>61.768167868721477</v>
      </c>
      <c r="CB78" s="22">
        <f t="shared" si="64"/>
        <v>552.62415903802309</v>
      </c>
      <c r="CC78" s="60">
        <f t="shared" si="65"/>
        <v>845.95749237135647</v>
      </c>
      <c r="CD78" s="60">
        <f ca="1">AVERAGE(OFFSET($CC$3,0,0,'Données projet'!$E$12+1,1))-AVERAGE(OFFSET($H$3,0,0,'Données projet'!$E$12+1,1))</f>
        <v>475.47920969424894</v>
      </c>
      <c r="CE78" s="60">
        <f t="shared" si="94"/>
        <v>271.73544012419364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228.00959999999986</v>
      </c>
      <c r="CV78" s="14">
        <f t="shared" si="95"/>
        <v>55.852093054619779</v>
      </c>
      <c r="CW78" s="22">
        <f t="shared" si="67"/>
        <v>494.39244873679587</v>
      </c>
      <c r="CX78" s="60">
        <f t="shared" si="68"/>
        <v>787.72578207012918</v>
      </c>
      <c r="CY78" s="60">
        <f ca="1">AVERAGE(OFFSET($CX$3,0,0,'Données projet'!$E$13+1,1))-AVERAGE(OFFSET($H$3,0,0,'Données projet'!$E$13+1,1))</f>
        <v>428.8489304403459</v>
      </c>
      <c r="CZ78" s="60">
        <f t="shared" si="96"/>
        <v>247.01165577562966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271.25279999999987</v>
      </c>
      <c r="DQ78" s="14">
        <f t="shared" si="97"/>
        <v>65.115073390838859</v>
      </c>
      <c r="DR78" s="22">
        <f t="shared" si="70"/>
        <v>585.84071282237744</v>
      </c>
      <c r="DS78" s="60">
        <f t="shared" si="71"/>
        <v>879.17404615571081</v>
      </c>
      <c r="DT78" s="60">
        <f ca="1">AVERAGE(OFFSET($DS$3,0,0,'Données projet'!$E$14+1,1))-AVERAGE(OFFSET($H$3,0,0,'Données projet'!$E$14+1,1))</f>
        <v>502.07782026233912</v>
      </c>
      <c r="DU78" s="60">
        <f t="shared" si="98"/>
        <v>285.83623046025156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8.875</v>
      </c>
      <c r="EJ78" s="13">
        <f>IF('Données projet'!$A$192&gt;35,EJ77+EI78-ER77,IF(A78&lt;'Données projet'!$A$192,$EG$205^A78,IF(A78='Données projet'!$A$192,'Données projet'!$B$192,EJ77+EI78-ER77)))</f>
        <v>541.87499999999977</v>
      </c>
      <c r="EK78" s="18">
        <f>EJ78*VLOOKUP('Données projet'!$B$15,Paramètres!$A$1:$I$89,3,0)*VLOOKUP('Données projet'!$B$15,Paramètres!$A$1:$I$89,5,0)</f>
        <v>324.04124999999988</v>
      </c>
      <c r="EL78" s="14">
        <f t="shared" si="99"/>
        <v>76.193599169485495</v>
      </c>
      <c r="EM78" s="22">
        <f t="shared" si="73"/>
        <v>697.07569563685365</v>
      </c>
      <c r="EN78" s="60">
        <f t="shared" si="74"/>
        <v>990.40902897018691</v>
      </c>
      <c r="EO78" s="60">
        <f ca="1">AVERAGE(OFFSET($EN$3,0,0,'Données projet'!$E$15+1,1))-AVERAGE(OFFSET($H$3,0,0,'Données projet'!$E$15+1,1))</f>
        <v>392.62423122800357</v>
      </c>
      <c r="EP78" s="60">
        <f t="shared" si="100"/>
        <v>314.09619163968642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3.258231183908523</v>
      </c>
      <c r="EX78" s="23">
        <f>EXP(-LN(2)/2)*EX77+(1-EXP(-LN(2)/2))/(LN(2)/2)*ER78*EU78*VLOOKUP('Données projet'!$B$15,Paramètres!$A$1:$I$89,3,0)*0.475*44/12</f>
        <v>2.9678036780649608E-6</v>
      </c>
      <c r="EY78" s="24">
        <f t="shared" si="75"/>
        <v>3.2582341517122009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>
        <f>FE78*VLOOKUP('Données projet'!$B$16,Paramètres!$A$1:$I$89,3,0)*VLOOKUP('Données projet'!$B$16,Paramètres!$A$1:$I$89,5,0)</f>
        <v>0</v>
      </c>
      <c r="FG78" s="14" t="e">
        <f t="shared" si="101"/>
        <v>#NUM!</v>
      </c>
      <c r="FH78" s="22" t="e">
        <f t="shared" si="76"/>
        <v>#NUM!</v>
      </c>
      <c r="FI78" s="60" t="e">
        <f t="shared" si="77"/>
        <v>#NUM!</v>
      </c>
      <c r="FJ78" s="60">
        <f ca="1">AVERAGE(OFFSET($FI$3,0,0,'Données projet'!$E$16+1,1))-AVERAGE(OFFSET($H$3,0,0,'Données projet'!$E$16+1,1))</f>
        <v>207.03241199974599</v>
      </c>
      <c r="FK78" s="60">
        <f t="shared" si="102"/>
        <v>314.188568589113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5.5376509499392101</v>
      </c>
      <c r="FR78" s="23">
        <f>EXP(-LN(2)/25)*FR77+(1-EXP(-LN(2)/25))/(LN(2)/25)*Calculateur!FM78*Calculateur!FO78*VLOOKUP('Données projet'!$B$16,Paramètres!$A$1:$I$89,3,0)*0.475*44/12</f>
        <v>2.7997838501608929</v>
      </c>
      <c r="FS78" s="23">
        <f>EXP(-LN(2)/2)*FS77+(1-EXP(-LN(2)/2))/(LN(2)/2)*FM78*FP78*VLOOKUP('Données projet'!$B$16,Paramètres!$A$1:$I$89,3,0)*0.475*44/12</f>
        <v>4.9302164449138767E-7</v>
      </c>
      <c r="FT78" s="24">
        <f t="shared" si="78"/>
        <v>8.3374352931217484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3.8461538461538511</v>
      </c>
      <c r="N79" s="14">
        <f>IF('Données projet'!$A$36&gt;35,N78+M79-V78,IF(A79&lt;'Données projet'!$A$36,$K$205^A79,IF(A79='Données projet'!$A$36,'Données projet'!$B$36,N78+M79-V78)))</f>
        <v>191.02564102564094</v>
      </c>
      <c r="O79" s="14">
        <f>N79*VLOOKUP('Données projet'!$B$9,Paramètres!$A$1:$I$89,3,0)*VLOOKUP('Données projet'!$B$9,Paramètres!$A$1:$I$89,5,0)</f>
        <v>181.77999999999992</v>
      </c>
      <c r="P79" s="14">
        <f t="shared" si="87"/>
        <v>45.717976285292259</v>
      </c>
      <c r="Q79" s="22">
        <f t="shared" si="54"/>
        <v>396.22564203021716</v>
      </c>
      <c r="R79" s="60">
        <f t="shared" si="55"/>
        <v>689.55897536355042</v>
      </c>
      <c r="S79" s="60">
        <f ca="1">AVERAGE(OFFSET($R$3,0,0,'Données projet'!$E$9+1,1))-AVERAGE(OFFSET($H$3,0,0,'Données projet'!$E$9+1,1))</f>
        <v>353.61481736740694</v>
      </c>
      <c r="T79" s="60">
        <f t="shared" si="88"/>
        <v>244.7141066773861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249.53759999999988</v>
      </c>
      <c r="AK79" s="14">
        <f t="shared" si="89"/>
        <v>60.486914185674671</v>
      </c>
      <c r="AL79" s="22">
        <f t="shared" si="58"/>
        <v>539.95936220671649</v>
      </c>
      <c r="AM79" s="60">
        <f t="shared" si="59"/>
        <v>833.29269554004986</v>
      </c>
      <c r="AN79" s="60">
        <f ca="1">AVERAGE(OFFSET($AM$3,0,0,'Données projet'!$E$10+1,1))-AVERAGE(OFFSET($H$3,0,0,'Données projet'!$E$10+1,1))</f>
        <v>455.50822833641354</v>
      </c>
      <c r="AO79" s="60">
        <f t="shared" si="90"/>
        <v>261.14722581688039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269.66159999999991</v>
      </c>
      <c r="BF79" s="14">
        <f t="shared" si="91"/>
        <v>64.777447026130091</v>
      </c>
      <c r="BG79" s="22">
        <f t="shared" si="61"/>
        <v>582.48134023717637</v>
      </c>
      <c r="BH79" s="60">
        <f t="shared" si="62"/>
        <v>875.81467357050974</v>
      </c>
      <c r="BI79" s="60">
        <f ca="1">AVERAGE(OFFSET($BH$3,0,0,'Données projet'!$E$11+1,1))-AVERAGE(OFFSET($H$3,0,0,'Données projet'!$E$11+1,1))</f>
        <v>488.7825919901664</v>
      </c>
      <c r="BJ79" s="60">
        <f t="shared" si="92"/>
        <v>278.78817181412438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261.61199999999991</v>
      </c>
      <c r="CA79" s="14">
        <f t="shared" si="93"/>
        <v>63.065867509496442</v>
      </c>
      <c r="CB79" s="22">
        <f t="shared" si="64"/>
        <v>565.48061924570618</v>
      </c>
      <c r="CC79" s="60">
        <f t="shared" si="65"/>
        <v>858.81395257903955</v>
      </c>
      <c r="CD79" s="60">
        <f ca="1">AVERAGE(OFFSET($CC$3,0,0,'Données projet'!$E$12+1,1))-AVERAGE(OFFSET($H$3,0,0,'Données projet'!$E$12+1,1))</f>
        <v>475.47920969424894</v>
      </c>
      <c r="CE79" s="60">
        <f t="shared" si="94"/>
        <v>271.73544012419364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233.43839999999989</v>
      </c>
      <c r="CV79" s="14">
        <f t="shared" si="95"/>
        <v>57.025500710931624</v>
      </c>
      <c r="CW79" s="22">
        <f t="shared" si="67"/>
        <v>505.89129373820577</v>
      </c>
      <c r="CX79" s="60">
        <f t="shared" si="68"/>
        <v>799.22462707153909</v>
      </c>
      <c r="CY79" s="60">
        <f ca="1">AVERAGE(OFFSET($CX$3,0,0,'Données projet'!$E$13+1,1))-AVERAGE(OFFSET($H$3,0,0,'Données projet'!$E$13+1,1))</f>
        <v>428.8489304403459</v>
      </c>
      <c r="CZ79" s="60">
        <f t="shared" si="96"/>
        <v>247.01165577562966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277.71119999999985</v>
      </c>
      <c r="DQ79" s="14">
        <f t="shared" si="97"/>
        <v>66.483088830893976</v>
      </c>
      <c r="DR79" s="22">
        <f t="shared" si="70"/>
        <v>599.47171971380669</v>
      </c>
      <c r="DS79" s="60">
        <f t="shared" si="71"/>
        <v>892.80505304714006</v>
      </c>
      <c r="DT79" s="60">
        <f ca="1">AVERAGE(OFFSET($DS$3,0,0,'Données projet'!$E$14+1,1))-AVERAGE(OFFSET($H$3,0,0,'Données projet'!$E$14+1,1))</f>
        <v>502.07782026233912</v>
      </c>
      <c r="DU79" s="60">
        <f t="shared" si="98"/>
        <v>285.83623046025156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8.875</v>
      </c>
      <c r="EJ79" s="13">
        <f>IF('Données projet'!$A$192&gt;35,EJ78+EI79-ER78,IF(A79&lt;'Données projet'!$A$192,$EG$205^A79,IF(A79='Données projet'!$A$192,'Données projet'!$B$192,EJ78+EI79-ER78)))</f>
        <v>550.74999999999977</v>
      </c>
      <c r="EK79" s="18">
        <f>EJ79*VLOOKUP('Données projet'!$B$15,Paramètres!$A$1:$I$89,3,0)*VLOOKUP('Données projet'!$B$15,Paramètres!$A$1:$I$89,5,0)</f>
        <v>329.34849999999989</v>
      </c>
      <c r="EL79" s="14">
        <f t="shared" si="99"/>
        <v>77.295219068476086</v>
      </c>
      <c r="EM79" s="22">
        <f t="shared" si="73"/>
        <v>708.2378107109289</v>
      </c>
      <c r="EN79" s="60">
        <f t="shared" si="74"/>
        <v>1001.5711440442622</v>
      </c>
      <c r="EO79" s="60">
        <f ca="1">AVERAGE(OFFSET($EN$3,0,0,'Données projet'!$E$15+1,1))-AVERAGE(OFFSET($H$3,0,0,'Données projet'!$E$15+1,1))</f>
        <v>392.62423122800357</v>
      </c>
      <c r="EP79" s="60">
        <f t="shared" si="100"/>
        <v>314.09619163968642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3.1691346808416134</v>
      </c>
      <c r="EX79" s="23">
        <f>EXP(-LN(2)/2)*EX78+(1-EXP(-LN(2)/2))/(LN(2)/2)*ER79*EU79*VLOOKUP('Données projet'!$B$15,Paramètres!$A$1:$I$89,3,0)*0.475*44/12</f>
        <v>2.0985541059901112E-6</v>
      </c>
      <c r="EY79" s="24">
        <f t="shared" si="75"/>
        <v>3.1691367793957195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>
        <f>FE79*VLOOKUP('Données projet'!$B$16,Paramètres!$A$1:$I$89,3,0)*VLOOKUP('Données projet'!$B$16,Paramètres!$A$1:$I$89,5,0)</f>
        <v>0</v>
      </c>
      <c r="FG79" s="14" t="e">
        <f t="shared" si="101"/>
        <v>#NUM!</v>
      </c>
      <c r="FH79" s="22" t="e">
        <f t="shared" si="76"/>
        <v>#NUM!</v>
      </c>
      <c r="FI79" s="60" t="e">
        <f t="shared" si="77"/>
        <v>#NUM!</v>
      </c>
      <c r="FJ79" s="60">
        <f ca="1">AVERAGE(OFFSET($FI$3,0,0,'Données projet'!$E$16+1,1))-AVERAGE(OFFSET($H$3,0,0,'Données projet'!$E$16+1,1))</f>
        <v>207.03241199974599</v>
      </c>
      <c r="FK79" s="60">
        <f t="shared" si="102"/>
        <v>314.188568589113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5.4290609924444677</v>
      </c>
      <c r="FR79" s="23">
        <f>EXP(-LN(2)/25)*FR78+(1-EXP(-LN(2)/25))/(LN(2)/25)*Calculateur!FM79*Calculateur!FO79*VLOOKUP('Données projet'!$B$16,Paramètres!$A$1:$I$89,3,0)*0.475*44/12</f>
        <v>2.7232236135440098</v>
      </c>
      <c r="FS79" s="23">
        <f>EXP(-LN(2)/2)*FS78+(1-EXP(-LN(2)/2))/(LN(2)/2)*FM79*FP79*VLOOKUP('Données projet'!$B$16,Paramètres!$A$1:$I$89,3,0)*0.475*44/12</f>
        <v>3.4861894809160349E-7</v>
      </c>
      <c r="FT79" s="24">
        <f t="shared" si="78"/>
        <v>8.1522849546074259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3.8461538461538511</v>
      </c>
      <c r="N80" s="14">
        <f>IF('Données projet'!$A$36&gt;35,N79+M80-V79,IF(A80&lt;'Données projet'!$A$36,$K$205^A80,IF(A80='Données projet'!$A$36,'Données projet'!$B$36,N79+M80-V79)))</f>
        <v>194.87179487179478</v>
      </c>
      <c r="O80" s="14">
        <f>N80*VLOOKUP('Données projet'!$B$9,Paramètres!$A$1:$I$89,3,0)*VLOOKUP('Données projet'!$B$9,Paramètres!$A$1:$I$89,5,0)</f>
        <v>185.43999999999991</v>
      </c>
      <c r="P80" s="14">
        <f t="shared" si="87"/>
        <v>46.530380670487169</v>
      </c>
      <c r="Q80" s="22">
        <f t="shared" si="54"/>
        <v>404.01507966776506</v>
      </c>
      <c r="R80" s="60">
        <f t="shared" si="55"/>
        <v>697.34841300109838</v>
      </c>
      <c r="S80" s="60">
        <f ca="1">AVERAGE(OFFSET($R$3,0,0,'Données projet'!$E$9+1,1))-AVERAGE(OFFSET($H$3,0,0,'Données projet'!$E$9+1,1))</f>
        <v>353.61481736740694</v>
      </c>
      <c r="T80" s="60">
        <f t="shared" si="88"/>
        <v>244.7141066773861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255.34079999999989</v>
      </c>
      <c r="AK80" s="14">
        <f t="shared" si="89"/>
        <v>61.728182021951895</v>
      </c>
      <c r="AL80" s="22">
        <f t="shared" si="58"/>
        <v>552.22847702156594</v>
      </c>
      <c r="AM80" s="60">
        <f t="shared" si="59"/>
        <v>845.56181035489931</v>
      </c>
      <c r="AN80" s="60">
        <f ca="1">AVERAGE(OFFSET($AM$3,0,0,'Données projet'!$E$10+1,1))-AVERAGE(OFFSET($H$3,0,0,'Données projet'!$E$10+1,1))</f>
        <v>455.50822833641354</v>
      </c>
      <c r="AO80" s="60">
        <f t="shared" si="90"/>
        <v>261.14722581688039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275.93279999999993</v>
      </c>
      <c r="BF80" s="14">
        <f t="shared" si="91"/>
        <v>66.106762012556132</v>
      </c>
      <c r="BG80" s="22">
        <f t="shared" si="61"/>
        <v>595.71890383853508</v>
      </c>
      <c r="BH80" s="60">
        <f t="shared" si="62"/>
        <v>889.05223717186846</v>
      </c>
      <c r="BI80" s="60">
        <f ca="1">AVERAGE(OFFSET($BH$3,0,0,'Données projet'!$E$11+1,1))-AVERAGE(OFFSET($H$3,0,0,'Données projet'!$E$11+1,1))</f>
        <v>488.7825919901664</v>
      </c>
      <c r="BJ80" s="60">
        <f t="shared" si="92"/>
        <v>278.78817181412438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267.69599999999991</v>
      </c>
      <c r="CA80" s="14">
        <f t="shared" si="93"/>
        <v>64.360058723585439</v>
      </c>
      <c r="CB80" s="22">
        <f t="shared" si="64"/>
        <v>578.33096894357777</v>
      </c>
      <c r="CC80" s="60">
        <f t="shared" si="65"/>
        <v>871.66430227691103</v>
      </c>
      <c r="CD80" s="60">
        <f ca="1">AVERAGE(OFFSET($CC$3,0,0,'Données projet'!$E$12+1,1))-AVERAGE(OFFSET($H$3,0,0,'Données projet'!$E$12+1,1))</f>
        <v>475.47920969424894</v>
      </c>
      <c r="CE80" s="60">
        <f t="shared" si="94"/>
        <v>271.73544012419364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238.86719999999988</v>
      </c>
      <c r="CV80" s="14">
        <f t="shared" si="95"/>
        <v>58.195735973104156</v>
      </c>
      <c r="CW80" s="22">
        <f t="shared" si="67"/>
        <v>517.38461348648957</v>
      </c>
      <c r="CX80" s="60">
        <f t="shared" si="68"/>
        <v>810.71794681982283</v>
      </c>
      <c r="CY80" s="60">
        <f ca="1">AVERAGE(OFFSET($CX$3,0,0,'Données projet'!$E$13+1,1))-AVERAGE(OFFSET($H$3,0,0,'Données projet'!$E$13+1,1))</f>
        <v>428.8489304403459</v>
      </c>
      <c r="CZ80" s="60">
        <f t="shared" si="96"/>
        <v>247.01165577562966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284.16959999999989</v>
      </c>
      <c r="DQ80" s="14">
        <f t="shared" si="97"/>
        <v>67.847405740313874</v>
      </c>
      <c r="DR80" s="22">
        <f t="shared" si="70"/>
        <v>613.09628499771316</v>
      </c>
      <c r="DS80" s="60">
        <f t="shared" si="71"/>
        <v>906.42961833104641</v>
      </c>
      <c r="DT80" s="60">
        <f ca="1">AVERAGE(OFFSET($DS$3,0,0,'Données projet'!$E$14+1,1))-AVERAGE(OFFSET($H$3,0,0,'Données projet'!$E$14+1,1))</f>
        <v>502.07782026233912</v>
      </c>
      <c r="DU80" s="60">
        <f t="shared" si="98"/>
        <v>285.83623046025156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8.875</v>
      </c>
      <c r="EJ80" s="13">
        <f>IF('Données projet'!$A$192&gt;35,EJ79+EI80-ER79,IF(A80&lt;'Données projet'!$A$192,$EG$205^A80,IF(A80='Données projet'!$A$192,'Données projet'!$B$192,EJ79+EI80-ER79)))</f>
        <v>559.62499999999977</v>
      </c>
      <c r="EK80" s="18">
        <f>EJ80*VLOOKUP('Données projet'!$B$15,Paramètres!$A$1:$I$89,3,0)*VLOOKUP('Données projet'!$B$15,Paramètres!$A$1:$I$89,5,0)</f>
        <v>334.6557499999999</v>
      </c>
      <c r="EL80" s="14">
        <f t="shared" si="99"/>
        <v>78.394774484811521</v>
      </c>
      <c r="EM80" s="22">
        <f t="shared" si="73"/>
        <v>719.39633014437993</v>
      </c>
      <c r="EN80" s="60">
        <f t="shared" si="74"/>
        <v>1012.7296634777133</v>
      </c>
      <c r="EO80" s="60">
        <f ca="1">AVERAGE(OFFSET($EN$3,0,0,'Données projet'!$E$15+1,1))-AVERAGE(OFFSET($H$3,0,0,'Données projet'!$E$15+1,1))</f>
        <v>392.62423122800357</v>
      </c>
      <c r="EP80" s="60">
        <f t="shared" si="100"/>
        <v>314.09619163968642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3.0824745263364499</v>
      </c>
      <c r="EX80" s="23">
        <f>EXP(-LN(2)/2)*EX79+(1-EXP(-LN(2)/2))/(LN(2)/2)*ER80*EU80*VLOOKUP('Données projet'!$B$15,Paramètres!$A$1:$I$89,3,0)*0.475*44/12</f>
        <v>1.4839018390324804E-6</v>
      </c>
      <c r="EY80" s="24">
        <f t="shared" si="75"/>
        <v>3.0824760102382891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>
        <f>FE80*VLOOKUP('Données projet'!$B$16,Paramètres!$A$1:$I$89,3,0)*VLOOKUP('Données projet'!$B$16,Paramètres!$A$1:$I$89,5,0)</f>
        <v>0</v>
      </c>
      <c r="FG80" s="14" t="e">
        <f t="shared" si="101"/>
        <v>#NUM!</v>
      </c>
      <c r="FH80" s="22" t="e">
        <f t="shared" si="76"/>
        <v>#NUM!</v>
      </c>
      <c r="FI80" s="60" t="e">
        <f t="shared" si="77"/>
        <v>#NUM!</v>
      </c>
      <c r="FJ80" s="60">
        <f ca="1">AVERAGE(OFFSET($FI$3,0,0,'Données projet'!$E$16+1,1))-AVERAGE(OFFSET($H$3,0,0,'Données projet'!$E$16+1,1))</f>
        <v>207.03241199974599</v>
      </c>
      <c r="FK80" s="60">
        <f t="shared" si="102"/>
        <v>314.188568589113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5.3226004177828639</v>
      </c>
      <c r="FR80" s="23">
        <f>EXP(-LN(2)/25)*FR79+(1-EXP(-LN(2)/25))/(LN(2)/25)*Calculateur!FM80*Calculateur!FO80*VLOOKUP('Données projet'!$B$16,Paramètres!$A$1:$I$89,3,0)*0.475*44/12</f>
        <v>2.6487569206235428</v>
      </c>
      <c r="FS80" s="23">
        <f>EXP(-LN(2)/2)*FS79+(1-EXP(-LN(2)/2))/(LN(2)/2)*FM80*FP80*VLOOKUP('Données projet'!$B$16,Paramètres!$A$1:$I$89,3,0)*0.475*44/12</f>
        <v>2.4651082224569384E-7</v>
      </c>
      <c r="FT80" s="24">
        <f t="shared" si="78"/>
        <v>7.9713575849172287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3.8461538461538511</v>
      </c>
      <c r="N81" s="14">
        <f>IF('Données projet'!$A$36&gt;35,N80+M81-V80,IF(A81&lt;'Données projet'!$A$36,$K$205^A81,IF(A81='Données projet'!$A$36,'Données projet'!$B$36,N80+M81-V80)))</f>
        <v>198.71794871794862</v>
      </c>
      <c r="O81" s="14">
        <f>N81*VLOOKUP('Données projet'!$B$9,Paramètres!$A$1:$I$89,3,0)*VLOOKUP('Données projet'!$B$9,Paramètres!$A$1:$I$89,5,0)</f>
        <v>189.09999999999991</v>
      </c>
      <c r="P81" s="14">
        <f t="shared" si="87"/>
        <v>47.340920677804583</v>
      </c>
      <c r="Q81" s="22">
        <f t="shared" si="54"/>
        <v>411.80127018050945</v>
      </c>
      <c r="R81" s="60">
        <f t="shared" si="55"/>
        <v>705.13460351384276</v>
      </c>
      <c r="S81" s="60">
        <f ca="1">AVERAGE(OFFSET($R$3,0,0,'Données projet'!$E$9+1,1))-AVERAGE(OFFSET($H$3,0,0,'Données projet'!$E$9+1,1))</f>
        <v>353.61481736740694</v>
      </c>
      <c r="T81" s="60">
        <f t="shared" si="88"/>
        <v>244.7141066773861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261.14399999999989</v>
      </c>
      <c r="AK81" s="14">
        <f t="shared" si="89"/>
        <v>62.966170181808813</v>
      </c>
      <c r="AL81" s="22">
        <f t="shared" si="58"/>
        <v>564.49187973331675</v>
      </c>
      <c r="AM81" s="60">
        <f t="shared" si="59"/>
        <v>857.82521306665012</v>
      </c>
      <c r="AN81" s="60">
        <f ca="1">AVERAGE(OFFSET($AM$3,0,0,'Données projet'!$E$10+1,1))-AVERAGE(OFFSET($H$3,0,0,'Données projet'!$E$10+1,1))</f>
        <v>455.50822833641354</v>
      </c>
      <c r="AO81" s="60">
        <f t="shared" si="90"/>
        <v>261.14722581688039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282.20399999999989</v>
      </c>
      <c r="BF81" s="14">
        <f t="shared" si="91"/>
        <v>67.432564684485186</v>
      </c>
      <c r="BG81" s="22">
        <f t="shared" si="61"/>
        <v>608.95035015881137</v>
      </c>
      <c r="BH81" s="60">
        <f t="shared" si="62"/>
        <v>902.28368349214475</v>
      </c>
      <c r="BI81" s="60">
        <f ca="1">AVERAGE(OFFSET($BH$3,0,0,'Données projet'!$E$11+1,1))-AVERAGE(OFFSET($H$3,0,0,'Données projet'!$E$11+1,1))</f>
        <v>488.7825919901664</v>
      </c>
      <c r="BJ81" s="60">
        <f t="shared" si="92"/>
        <v>278.78817181412438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273.77999999999992</v>
      </c>
      <c r="CA81" s="14">
        <f t="shared" si="93"/>
        <v>65.650830427167435</v>
      </c>
      <c r="CB81" s="22">
        <f t="shared" si="64"/>
        <v>591.17536299398307</v>
      </c>
      <c r="CC81" s="60">
        <f t="shared" si="65"/>
        <v>884.50869632731633</v>
      </c>
      <c r="CD81" s="60">
        <f ca="1">AVERAGE(OFFSET($CC$3,0,0,'Données projet'!$E$12+1,1))-AVERAGE(OFFSET($H$3,0,0,'Données projet'!$E$12+1,1))</f>
        <v>475.47920969424894</v>
      </c>
      <c r="CE81" s="60">
        <f t="shared" si="94"/>
        <v>271.73544012419364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244.29599999999991</v>
      </c>
      <c r="CV81" s="14">
        <f t="shared" si="95"/>
        <v>59.362879241040318</v>
      </c>
      <c r="CW81" s="22">
        <f t="shared" si="67"/>
        <v>528.87254801147833</v>
      </c>
      <c r="CX81" s="60">
        <f t="shared" si="68"/>
        <v>822.20588134481159</v>
      </c>
      <c r="CY81" s="60">
        <f ca="1">AVERAGE(OFFSET($CX$3,0,0,'Données projet'!$E$13+1,1))-AVERAGE(OFFSET($H$3,0,0,'Données projet'!$E$13+1,1))</f>
        <v>428.8489304403459</v>
      </c>
      <c r="CZ81" s="60">
        <f t="shared" si="96"/>
        <v>247.01165577562966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290.62799999999987</v>
      </c>
      <c r="DQ81" s="14">
        <f t="shared" si="97"/>
        <v>69.208117853196882</v>
      </c>
      <c r="DR81" s="22">
        <f t="shared" si="70"/>
        <v>626.71457192765104</v>
      </c>
      <c r="DS81" s="60">
        <f t="shared" si="71"/>
        <v>920.04790526098441</v>
      </c>
      <c r="DT81" s="60">
        <f ca="1">AVERAGE(OFFSET($DS$3,0,0,'Données projet'!$E$14+1,1))-AVERAGE(OFFSET($H$3,0,0,'Données projet'!$E$14+1,1))</f>
        <v>502.07782026233912</v>
      </c>
      <c r="DU81" s="60">
        <f t="shared" si="98"/>
        <v>285.83623046025156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8.875</v>
      </c>
      <c r="EJ81" s="13">
        <f>IF('Données projet'!$A$192&gt;35,EJ80+EI81-ER80,IF(A81&lt;'Données projet'!$A$192,$EG$205^A81,IF(A81='Données projet'!$A$192,'Données projet'!$B$192,EJ80+EI81-ER80)))</f>
        <v>568.49999999999977</v>
      </c>
      <c r="EK81" s="18">
        <f>EJ81*VLOOKUP('Données projet'!$B$15,Paramètres!$A$1:$I$89,3,0)*VLOOKUP('Données projet'!$B$15,Paramètres!$A$1:$I$89,5,0)</f>
        <v>339.96299999999991</v>
      </c>
      <c r="EL81" s="14">
        <f t="shared" si="99"/>
        <v>79.492301939117326</v>
      </c>
      <c r="EM81" s="22">
        <f t="shared" si="73"/>
        <v>730.55131754396245</v>
      </c>
      <c r="EN81" s="60">
        <f t="shared" si="74"/>
        <v>1023.8846508772958</v>
      </c>
      <c r="EO81" s="60">
        <f ca="1">AVERAGE(OFFSET($EN$3,0,0,'Données projet'!$E$15+1,1))-AVERAGE(OFFSET($H$3,0,0,'Données projet'!$E$15+1,1))</f>
        <v>392.62423122800357</v>
      </c>
      <c r="EP81" s="60">
        <f t="shared" si="100"/>
        <v>314.09619163968642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2.9981840983134895</v>
      </c>
      <c r="EX81" s="23">
        <f>EXP(-LN(2)/2)*EX80+(1-EXP(-LN(2)/2))/(LN(2)/2)*ER81*EU81*VLOOKUP('Données projet'!$B$15,Paramètres!$A$1:$I$89,3,0)*0.475*44/12</f>
        <v>1.0492770529950556E-6</v>
      </c>
      <c r="EY81" s="24">
        <f t="shared" si="75"/>
        <v>2.9981851475905423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>
        <f>FE81*VLOOKUP('Données projet'!$B$16,Paramètres!$A$1:$I$89,3,0)*VLOOKUP('Données projet'!$B$16,Paramètres!$A$1:$I$89,5,0)</f>
        <v>0</v>
      </c>
      <c r="FG81" s="14" t="e">
        <f t="shared" si="101"/>
        <v>#NUM!</v>
      </c>
      <c r="FH81" s="22" t="e">
        <f t="shared" si="76"/>
        <v>#NUM!</v>
      </c>
      <c r="FI81" s="60" t="e">
        <f t="shared" si="77"/>
        <v>#NUM!</v>
      </c>
      <c r="FJ81" s="60">
        <f ca="1">AVERAGE(OFFSET($FI$3,0,0,'Données projet'!$E$16+1,1))-AVERAGE(OFFSET($H$3,0,0,'Données projet'!$E$16+1,1))</f>
        <v>207.03241199974599</v>
      </c>
      <c r="FK81" s="60">
        <f t="shared" si="102"/>
        <v>314.188568589113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5.2182274700558349</v>
      </c>
      <c r="FR81" s="23">
        <f>EXP(-LN(2)/25)*FR80+(1-EXP(-LN(2)/25))/(LN(2)/25)*Calculateur!FM81*Calculateur!FO81*VLOOKUP('Données projet'!$B$16,Paramètres!$A$1:$I$89,3,0)*0.475*44/12</f>
        <v>2.5763265233370194</v>
      </c>
      <c r="FS81" s="23">
        <f>EXP(-LN(2)/2)*FS80+(1-EXP(-LN(2)/2))/(LN(2)/2)*FM81*FP81*VLOOKUP('Données projet'!$B$16,Paramètres!$A$1:$I$89,3,0)*0.475*44/12</f>
        <v>1.7430947404580175E-7</v>
      </c>
      <c r="FT81" s="24">
        <f t="shared" si="78"/>
        <v>7.7945541677023291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3.8461538461538511</v>
      </c>
      <c r="N82" s="14">
        <f>IF('Données projet'!$A$36&gt;35,N81+M82-V81,IF(A82&lt;'Données projet'!$A$36,$K$205^A82,IF(A82='Données projet'!$A$36,'Données projet'!$B$36,N81+M82-V81)))</f>
        <v>202.56410256410246</v>
      </c>
      <c r="O82" s="14">
        <f>N82*VLOOKUP('Données projet'!$B$9,Paramètres!$A$1:$I$89,3,0)*VLOOKUP('Données projet'!$B$9,Paramètres!$A$1:$I$89,5,0)</f>
        <v>192.75999999999991</v>
      </c>
      <c r="P82" s="14">
        <f t="shared" si="87"/>
        <v>48.149636551965187</v>
      </c>
      <c r="Q82" s="22">
        <f t="shared" si="54"/>
        <v>419.58428366133921</v>
      </c>
      <c r="R82" s="60">
        <f t="shared" si="55"/>
        <v>712.91761699467247</v>
      </c>
      <c r="S82" s="60">
        <f ca="1">AVERAGE(OFFSET($R$3,0,0,'Données projet'!$E$9+1,1))-AVERAGE(OFFSET($H$3,0,0,'Données projet'!$E$9+1,1))</f>
        <v>353.61481736740694</v>
      </c>
      <c r="T82" s="60">
        <f t="shared" si="88"/>
        <v>244.7141066773861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266.9471999999999</v>
      </c>
      <c r="AK82" s="14">
        <f t="shared" si="89"/>
        <v>64.200959938746379</v>
      </c>
      <c r="AL82" s="22">
        <f t="shared" si="58"/>
        <v>576.74971189331643</v>
      </c>
      <c r="AM82" s="60">
        <f t="shared" si="59"/>
        <v>870.0830452266498</v>
      </c>
      <c r="AN82" s="60">
        <f ca="1">AVERAGE(OFFSET($AM$3,0,0,'Données projet'!$E$10+1,1))-AVERAGE(OFFSET($H$3,0,0,'Données projet'!$E$10+1,1))</f>
        <v>455.50822833641354</v>
      </c>
      <c r="AO82" s="60">
        <f t="shared" si="90"/>
        <v>261.14722581688039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288.47519999999992</v>
      </c>
      <c r="BF82" s="14">
        <f t="shared" si="91"/>
        <v>68.754942080410785</v>
      </c>
      <c r="BG82" s="22">
        <f t="shared" si="61"/>
        <v>622.17583079004851</v>
      </c>
      <c r="BH82" s="60">
        <f t="shared" si="62"/>
        <v>915.50916412338188</v>
      </c>
      <c r="BI82" s="60">
        <f ca="1">AVERAGE(OFFSET($BH$3,0,0,'Données projet'!$E$11+1,1))-AVERAGE(OFFSET($H$3,0,0,'Données projet'!$E$11+1,1))</f>
        <v>488.7825919901664</v>
      </c>
      <c r="BJ82" s="60">
        <f t="shared" si="92"/>
        <v>278.78817181412438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279.86399999999986</v>
      </c>
      <c r="CA82" s="14">
        <f t="shared" si="93"/>
        <v>66.938267358965007</v>
      </c>
      <c r="CB82" s="22">
        <f t="shared" si="64"/>
        <v>604.01394898353044</v>
      </c>
      <c r="CC82" s="60">
        <f t="shared" si="65"/>
        <v>897.34728231686381</v>
      </c>
      <c r="CD82" s="60">
        <f ca="1">AVERAGE(OFFSET($CC$3,0,0,'Données projet'!$E$12+1,1))-AVERAGE(OFFSET($H$3,0,0,'Données projet'!$E$12+1,1))</f>
        <v>475.47920969424894</v>
      </c>
      <c r="CE82" s="60">
        <f t="shared" si="94"/>
        <v>271.73544012419364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249.7247999999999</v>
      </c>
      <c r="CV82" s="14">
        <f t="shared" si="95"/>
        <v>60.527007137298092</v>
      </c>
      <c r="CW82" s="22">
        <f t="shared" si="67"/>
        <v>540.35523076412733</v>
      </c>
      <c r="CX82" s="60">
        <f t="shared" si="68"/>
        <v>833.68856409746058</v>
      </c>
      <c r="CY82" s="60">
        <f ca="1">AVERAGE(OFFSET($CX$3,0,0,'Données projet'!$E$13+1,1))-AVERAGE(OFFSET($H$3,0,0,'Données projet'!$E$13+1,1))</f>
        <v>428.8489304403459</v>
      </c>
      <c r="CZ82" s="60">
        <f t="shared" si="96"/>
        <v>247.01165577562966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297.08639999999986</v>
      </c>
      <c r="DQ82" s="14">
        <f t="shared" si="97"/>
        <v>70.565314499829583</v>
      </c>
      <c r="DR82" s="22">
        <f t="shared" si="70"/>
        <v>640.3267360872029</v>
      </c>
      <c r="DS82" s="60">
        <f t="shared" si="71"/>
        <v>933.66006942053627</v>
      </c>
      <c r="DT82" s="60">
        <f ca="1">AVERAGE(OFFSET($DS$3,0,0,'Données projet'!$E$14+1,1))-AVERAGE(OFFSET($H$3,0,0,'Données projet'!$E$14+1,1))</f>
        <v>502.07782026233912</v>
      </c>
      <c r="DU82" s="60">
        <f t="shared" si="98"/>
        <v>285.83623046025156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8.875</v>
      </c>
      <c r="EJ82" s="13">
        <f>IF('Données projet'!$A$192&gt;35,EJ81+EI82-ER81,IF(A82&lt;'Données projet'!$A$192,$EG$205^A82,IF(A82='Données projet'!$A$192,'Données projet'!$B$192,EJ81+EI82-ER81)))</f>
        <v>577.37499999999977</v>
      </c>
      <c r="EK82" s="18">
        <f>EJ82*VLOOKUP('Données projet'!$B$15,Paramètres!$A$1:$I$89,3,0)*VLOOKUP('Données projet'!$B$15,Paramètres!$A$1:$I$89,5,0)</f>
        <v>345.27024999999992</v>
      </c>
      <c r="EL82" s="14">
        <f t="shared" si="99"/>
        <v>80.587836746339065</v>
      </c>
      <c r="EM82" s="22">
        <f t="shared" si="73"/>
        <v>741.70283441654044</v>
      </c>
      <c r="EN82" s="60">
        <f t="shared" si="74"/>
        <v>1035.0361677498738</v>
      </c>
      <c r="EO82" s="60">
        <f ca="1">AVERAGE(OFFSET($EN$3,0,0,'Données projet'!$E$15+1,1))-AVERAGE(OFFSET($H$3,0,0,'Données projet'!$E$15+1,1))</f>
        <v>392.62423122800357</v>
      </c>
      <c r="EP82" s="60">
        <f t="shared" si="100"/>
        <v>314.09619163968642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2.9161985964774577</v>
      </c>
      <c r="EX82" s="23">
        <f>EXP(-LN(2)/2)*EX81+(1-EXP(-LN(2)/2))/(LN(2)/2)*ER82*EU82*VLOOKUP('Données projet'!$B$15,Paramètres!$A$1:$I$89,3,0)*0.475*44/12</f>
        <v>7.4195091951624021E-7</v>
      </c>
      <c r="EY82" s="24">
        <f t="shared" si="75"/>
        <v>2.9161993384283771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>
        <f>FE82*VLOOKUP('Données projet'!$B$16,Paramètres!$A$1:$I$89,3,0)*VLOOKUP('Données projet'!$B$16,Paramètres!$A$1:$I$89,5,0)</f>
        <v>0</v>
      </c>
      <c r="FG82" s="14" t="e">
        <f t="shared" si="101"/>
        <v>#NUM!</v>
      </c>
      <c r="FH82" s="22" t="e">
        <f t="shared" si="76"/>
        <v>#NUM!</v>
      </c>
      <c r="FI82" s="60" t="e">
        <f t="shared" si="77"/>
        <v>#NUM!</v>
      </c>
      <c r="FJ82" s="60">
        <f ca="1">AVERAGE(OFFSET($FI$3,0,0,'Données projet'!$E$16+1,1))-AVERAGE(OFFSET($H$3,0,0,'Données projet'!$E$16+1,1))</f>
        <v>207.03241199974599</v>
      </c>
      <c r="FK82" s="60">
        <f t="shared" si="102"/>
        <v>314.188568589113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5.1159012121725205</v>
      </c>
      <c r="FR82" s="23">
        <f>EXP(-LN(2)/25)*FR81+(1-EXP(-LN(2)/25))/(LN(2)/25)*Calculateur!FM82*Calculateur!FO82*VLOOKUP('Données projet'!$B$16,Paramètres!$A$1:$I$89,3,0)*0.475*44/12</f>
        <v>2.505876739073245</v>
      </c>
      <c r="FS82" s="23">
        <f>EXP(-LN(2)/2)*FS81+(1-EXP(-LN(2)/2))/(LN(2)/2)*FM82*FP82*VLOOKUP('Données projet'!$B$16,Paramètres!$A$1:$I$89,3,0)*0.475*44/12</f>
        <v>1.2325541112284692E-7</v>
      </c>
      <c r="FT82" s="24">
        <f t="shared" si="78"/>
        <v>7.6217780745011767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206.41025641025641</v>
      </c>
      <c r="L83" s="13">
        <f>VLOOKUP(A83,'Données projet'!$A$35:$I$55,9,0)</f>
        <v>3.8461538461538511</v>
      </c>
      <c r="M83" s="13">
        <f t="array" ref="M83">INDEX(L:L,MIN(IF(ISNUMBER(L83:L279),ROW(L83:L279),"")))</f>
        <v>3.8461538461538511</v>
      </c>
      <c r="N83" s="14">
        <f>IF('Données projet'!$A$36&gt;35,N82+M83-V82,IF(A83&lt;'Données projet'!$A$36,$K$205^A83,IF(A83='Données projet'!$A$36,'Données projet'!$B$36,N82+M83-V82)))</f>
        <v>206.4102564102563</v>
      </c>
      <c r="O83" s="14">
        <f>N83*VLOOKUP('Données projet'!$B$9,Paramètres!$A$1:$I$89,3,0)*VLOOKUP('Données projet'!$B$9,Paramètres!$A$1:$I$89,5,0)</f>
        <v>196.4199999999999</v>
      </c>
      <c r="P83" s="14">
        <f t="shared" si="87"/>
        <v>48.956566921958114</v>
      </c>
      <c r="Q83" s="22">
        <f t="shared" si="54"/>
        <v>427.3641873890769</v>
      </c>
      <c r="R83" s="60">
        <f t="shared" si="55"/>
        <v>720.69752072241022</v>
      </c>
      <c r="S83" s="60">
        <f ca="1">AVERAGE(OFFSET($R$3,0,0,'Données projet'!$E$9+1,1))-AVERAGE(OFFSET($H$3,0,0,'Données projet'!$E$9+1,1))</f>
        <v>353.61481736740694</v>
      </c>
      <c r="T83" s="60">
        <f t="shared" si="88"/>
        <v>244.7141066773861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272.7503999999999</v>
      </c>
      <c r="AK83" s="14">
        <f t="shared" si="89"/>
        <v>65.432628830820633</v>
      </c>
      <c r="AL83" s="22">
        <f t="shared" si="58"/>
        <v>589.00210854701243</v>
      </c>
      <c r="AM83" s="60">
        <f t="shared" si="59"/>
        <v>882.3354418803458</v>
      </c>
      <c r="AN83" s="60">
        <f ca="1">AVERAGE(OFFSET($AM$3,0,0,'Données projet'!$E$10+1,1))-AVERAGE(OFFSET($H$3,0,0,'Données projet'!$E$10+1,1))</f>
        <v>455.50822833641354</v>
      </c>
      <c r="AO83" s="60">
        <f t="shared" si="90"/>
        <v>261.14722581688039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294.74639999999994</v>
      </c>
      <c r="BF83" s="14">
        <f t="shared" si="91"/>
        <v>70.073977238414798</v>
      </c>
      <c r="BG83" s="22">
        <f t="shared" si="61"/>
        <v>635.39549035690561</v>
      </c>
      <c r="BH83" s="60">
        <f t="shared" si="62"/>
        <v>928.72882369023887</v>
      </c>
      <c r="BI83" s="60">
        <f ca="1">AVERAGE(OFFSET($BH$3,0,0,'Données projet'!$E$11+1,1))-AVERAGE(OFFSET($H$3,0,0,'Données projet'!$E$11+1,1))</f>
        <v>488.7825919901664</v>
      </c>
      <c r="BJ83" s="60">
        <f t="shared" si="92"/>
        <v>278.78817181412438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285.94799999999992</v>
      </c>
      <c r="CA83" s="14">
        <f t="shared" si="93"/>
        <v>68.222450362989363</v>
      </c>
      <c r="CB83" s="22">
        <f t="shared" si="64"/>
        <v>616.84686771553959</v>
      </c>
      <c r="CC83" s="60">
        <f t="shared" si="65"/>
        <v>910.18020104887296</v>
      </c>
      <c r="CD83" s="60">
        <f ca="1">AVERAGE(OFFSET($CC$3,0,0,'Données projet'!$E$12+1,1))-AVERAGE(OFFSET($H$3,0,0,'Données projet'!$E$12+1,1))</f>
        <v>475.47920969424894</v>
      </c>
      <c r="CE83" s="60">
        <f t="shared" si="94"/>
        <v>271.73544012419364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255.15359999999987</v>
      </c>
      <c r="CV83" s="14">
        <f t="shared" si="95"/>
        <v>61.688192762754376</v>
      </c>
      <c r="CW83" s="22">
        <f t="shared" si="67"/>
        <v>551.83278906179692</v>
      </c>
      <c r="CX83" s="60">
        <f t="shared" si="68"/>
        <v>845.16612239513029</v>
      </c>
      <c r="CY83" s="60">
        <f ca="1">AVERAGE(OFFSET($CX$3,0,0,'Données projet'!$E$13+1,1))-AVERAGE(OFFSET($H$3,0,0,'Données projet'!$E$13+1,1))</f>
        <v>428.8489304403459</v>
      </c>
      <c r="CZ83" s="60">
        <f t="shared" si="96"/>
        <v>247.01165577562966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303.54479999999984</v>
      </c>
      <c r="DQ83" s="14">
        <f t="shared" si="97"/>
        <v>71.919080904752505</v>
      </c>
      <c r="DR83" s="22">
        <f t="shared" si="70"/>
        <v>653.93292590911028</v>
      </c>
      <c r="DS83" s="60">
        <f t="shared" si="71"/>
        <v>947.26625924244354</v>
      </c>
      <c r="DT83" s="60">
        <f ca="1">AVERAGE(OFFSET($DS$3,0,0,'Données projet'!$E$14+1,1))-AVERAGE(OFFSET($H$3,0,0,'Données projet'!$E$14+1,1))</f>
        <v>502.07782026233912</v>
      </c>
      <c r="DU83" s="60">
        <f t="shared" si="98"/>
        <v>285.83623046025156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8.875</v>
      </c>
      <c r="EJ83" s="13">
        <f>IF('Données projet'!$A$192&gt;35,EJ82+EI83-ER82,IF(A83&lt;'Données projet'!$A$192,$EG$205^A83,IF(A83='Données projet'!$A$192,'Données projet'!$B$192,EJ82+EI83-ER82)))</f>
        <v>586.24999999999977</v>
      </c>
      <c r="EK83" s="18">
        <f>EJ83*VLOOKUP('Données projet'!$B$15,Paramètres!$A$1:$I$89,3,0)*VLOOKUP('Données projet'!$B$15,Paramètres!$A$1:$I$89,5,0)</f>
        <v>350.57749999999987</v>
      </c>
      <c r="EL83" s="14">
        <f t="shared" si="99"/>
        <v>81.681413073455687</v>
      </c>
      <c r="EM83" s="22">
        <f t="shared" si="73"/>
        <v>752.85094026960178</v>
      </c>
      <c r="EN83" s="60">
        <f t="shared" si="74"/>
        <v>1046.184273602935</v>
      </c>
      <c r="EO83" s="60">
        <f ca="1">AVERAGE(OFFSET($EN$3,0,0,'Données projet'!$E$15+1,1))-AVERAGE(OFFSET($H$3,0,0,'Données projet'!$E$15+1,1))</f>
        <v>392.62423122800357</v>
      </c>
      <c r="EP83" s="60">
        <f t="shared" si="100"/>
        <v>314.09619163968642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2.8364549925005624</v>
      </c>
      <c r="EX83" s="23">
        <f>EXP(-LN(2)/2)*EX82+(1-EXP(-LN(2)/2))/(LN(2)/2)*ER83*EU83*VLOOKUP('Données projet'!$B$15,Paramètres!$A$1:$I$89,3,0)*0.475*44/12</f>
        <v>5.246385264975278E-7</v>
      </c>
      <c r="EY83" s="24">
        <f t="shared" si="75"/>
        <v>2.8364555171390888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>
        <f>FE83*VLOOKUP('Données projet'!$B$16,Paramètres!$A$1:$I$89,3,0)*VLOOKUP('Données projet'!$B$16,Paramètres!$A$1:$I$89,5,0)</f>
        <v>0</v>
      </c>
      <c r="FG83" s="14" t="e">
        <f t="shared" si="101"/>
        <v>#NUM!</v>
      </c>
      <c r="FH83" s="22" t="e">
        <f t="shared" si="76"/>
        <v>#NUM!</v>
      </c>
      <c r="FI83" s="60" t="e">
        <f t="shared" si="77"/>
        <v>#NUM!</v>
      </c>
      <c r="FJ83" s="60">
        <f ca="1">AVERAGE(OFFSET($FI$3,0,0,'Données projet'!$E$16+1,1))-AVERAGE(OFFSET($H$3,0,0,'Données projet'!$E$16+1,1))</f>
        <v>207.03241199974599</v>
      </c>
      <c r="FK83" s="60">
        <f t="shared" si="102"/>
        <v>314.188568589113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5.015581509793444</v>
      </c>
      <c r="FR83" s="23">
        <f>EXP(-LN(2)/25)*FR82+(1-EXP(-LN(2)/25))/(LN(2)/25)*Calculateur!FM83*Calculateur!FO83*VLOOKUP('Données projet'!$B$16,Paramètres!$A$1:$I$89,3,0)*0.475*44/12</f>
        <v>2.4373534078649568</v>
      </c>
      <c r="FS83" s="23">
        <f>EXP(-LN(2)/2)*FS82+(1-EXP(-LN(2)/2))/(LN(2)/2)*FM83*FP83*VLOOKUP('Données projet'!$B$16,Paramètres!$A$1:$I$89,3,0)*0.475*44/12</f>
        <v>8.7154737022900873E-8</v>
      </c>
      <c r="FT83" s="24">
        <f t="shared" si="78"/>
        <v>7.4529350048131375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3.7179487179487181</v>
      </c>
      <c r="N84" s="14">
        <f>IF('Données projet'!$A$36&gt;35,N83+M84-V83,IF(A84&lt;'Données projet'!$A$36,$K$205^A84,IF(A84='Données projet'!$A$36,'Données projet'!$B$36,N83+M84-V83)))</f>
        <v>210.12820512820502</v>
      </c>
      <c r="O84" s="14">
        <f>N84*VLOOKUP('Données projet'!$B$9,Paramètres!$A$1:$I$89,3,0)*VLOOKUP('Données projet'!$B$9,Paramètres!$A$1:$I$89,5,0)</f>
        <v>199.95799999999991</v>
      </c>
      <c r="P84" s="14">
        <f t="shared" si="87"/>
        <v>49.734937283774826</v>
      </c>
      <c r="Q84" s="22">
        <f t="shared" si="54"/>
        <v>434.88186576924096</v>
      </c>
      <c r="R84" s="60">
        <f t="shared" si="55"/>
        <v>728.21519910257427</v>
      </c>
      <c r="S84" s="60">
        <f ca="1">AVERAGE(OFFSET($R$3,0,0,'Données projet'!$E$9+1,1))-AVERAGE(OFFSET($H$3,0,0,'Données projet'!$E$9+1,1))</f>
        <v>353.61481736740694</v>
      </c>
      <c r="T84" s="60">
        <f t="shared" si="88"/>
        <v>244.7141066773861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237.54431999999991</v>
      </c>
      <c r="AK84" s="14">
        <f t="shared" si="89"/>
        <v>57.910863128487989</v>
      </c>
      <c r="AL84" s="22">
        <f t="shared" si="58"/>
        <v>514.58444394878302</v>
      </c>
      <c r="AM84" s="60">
        <f t="shared" si="59"/>
        <v>807.91777728211628</v>
      </c>
      <c r="AN84" s="60">
        <f ca="1">AVERAGE(OFFSET($AM$3,0,0,'Données projet'!$E$10+1,1))-AVERAGE(OFFSET($H$3,0,0,'Données projet'!$E$10+1,1))</f>
        <v>455.50822833641354</v>
      </c>
      <c r="AO84" s="60">
        <f t="shared" si="90"/>
        <v>261.14722581688039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256.70111999999989</v>
      </c>
      <c r="BF84" s="14">
        <f t="shared" si="91"/>
        <v>62.018668319362405</v>
      </c>
      <c r="BG84" s="22">
        <f t="shared" si="61"/>
        <v>555.10363132288933</v>
      </c>
      <c r="BH84" s="60">
        <f t="shared" si="62"/>
        <v>848.4369646562227</v>
      </c>
      <c r="BI84" s="60">
        <f ca="1">AVERAGE(OFFSET($BH$3,0,0,'Données projet'!$E$11+1,1))-AVERAGE(OFFSET($H$3,0,0,'Données projet'!$E$11+1,1))</f>
        <v>488.7825919901664</v>
      </c>
      <c r="BJ84" s="60">
        <f t="shared" si="92"/>
        <v>278.78817181412438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249.03839999999994</v>
      </c>
      <c r="CA84" s="14">
        <f t="shared" si="93"/>
        <v>60.379982523339947</v>
      </c>
      <c r="CB84" s="22">
        <f t="shared" si="64"/>
        <v>538.90368289481694</v>
      </c>
      <c r="CC84" s="60">
        <f t="shared" si="65"/>
        <v>832.2370162281502</v>
      </c>
      <c r="CD84" s="60">
        <f ca="1">AVERAGE(OFFSET($CC$3,0,0,'Données projet'!$E$12+1,1))-AVERAGE(OFFSET($H$3,0,0,'Données projet'!$E$12+1,1))</f>
        <v>475.47920969424894</v>
      </c>
      <c r="CE84" s="60">
        <f t="shared" si="94"/>
        <v>271.73544012419364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222.21887999999993</v>
      </c>
      <c r="CV84" s="14">
        <f t="shared" si="95"/>
        <v>54.596866296848852</v>
      </c>
      <c r="CW84" s="22">
        <f t="shared" si="67"/>
        <v>482.12075813367829</v>
      </c>
      <c r="CX84" s="60">
        <f t="shared" si="68"/>
        <v>775.45409146701161</v>
      </c>
      <c r="CY84" s="60">
        <f ca="1">AVERAGE(OFFSET($CX$3,0,0,'Données projet'!$E$13+1,1))-AVERAGE(OFFSET($H$3,0,0,'Données projet'!$E$13+1,1))</f>
        <v>428.8489304403459</v>
      </c>
      <c r="CZ84" s="60">
        <f t="shared" si="96"/>
        <v>247.01165577562966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264.36383999999987</v>
      </c>
      <c r="DQ84" s="14">
        <f t="shared" si="97"/>
        <v>63.651669282160768</v>
      </c>
      <c r="DR84" s="22">
        <f t="shared" si="70"/>
        <v>571.29367866642974</v>
      </c>
      <c r="DS84" s="60">
        <f t="shared" si="71"/>
        <v>864.627011999763</v>
      </c>
      <c r="DT84" s="60">
        <f ca="1">AVERAGE(OFFSET($DS$3,0,0,'Données projet'!$E$14+1,1))-AVERAGE(OFFSET($H$3,0,0,'Données projet'!$E$14+1,1))</f>
        <v>502.07782026233912</v>
      </c>
      <c r="DU84" s="60">
        <f t="shared" si="98"/>
        <v>285.83623046025156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8.875</v>
      </c>
      <c r="EJ84" s="13">
        <f>IF('Données projet'!$A$192&gt;35,EJ83+EI84-ER83,IF(A84&lt;'Données projet'!$A$192,$EG$205^A84,IF(A84='Données projet'!$A$192,'Données projet'!$B$192,EJ83+EI84-ER83)))</f>
        <v>595.12499999999977</v>
      </c>
      <c r="EK84" s="18">
        <f>EJ84*VLOOKUP('Données projet'!$B$15,Paramètres!$A$1:$I$89,3,0)*VLOOKUP('Données projet'!$B$15,Paramètres!$A$1:$I$89,5,0)</f>
        <v>355.88474999999988</v>
      </c>
      <c r="EL84" s="14">
        <f t="shared" si="99"/>
        <v>82.773063993598655</v>
      </c>
      <c r="EM84" s="22">
        <f t="shared" si="73"/>
        <v>763.9956927055174</v>
      </c>
      <c r="EN84" s="60">
        <f t="shared" si="74"/>
        <v>1057.3290260388508</v>
      </c>
      <c r="EO84" s="60">
        <f ca="1">AVERAGE(OFFSET($EN$3,0,0,'Données projet'!$E$15+1,1))-AVERAGE(OFFSET($H$3,0,0,'Données projet'!$E$15+1,1))</f>
        <v>392.62423122800357</v>
      </c>
      <c r="EP84" s="60">
        <f t="shared" si="100"/>
        <v>314.09619163968642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2.7588919815679493</v>
      </c>
      <c r="EX84" s="23">
        <f>EXP(-LN(2)/2)*EX83+(1-EXP(-LN(2)/2))/(LN(2)/2)*ER84*EU84*VLOOKUP('Données projet'!$B$15,Paramètres!$A$1:$I$89,3,0)*0.475*44/12</f>
        <v>3.7097545975812011E-7</v>
      </c>
      <c r="EY84" s="24">
        <f t="shared" si="75"/>
        <v>2.758892352543409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>
        <f>FE84*VLOOKUP('Données projet'!$B$16,Paramètres!$A$1:$I$89,3,0)*VLOOKUP('Données projet'!$B$16,Paramètres!$A$1:$I$89,5,0)</f>
        <v>0</v>
      </c>
      <c r="FG84" s="14" t="e">
        <f t="shared" si="101"/>
        <v>#NUM!</v>
      </c>
      <c r="FH84" s="22" t="e">
        <f t="shared" si="76"/>
        <v>#NUM!</v>
      </c>
      <c r="FI84" s="60" t="e">
        <f t="shared" si="77"/>
        <v>#NUM!</v>
      </c>
      <c r="FJ84" s="60">
        <f ca="1">AVERAGE(OFFSET($FI$3,0,0,'Données projet'!$E$16+1,1))-AVERAGE(OFFSET($H$3,0,0,'Données projet'!$E$16+1,1))</f>
        <v>207.03241199974599</v>
      </c>
      <c r="FK84" s="60">
        <f t="shared" si="102"/>
        <v>314.188568589113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4.9172290155890446</v>
      </c>
      <c r="FR84" s="23">
        <f>EXP(-LN(2)/25)*FR83+(1-EXP(-LN(2)/25))/(LN(2)/25)*Calculateur!FM84*Calculateur!FO84*VLOOKUP('Données projet'!$B$16,Paramètres!$A$1:$I$89,3,0)*0.475*44/12</f>
        <v>2.3707038507520446</v>
      </c>
      <c r="FS84" s="23">
        <f>EXP(-LN(2)/2)*FS83+(1-EXP(-LN(2)/2))/(LN(2)/2)*FM84*FP84*VLOOKUP('Données projet'!$B$16,Paramètres!$A$1:$I$89,3,0)*0.475*44/12</f>
        <v>6.1627705561423459E-8</v>
      </c>
      <c r="FT84" s="24">
        <f t="shared" si="78"/>
        <v>7.2879329279687948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3.7179487179487181</v>
      </c>
      <c r="N85" s="14">
        <f>IF('Données projet'!$A$36&gt;35,N84+M85-V84,IF(A85&lt;'Données projet'!$A$36,$K$205^A85,IF(A85='Données projet'!$A$36,'Données projet'!$B$36,N84+M85-V84)))</f>
        <v>213.84615384615375</v>
      </c>
      <c r="O85" s="14">
        <f>N85*VLOOKUP('Données projet'!$B$9,Paramètres!$A$1:$I$89,3,0)*VLOOKUP('Données projet'!$B$9,Paramètres!$A$1:$I$89,5,0)</f>
        <v>203.4959999999999</v>
      </c>
      <c r="P85" s="14">
        <f t="shared" si="87"/>
        <v>50.511706115422356</v>
      </c>
      <c r="Q85" s="22">
        <f t="shared" si="54"/>
        <v>442.39675481769376</v>
      </c>
      <c r="R85" s="60">
        <f t="shared" si="55"/>
        <v>735.73008815102708</v>
      </c>
      <c r="S85" s="60">
        <f ca="1">AVERAGE(OFFSET($R$3,0,0,'Données projet'!$E$9+1,1))-AVERAGE(OFFSET($H$3,0,0,'Données projet'!$E$9+1,1))</f>
        <v>353.61481736740694</v>
      </c>
      <c r="T85" s="60">
        <f t="shared" si="88"/>
        <v>244.7141066773861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242.96063999999993</v>
      </c>
      <c r="AK85" s="14">
        <f t="shared" si="89"/>
        <v>59.076071351835715</v>
      </c>
      <c r="AL85" s="22">
        <f t="shared" si="58"/>
        <v>526.04727227111368</v>
      </c>
      <c r="AM85" s="60">
        <f t="shared" si="59"/>
        <v>819.38060560444706</v>
      </c>
      <c r="AN85" s="60">
        <f ca="1">AVERAGE(OFFSET($AM$3,0,0,'Données projet'!$E$10+1,1))-AVERAGE(OFFSET($H$3,0,0,'Données projet'!$E$10+1,1))</f>
        <v>455.50822833641354</v>
      </c>
      <c r="AO85" s="60">
        <f t="shared" si="90"/>
        <v>261.14722581688039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262.55423999999994</v>
      </c>
      <c r="BF85" s="14">
        <f t="shared" si="91"/>
        <v>63.266528538030954</v>
      </c>
      <c r="BG85" s="22">
        <f t="shared" si="61"/>
        <v>567.47117187040385</v>
      </c>
      <c r="BH85" s="60">
        <f t="shared" si="62"/>
        <v>860.80450520373711</v>
      </c>
      <c r="BI85" s="60">
        <f ca="1">AVERAGE(OFFSET($BH$3,0,0,'Données projet'!$E$11+1,1))-AVERAGE(OFFSET($H$3,0,0,'Données projet'!$E$11+1,1))</f>
        <v>488.7825919901664</v>
      </c>
      <c r="BJ85" s="60">
        <f t="shared" si="92"/>
        <v>278.78817181412438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254.71679999999992</v>
      </c>
      <c r="CA85" s="14">
        <f t="shared" si="93"/>
        <v>61.594871205031538</v>
      </c>
      <c r="CB85" s="22">
        <f t="shared" si="64"/>
        <v>550.9094940154298</v>
      </c>
      <c r="CC85" s="60">
        <f t="shared" si="65"/>
        <v>844.24282734876306</v>
      </c>
      <c r="CD85" s="60">
        <f ca="1">AVERAGE(OFFSET($CC$3,0,0,'Données projet'!$E$12+1,1))-AVERAGE(OFFSET($H$3,0,0,'Données projet'!$E$12+1,1))</f>
        <v>475.47920969424894</v>
      </c>
      <c r="CE85" s="60">
        <f t="shared" si="94"/>
        <v>271.73544012419364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227.28575999999993</v>
      </c>
      <c r="CV85" s="14">
        <f t="shared" si="95"/>
        <v>55.695394520076327</v>
      </c>
      <c r="CW85" s="22">
        <f t="shared" si="67"/>
        <v>492.85884412246605</v>
      </c>
      <c r="CX85" s="60">
        <f t="shared" si="68"/>
        <v>786.19217745579931</v>
      </c>
      <c r="CY85" s="60">
        <f ca="1">AVERAGE(OFFSET($CX$3,0,0,'Données projet'!$E$13+1,1))-AVERAGE(OFFSET($H$3,0,0,'Données projet'!$E$13+1,1))</f>
        <v>428.8489304403459</v>
      </c>
      <c r="CZ85" s="60">
        <f t="shared" si="96"/>
        <v>247.01165577562966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270.39167999999989</v>
      </c>
      <c r="DQ85" s="14">
        <f t="shared" si="97"/>
        <v>64.932386654872516</v>
      </c>
      <c r="DR85" s="22">
        <f t="shared" si="70"/>
        <v>584.02274942390272</v>
      </c>
      <c r="DS85" s="60">
        <f t="shared" si="71"/>
        <v>877.35608275723598</v>
      </c>
      <c r="DT85" s="60">
        <f ca="1">AVERAGE(OFFSET($DS$3,0,0,'Données projet'!$E$14+1,1))-AVERAGE(OFFSET($H$3,0,0,'Données projet'!$E$14+1,1))</f>
        <v>502.07782026233912</v>
      </c>
      <c r="DU85" s="60">
        <f t="shared" si="98"/>
        <v>285.83623046025156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>
        <f>VLOOKUP(A85,'Données projet'!$A$191:$I$211,2,0)</f>
        <v>604</v>
      </c>
      <c r="EH85" s="13">
        <f>VLOOKUP(A85,'Données projet'!$A$191:$I$211,9,0)</f>
        <v>8.875</v>
      </c>
      <c r="EI85" s="13">
        <f t="array" ref="EI85">INDEX(EH:EH,MIN(IF(ISNUMBER(EH85:EH281),ROW(EH85:EH281),"")))</f>
        <v>8.875</v>
      </c>
      <c r="EJ85" s="13">
        <f>IF('Données projet'!$A$192&gt;35,EJ84+EI85-ER84,IF(A85&lt;'Données projet'!$A$192,$EG$205^A85,IF(A85='Données projet'!$A$192,'Données projet'!$B$192,EJ84+EI85-ER84)))</f>
        <v>603.99999999999977</v>
      </c>
      <c r="EK85" s="18">
        <f>EJ85*VLOOKUP('Données projet'!$B$15,Paramètres!$A$1:$I$89,3,0)*VLOOKUP('Données projet'!$B$15,Paramètres!$A$1:$I$89,5,0)</f>
        <v>361.19199999999989</v>
      </c>
      <c r="EL85" s="14">
        <f t="shared" si="99"/>
        <v>83.862821536851357</v>
      </c>
      <c r="EM85" s="22">
        <f t="shared" si="73"/>
        <v>775.13714751001589</v>
      </c>
      <c r="EN85" s="60">
        <f t="shared" si="74"/>
        <v>1068.4704808433492</v>
      </c>
      <c r="EO85" s="60">
        <f ca="1">AVERAGE(OFFSET($EN$3,0,0,'Données projet'!$E$15+1,1))-AVERAGE(OFFSET($H$3,0,0,'Données projet'!$E$15+1,1))</f>
        <v>392.62423122800357</v>
      </c>
      <c r="EP85" s="60">
        <f t="shared" si="100"/>
        <v>314.09619163968642</v>
      </c>
      <c r="EQ85" s="16">
        <f>IF(ISNA(VLOOKUP(A85,'Données projet'!$A$191:$I$211,3,0)),0,VLOOKUP(A85,'Données projet'!$A$191:$I$211,3,0))</f>
        <v>6</v>
      </c>
      <c r="ER85" s="16">
        <f>IF(ISNA(VLOOKUP(A85,'Données projet'!$A$191:$I$211,4,0)),0,VLOOKUP(A85,'Données projet'!$A$191:$I$211,4,0))</f>
        <v>604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2.68344993524815</v>
      </c>
      <c r="EX85" s="23">
        <f>EXP(-LN(2)/2)*EX84+(1-EXP(-LN(2)/2))/(LN(2)/2)*ER85*EU85*VLOOKUP('Données projet'!$B$15,Paramètres!$A$1:$I$89,3,0)*0.475*44/12</f>
        <v>2.623192632487639E-7</v>
      </c>
      <c r="EY85" s="24">
        <f t="shared" si="75"/>
        <v>2.6834501975674132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>
        <f>FE85*VLOOKUP('Données projet'!$B$16,Paramètres!$A$1:$I$89,3,0)*VLOOKUP('Données projet'!$B$16,Paramètres!$A$1:$I$89,5,0)</f>
        <v>0</v>
      </c>
      <c r="FG85" s="14" t="e">
        <f t="shared" si="101"/>
        <v>#NUM!</v>
      </c>
      <c r="FH85" s="22" t="e">
        <f t="shared" si="76"/>
        <v>#NUM!</v>
      </c>
      <c r="FI85" s="60" t="e">
        <f t="shared" si="77"/>
        <v>#NUM!</v>
      </c>
      <c r="FJ85" s="60">
        <f ca="1">AVERAGE(OFFSET($FI$3,0,0,'Données projet'!$E$16+1,1))-AVERAGE(OFFSET($H$3,0,0,'Données projet'!$E$16+1,1))</f>
        <v>207.03241199974599</v>
      </c>
      <c r="FK85" s="60">
        <f t="shared" si="102"/>
        <v>314.188568589113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4.8208051538068952</v>
      </c>
      <c r="FR85" s="23">
        <f>EXP(-LN(2)/25)*FR84+(1-EXP(-LN(2)/25))/(LN(2)/25)*Calculateur!FM85*Calculateur!FO85*VLOOKUP('Données projet'!$B$16,Paramètres!$A$1:$I$89,3,0)*0.475*44/12</f>
        <v>2.3058768292833327</v>
      </c>
      <c r="FS85" s="23">
        <f>EXP(-LN(2)/2)*FS84+(1-EXP(-LN(2)/2))/(LN(2)/2)*FM85*FP85*VLOOKUP('Données projet'!$B$16,Paramètres!$A$1:$I$89,3,0)*0.475*44/12</f>
        <v>4.3577368511450437E-8</v>
      </c>
      <c r="FT85" s="24">
        <f t="shared" si="78"/>
        <v>7.1266820266675959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3.7179487179487181</v>
      </c>
      <c r="N86" s="14">
        <f>IF('Données projet'!$A$36&gt;35,N85+M86-V85,IF(A86&lt;'Données projet'!$A$36,$K$205^A86,IF(A86='Données projet'!$A$36,'Données projet'!$B$36,N85+M86-V85)))</f>
        <v>217.56410256410248</v>
      </c>
      <c r="O86" s="14">
        <f>N86*VLOOKUP('Données projet'!$B$9,Paramètres!$A$1:$I$89,3,0)*VLOOKUP('Données projet'!$B$9,Paramètres!$A$1:$I$89,5,0)</f>
        <v>207.03399999999993</v>
      </c>
      <c r="P86" s="14">
        <f t="shared" si="87"/>
        <v>51.286904474053166</v>
      </c>
      <c r="Q86" s="22">
        <f t="shared" si="54"/>
        <v>449.90890862564248</v>
      </c>
      <c r="R86" s="60">
        <f t="shared" si="55"/>
        <v>743.2422419589758</v>
      </c>
      <c r="S86" s="60">
        <f ca="1">AVERAGE(OFFSET($R$3,0,0,'Données projet'!$E$9+1,1))-AVERAGE(OFFSET($H$3,0,0,'Données projet'!$E$9+1,1))</f>
        <v>353.61481736740694</v>
      </c>
      <c r="T86" s="60">
        <f t="shared" si="88"/>
        <v>244.7141066773861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248.37695999999988</v>
      </c>
      <c r="AK86" s="14">
        <f t="shared" si="89"/>
        <v>60.238259626372319</v>
      </c>
      <c r="AL86" s="22">
        <f t="shared" si="58"/>
        <v>537.50484084926495</v>
      </c>
      <c r="AM86" s="60">
        <f t="shared" si="59"/>
        <v>830.83817418259832</v>
      </c>
      <c r="AN86" s="60">
        <f ca="1">AVERAGE(OFFSET($AM$3,0,0,'Données projet'!$E$10+1,1))-AVERAGE(OFFSET($H$3,0,0,'Données projet'!$E$10+1,1))</f>
        <v>455.50822833641354</v>
      </c>
      <c r="AO86" s="60">
        <f t="shared" si="90"/>
        <v>261.14722581688039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268.40735999999993</v>
      </c>
      <c r="BF86" s="14">
        <f t="shared" si="91"/>
        <v>64.511154593132588</v>
      </c>
      <c r="BG86" s="22">
        <f t="shared" si="61"/>
        <v>579.83307958303908</v>
      </c>
      <c r="BH86" s="60">
        <f t="shared" si="62"/>
        <v>873.16641291637234</v>
      </c>
      <c r="BI86" s="60">
        <f ca="1">AVERAGE(OFFSET($BH$3,0,0,'Données projet'!$E$11+1,1))-AVERAGE(OFFSET($H$3,0,0,'Données projet'!$E$11+1,1))</f>
        <v>488.7825919901664</v>
      </c>
      <c r="BJ86" s="60">
        <f t="shared" si="92"/>
        <v>278.78817181412438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260.39519999999987</v>
      </c>
      <c r="CA86" s="14">
        <f t="shared" si="93"/>
        <v>62.806611177714331</v>
      </c>
      <c r="CB86" s="22">
        <f t="shared" si="64"/>
        <v>562.90982113451889</v>
      </c>
      <c r="CC86" s="60">
        <f t="shared" si="65"/>
        <v>856.24315446785226</v>
      </c>
      <c r="CD86" s="60">
        <f ca="1">AVERAGE(OFFSET($CC$3,0,0,'Données projet'!$E$12+1,1))-AVERAGE(OFFSET($H$3,0,0,'Données projet'!$E$12+1,1))</f>
        <v>475.47920969424894</v>
      </c>
      <c r="CE86" s="60">
        <f t="shared" si="94"/>
        <v>271.73544012419364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232.35263999999989</v>
      </c>
      <c r="CV86" s="14">
        <f t="shared" si="95"/>
        <v>56.791075613550255</v>
      </c>
      <c r="CW86" s="22">
        <f t="shared" si="67"/>
        <v>503.59197136026643</v>
      </c>
      <c r="CX86" s="60">
        <f t="shared" si="68"/>
        <v>796.92530469359974</v>
      </c>
      <c r="CY86" s="60">
        <f ca="1">AVERAGE(OFFSET($CX$3,0,0,'Données projet'!$E$13+1,1))-AVERAGE(OFFSET($H$3,0,0,'Données projet'!$E$13+1,1))</f>
        <v>428.8489304403459</v>
      </c>
      <c r="CZ86" s="60">
        <f t="shared" si="96"/>
        <v>247.01165577562966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276.41951999999986</v>
      </c>
      <c r="DQ86" s="14">
        <f t="shared" si="97"/>
        <v>66.209784705913108</v>
      </c>
      <c r="DR86" s="22">
        <f t="shared" si="70"/>
        <v>596.74603902946512</v>
      </c>
      <c r="DS86" s="60">
        <f t="shared" si="71"/>
        <v>890.07937236279849</v>
      </c>
      <c r="DT86" s="60">
        <f ca="1">AVERAGE(OFFSET($DS$3,0,0,'Données projet'!$E$14+1,1))-AVERAGE(OFFSET($H$3,0,0,'Données projet'!$E$14+1,1))</f>
        <v>502.07782026233912</v>
      </c>
      <c r="DU86" s="60">
        <f t="shared" si="98"/>
        <v>285.83623046025156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-2.2737367544323206E-13</v>
      </c>
      <c r="EK86" s="18">
        <f>EJ86*VLOOKUP('Données projet'!$B$15,Paramètres!$A$1:$I$89,3,0)*VLOOKUP('Données projet'!$B$15,Paramètres!$A$1:$I$89,5,0)</f>
        <v>-1.3596945791505279E-13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392.62423122800357</v>
      </c>
      <c r="EP86" s="60">
        <f t="shared" si="100"/>
        <v>314.09619163968642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2.6100708556522902</v>
      </c>
      <c r="EX86" s="23">
        <f>EXP(-LN(2)/2)*EX85+(1-EXP(-LN(2)/2))/(LN(2)/2)*ER86*EU86*VLOOKUP('Données projet'!$B$15,Paramètres!$A$1:$I$89,3,0)*0.475*44/12</f>
        <v>1.8548772987906005E-7</v>
      </c>
      <c r="EY86" s="24">
        <f t="shared" si="75"/>
        <v>2.6100710411400203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>
        <f>FE86*VLOOKUP('Données projet'!$B$16,Paramètres!$A$1:$I$89,3,0)*VLOOKUP('Données projet'!$B$16,Paramètres!$A$1:$I$89,5,0)</f>
        <v>0</v>
      </c>
      <c r="FG86" s="14" t="e">
        <f t="shared" si="101"/>
        <v>#NUM!</v>
      </c>
      <c r="FH86" s="22" t="e">
        <f t="shared" si="76"/>
        <v>#NUM!</v>
      </c>
      <c r="FI86" s="60" t="e">
        <f t="shared" si="77"/>
        <v>#NUM!</v>
      </c>
      <c r="FJ86" s="60">
        <f ca="1">AVERAGE(OFFSET($FI$3,0,0,'Données projet'!$E$16+1,1))-AVERAGE(OFFSET($H$3,0,0,'Données projet'!$E$16+1,1))</f>
        <v>207.03241199974599</v>
      </c>
      <c r="FK86" s="60">
        <f t="shared" si="102"/>
        <v>314.188568589113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4.7262721051415451</v>
      </c>
      <c r="FR86" s="23">
        <f>EXP(-LN(2)/25)*FR85+(1-EXP(-LN(2)/25))/(LN(2)/25)*Calculateur!FM86*Calculateur!FO86*VLOOKUP('Données projet'!$B$16,Paramètres!$A$1:$I$89,3,0)*0.475*44/12</f>
        <v>2.2428225061257878</v>
      </c>
      <c r="FS86" s="23">
        <f>EXP(-LN(2)/2)*FS85+(1-EXP(-LN(2)/2))/(LN(2)/2)*FM86*FP86*VLOOKUP('Données projet'!$B$16,Paramètres!$A$1:$I$89,3,0)*0.475*44/12</f>
        <v>3.081385278071173E-8</v>
      </c>
      <c r="FT86" s="24">
        <f t="shared" si="78"/>
        <v>6.9690946420811857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3.7179487179487181</v>
      </c>
      <c r="N87" s="14">
        <f>IF('Données projet'!$A$36&gt;35,N86+M87-V86,IF(A87&lt;'Données projet'!$A$36,$K$205^A87,IF(A87='Données projet'!$A$36,'Données projet'!$B$36,N86+M87-V86)))</f>
        <v>221.28205128205121</v>
      </c>
      <c r="O87" s="14">
        <f>N87*VLOOKUP('Données projet'!$B$9,Paramètres!$A$1:$I$89,3,0)*VLOOKUP('Données projet'!$B$9,Paramètres!$A$1:$I$89,5,0)</f>
        <v>210.57199999999992</v>
      </c>
      <c r="P87" s="14">
        <f t="shared" si="87"/>
        <v>52.060562294525134</v>
      </c>
      <c r="Q87" s="22">
        <f t="shared" si="54"/>
        <v>457.41837932963108</v>
      </c>
      <c r="R87" s="60">
        <f t="shared" si="55"/>
        <v>750.75171266296434</v>
      </c>
      <c r="S87" s="60">
        <f ca="1">AVERAGE(OFFSET($R$3,0,0,'Données projet'!$E$9+1,1))-AVERAGE(OFFSET($H$3,0,0,'Données projet'!$E$9+1,1))</f>
        <v>353.61481736740694</v>
      </c>
      <c r="T87" s="60">
        <f t="shared" si="88"/>
        <v>244.7141066773861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253.79327999999995</v>
      </c>
      <c r="AK87" s="14">
        <f t="shared" si="89"/>
        <v>61.39750139179521</v>
      </c>
      <c r="AL87" s="22">
        <f t="shared" si="58"/>
        <v>548.95727759070985</v>
      </c>
      <c r="AM87" s="60">
        <f t="shared" si="59"/>
        <v>842.29061092404322</v>
      </c>
      <c r="AN87" s="60">
        <f ca="1">AVERAGE(OFFSET($AM$3,0,0,'Données projet'!$E$10+1,1))-AVERAGE(OFFSET($H$3,0,0,'Données projet'!$E$10+1,1))</f>
        <v>455.50822833641354</v>
      </c>
      <c r="AO87" s="60">
        <f t="shared" si="90"/>
        <v>261.14722581688039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274.26047999999997</v>
      </c>
      <c r="BF87" s="14">
        <f t="shared" si="91"/>
        <v>65.752625133680411</v>
      </c>
      <c r="BG87" s="22">
        <f t="shared" si="61"/>
        <v>592.18949144115993</v>
      </c>
      <c r="BH87" s="60">
        <f t="shared" si="62"/>
        <v>885.5228247744933</v>
      </c>
      <c r="BI87" s="60">
        <f ca="1">AVERAGE(OFFSET($BH$3,0,0,'Données projet'!$E$11+1,1))-AVERAGE(OFFSET($H$3,0,0,'Données projet'!$E$11+1,1))</f>
        <v>488.7825919901664</v>
      </c>
      <c r="BJ87" s="60">
        <f t="shared" si="92"/>
        <v>278.78817181412438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266.07359999999994</v>
      </c>
      <c r="CA87" s="14">
        <f t="shared" si="93"/>
        <v>64.015279012301136</v>
      </c>
      <c r="CB87" s="22">
        <f t="shared" si="64"/>
        <v>574.90479761309098</v>
      </c>
      <c r="CC87" s="60">
        <f t="shared" si="65"/>
        <v>868.23813094642423</v>
      </c>
      <c r="CD87" s="60">
        <f ca="1">AVERAGE(OFFSET($CC$3,0,0,'Données projet'!$E$12+1,1))-AVERAGE(OFFSET($H$3,0,0,'Données projet'!$E$12+1,1))</f>
        <v>475.47920969424894</v>
      </c>
      <c r="CE87" s="60">
        <f t="shared" si="94"/>
        <v>271.73544012419364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237.41951999999992</v>
      </c>
      <c r="CV87" s="14">
        <f t="shared" si="95"/>
        <v>57.883978814320919</v>
      </c>
      <c r="CW87" s="22">
        <f t="shared" si="67"/>
        <v>514.32026043494204</v>
      </c>
      <c r="CX87" s="60">
        <f t="shared" si="68"/>
        <v>807.65359376827541</v>
      </c>
      <c r="CY87" s="60">
        <f ca="1">AVERAGE(OFFSET($CX$3,0,0,'Données projet'!$E$13+1,1))-AVERAGE(OFFSET($H$3,0,0,'Données projet'!$E$13+1,1))</f>
        <v>428.8489304403459</v>
      </c>
      <c r="CZ87" s="60">
        <f t="shared" si="96"/>
        <v>247.01165577562966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282.44735999999989</v>
      </c>
      <c r="DQ87" s="14">
        <f t="shared" si="97"/>
        <v>67.48394415518699</v>
      </c>
      <c r="DR87" s="22">
        <f t="shared" si="70"/>
        <v>609.46368807028375</v>
      </c>
      <c r="DS87" s="60">
        <f t="shared" si="71"/>
        <v>902.79702140361701</v>
      </c>
      <c r="DT87" s="60">
        <f ca="1">AVERAGE(OFFSET($DS$3,0,0,'Données projet'!$E$14+1,1))-AVERAGE(OFFSET($H$3,0,0,'Données projet'!$E$14+1,1))</f>
        <v>502.07782026233912</v>
      </c>
      <c r="DU87" s="60">
        <f t="shared" si="98"/>
        <v>285.83623046025156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-2.2737367544323206E-13</v>
      </c>
      <c r="EK87" s="18">
        <f>EJ87*VLOOKUP('Données projet'!$B$15,Paramètres!$A$1:$I$89,3,0)*VLOOKUP('Données projet'!$B$15,Paramètres!$A$1:$I$89,5,0)</f>
        <v>-1.3596945791505279E-13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392.62423122800357</v>
      </c>
      <c r="EP87" s="60">
        <f t="shared" si="100"/>
        <v>314.09619163968642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2.5386983308468176</v>
      </c>
      <c r="EX87" s="23">
        <f>EXP(-LN(2)/2)*EX86+(1-EXP(-LN(2)/2))/(LN(2)/2)*ER87*EU87*VLOOKUP('Données projet'!$B$15,Paramètres!$A$1:$I$89,3,0)*0.475*44/12</f>
        <v>1.3115963162438195E-7</v>
      </c>
      <c r="EY87" s="24">
        <f t="shared" si="75"/>
        <v>2.5386984620064492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>
        <f>FE87*VLOOKUP('Données projet'!$B$16,Paramètres!$A$1:$I$89,3,0)*VLOOKUP('Données projet'!$B$16,Paramètres!$A$1:$I$89,5,0)</f>
        <v>0</v>
      </c>
      <c r="FG87" s="14" t="e">
        <f t="shared" si="101"/>
        <v>#NUM!</v>
      </c>
      <c r="FH87" s="22" t="e">
        <f t="shared" si="76"/>
        <v>#NUM!</v>
      </c>
      <c r="FI87" s="60" t="e">
        <f t="shared" si="77"/>
        <v>#NUM!</v>
      </c>
      <c r="FJ87" s="60">
        <f ca="1">AVERAGE(OFFSET($FI$3,0,0,'Données projet'!$E$16+1,1))-AVERAGE(OFFSET($H$3,0,0,'Données projet'!$E$16+1,1))</f>
        <v>207.03241199974599</v>
      </c>
      <c r="FK87" s="60">
        <f t="shared" si="102"/>
        <v>314.188568589113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4.633592791901056</v>
      </c>
      <c r="FR87" s="23">
        <f>EXP(-LN(2)/25)*FR86+(1-EXP(-LN(2)/25))/(LN(2)/25)*Calculateur!FM87*Calculateur!FO87*VLOOKUP('Données projet'!$B$16,Paramètres!$A$1:$I$89,3,0)*0.475*44/12</f>
        <v>2.1814924067508685</v>
      </c>
      <c r="FS87" s="23">
        <f>EXP(-LN(2)/2)*FS86+(1-EXP(-LN(2)/2))/(LN(2)/2)*FM87*FP87*VLOOKUP('Données projet'!$B$16,Paramètres!$A$1:$I$89,3,0)*0.475*44/12</f>
        <v>2.1788684255725218E-8</v>
      </c>
      <c r="FT87" s="24">
        <f t="shared" si="78"/>
        <v>6.8150852204406096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225</v>
      </c>
      <c r="L88" s="13">
        <f>VLOOKUP(A88,'Données projet'!$A$35:$I$55,9,0)</f>
        <v>3.7179487179487181</v>
      </c>
      <c r="M88" s="13">
        <f t="array" ref="M88">INDEX(L:L,MIN(IF(ISNUMBER(L88:L284),ROW(L88:L284),"")))</f>
        <v>3.7179487179487181</v>
      </c>
      <c r="N88" s="14">
        <f>IF('Données projet'!$A$36&gt;35,N87+M88-V87,IF(A88&lt;'Données projet'!$A$36,$K$205^A88,IF(A88='Données projet'!$A$36,'Données projet'!$B$36,N87+M88-V87)))</f>
        <v>224.99999999999994</v>
      </c>
      <c r="O88" s="14">
        <f>N88*VLOOKUP('Données projet'!$B$9,Paramètres!$A$1:$I$89,3,0)*VLOOKUP('Données projet'!$B$9,Paramètres!$A$1:$I$89,5,0)</f>
        <v>214.10999999999996</v>
      </c>
      <c r="P88" s="14">
        <f t="shared" si="87"/>
        <v>52.832708448119902</v>
      </c>
      <c r="Q88" s="22">
        <f t="shared" si="54"/>
        <v>464.92521721380871</v>
      </c>
      <c r="R88" s="60">
        <f t="shared" si="55"/>
        <v>758.25855054714202</v>
      </c>
      <c r="S88" s="60">
        <f ca="1">AVERAGE(OFFSET($R$3,0,0,'Données projet'!$E$9+1,1))-AVERAGE(OFFSET($H$3,0,0,'Données projet'!$E$9+1,1))</f>
        <v>353.61481736740694</v>
      </c>
      <c r="T88" s="60">
        <f t="shared" si="88"/>
        <v>244.7141066773861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25.641025641025639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259.20959999999997</v>
      </c>
      <c r="AK88" s="14">
        <f t="shared" si="89"/>
        <v>62.553866774106702</v>
      </c>
      <c r="AL88" s="22">
        <f t="shared" si="58"/>
        <v>560.40470463156907</v>
      </c>
      <c r="AM88" s="60">
        <f t="shared" si="59"/>
        <v>853.73803796490233</v>
      </c>
      <c r="AN88" s="60">
        <f ca="1">AVERAGE(OFFSET($AM$3,0,0,'Données projet'!$E$10+1,1))-AVERAGE(OFFSET($H$3,0,0,'Données projet'!$E$10+1,1))</f>
        <v>455.50822833641354</v>
      </c>
      <c r="AO88" s="60">
        <f t="shared" si="90"/>
        <v>261.14722581688039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280.11359999999996</v>
      </c>
      <c r="BF88" s="14">
        <f t="shared" si="91"/>
        <v>66.991015259941307</v>
      </c>
      <c r="BG88" s="22">
        <f t="shared" si="61"/>
        <v>604.54053824439779</v>
      </c>
      <c r="BH88" s="60">
        <f t="shared" si="62"/>
        <v>897.87387157773105</v>
      </c>
      <c r="BI88" s="60">
        <f ca="1">AVERAGE(OFFSET($BH$3,0,0,'Données projet'!$E$11+1,1))-AVERAGE(OFFSET($H$3,0,0,'Données projet'!$E$11+1,1))</f>
        <v>488.7825919901664</v>
      </c>
      <c r="BJ88" s="60">
        <f t="shared" si="92"/>
        <v>278.78817181412438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271.75199999999995</v>
      </c>
      <c r="CA88" s="14">
        <f t="shared" si="93"/>
        <v>65.220947824724931</v>
      </c>
      <c r="CB88" s="22">
        <f t="shared" si="64"/>
        <v>586.89455079472907</v>
      </c>
      <c r="CC88" s="60">
        <f t="shared" si="65"/>
        <v>880.22788412806244</v>
      </c>
      <c r="CD88" s="60">
        <f ca="1">AVERAGE(OFFSET($CC$3,0,0,'Données projet'!$E$12+1,1))-AVERAGE(OFFSET($H$3,0,0,'Données projet'!$E$12+1,1))</f>
        <v>475.47920969424894</v>
      </c>
      <c r="CE88" s="60">
        <f t="shared" si="94"/>
        <v>271.73544012419364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242.48639999999995</v>
      </c>
      <c r="CV88" s="14">
        <f t="shared" si="95"/>
        <v>58.974170235372419</v>
      </c>
      <c r="CW88" s="22">
        <f t="shared" si="67"/>
        <v>525.04382649327351</v>
      </c>
      <c r="CX88" s="60">
        <f t="shared" si="68"/>
        <v>818.37715982660688</v>
      </c>
      <c r="CY88" s="60">
        <f ca="1">AVERAGE(OFFSET($CX$3,0,0,'Données projet'!$E$13+1,1))-AVERAGE(OFFSET($H$3,0,0,'Données projet'!$E$13+1,1))</f>
        <v>428.8489304403459</v>
      </c>
      <c r="CZ88" s="60">
        <f t="shared" si="96"/>
        <v>247.01165577562966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288.47519999999997</v>
      </c>
      <c r="DQ88" s="14">
        <f t="shared" si="97"/>
        <v>68.754942080410842</v>
      </c>
      <c r="DR88" s="22">
        <f t="shared" si="70"/>
        <v>622.17583079004874</v>
      </c>
      <c r="DS88" s="60">
        <f t="shared" si="71"/>
        <v>915.50916412338211</v>
      </c>
      <c r="DT88" s="60">
        <f ca="1">AVERAGE(OFFSET($DS$3,0,0,'Données projet'!$E$14+1,1))-AVERAGE(OFFSET($H$3,0,0,'Données projet'!$E$14+1,1))</f>
        <v>502.07782026233912</v>
      </c>
      <c r="DU88" s="60">
        <f t="shared" si="98"/>
        <v>285.83623046025156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-2.2737367544323206E-13</v>
      </c>
      <c r="EK88" s="18">
        <f>EJ88*VLOOKUP('Données projet'!$B$15,Paramètres!$A$1:$I$89,3,0)*VLOOKUP('Données projet'!$B$15,Paramètres!$A$1:$I$89,5,0)</f>
        <v>-1.3596945791505279E-13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392.62423122800357</v>
      </c>
      <c r="EP88" s="60">
        <f t="shared" si="100"/>
        <v>314.09619163968642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2.4692774914854683</v>
      </c>
      <c r="EX88" s="23">
        <f>EXP(-LN(2)/2)*EX87+(1-EXP(-LN(2)/2))/(LN(2)/2)*ER88*EU88*VLOOKUP('Données projet'!$B$15,Paramètres!$A$1:$I$89,3,0)*0.475*44/12</f>
        <v>9.2743864939530027E-8</v>
      </c>
      <c r="EY88" s="24">
        <f t="shared" si="75"/>
        <v>2.4692775842293333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>
        <f>FE88*VLOOKUP('Données projet'!$B$16,Paramètres!$A$1:$I$89,3,0)*VLOOKUP('Données projet'!$B$16,Paramètres!$A$1:$I$89,5,0)</f>
        <v>0</v>
      </c>
      <c r="FG88" s="14" t="e">
        <f t="shared" si="101"/>
        <v>#NUM!</v>
      </c>
      <c r="FH88" s="22" t="e">
        <f t="shared" si="76"/>
        <v>#NUM!</v>
      </c>
      <c r="FI88" s="60" t="e">
        <f t="shared" si="77"/>
        <v>#NUM!</v>
      </c>
      <c r="FJ88" s="60">
        <f ca="1">AVERAGE(OFFSET($FI$3,0,0,'Données projet'!$E$16+1,1))-AVERAGE(OFFSET($H$3,0,0,'Données projet'!$E$16+1,1))</f>
        <v>207.03241199974599</v>
      </c>
      <c r="FK88" s="60">
        <f t="shared" si="102"/>
        <v>314.188568589113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4.5427308634644143</v>
      </c>
      <c r="FR88" s="23">
        <f>EXP(-LN(2)/25)*FR87+(1-EXP(-LN(2)/25))/(LN(2)/25)*Calculateur!FM88*Calculateur!FO88*VLOOKUP('Données projet'!$B$16,Paramètres!$A$1:$I$89,3,0)*0.475*44/12</f>
        <v>2.1218393821685662</v>
      </c>
      <c r="FS88" s="23">
        <f>EXP(-LN(2)/2)*FS87+(1-EXP(-LN(2)/2))/(LN(2)/2)*FM88*FP88*VLOOKUP('Données projet'!$B$16,Paramètres!$A$1:$I$89,3,0)*0.475*44/12</f>
        <v>1.5406926390355865E-8</v>
      </c>
      <c r="FT88" s="24">
        <f t="shared" si="78"/>
        <v>6.6645702610399065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3.5897435897435854</v>
      </c>
      <c r="N89" s="14">
        <f>IF('Données projet'!$A$36&gt;35,N88+M89-V88,IF(A89&lt;'Données projet'!$A$36,$K$205^A89,IF(A89='Données projet'!$A$36,'Données projet'!$B$36,N88+M89-V88)))</f>
        <v>202.9487179487179</v>
      </c>
      <c r="O89" s="14">
        <f>N89*VLOOKUP('Données projet'!$B$9,Paramètres!$A$1:$I$89,3,0)*VLOOKUP('Données projet'!$B$9,Paramètres!$A$1:$I$89,5,0)</f>
        <v>193.12599999999998</v>
      </c>
      <c r="P89" s="14">
        <f t="shared" si="87"/>
        <v>48.230409312753999</v>
      </c>
      <c r="Q89" s="22">
        <f t="shared" si="54"/>
        <v>420.36241288637984</v>
      </c>
      <c r="R89" s="60">
        <f t="shared" si="55"/>
        <v>713.6957462197131</v>
      </c>
      <c r="S89" s="60">
        <f ca="1">AVERAGE(OFFSET($R$3,0,0,'Données projet'!$E$9+1,1))-AVERAGE(OFFSET($H$3,0,0,'Données projet'!$E$9+1,1))</f>
        <v>353.61481736740694</v>
      </c>
      <c r="T89" s="60">
        <f t="shared" si="88"/>
        <v>244.7141066773861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264.62591999999995</v>
      </c>
      <c r="AK89" s="14">
        <f t="shared" si="89"/>
        <v>63.707422801198604</v>
      </c>
      <c r="AL89" s="22">
        <f t="shared" si="58"/>
        <v>571.84723871208746</v>
      </c>
      <c r="AM89" s="60">
        <f t="shared" si="59"/>
        <v>865.18057204542083</v>
      </c>
      <c r="AN89" s="60">
        <f ca="1">AVERAGE(OFFSET($AM$3,0,0,'Données projet'!$E$10+1,1))-AVERAGE(OFFSET($H$3,0,0,'Données projet'!$E$10+1,1))</f>
        <v>455.50822833641354</v>
      </c>
      <c r="AO89" s="60">
        <f t="shared" si="90"/>
        <v>261.14722581688039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285.96672000000001</v>
      </c>
      <c r="BF89" s="14">
        <f t="shared" si="91"/>
        <v>68.226396754312859</v>
      </c>
      <c r="BG89" s="22">
        <f t="shared" si="61"/>
        <v>616.88634501376157</v>
      </c>
      <c r="BH89" s="60">
        <f t="shared" si="62"/>
        <v>910.21967834709494</v>
      </c>
      <c r="BI89" s="60">
        <f ca="1">AVERAGE(OFFSET($BH$3,0,0,'Données projet'!$E$11+1,1))-AVERAGE(OFFSET($H$3,0,0,'Données projet'!$E$11+1,1))</f>
        <v>488.7825919901664</v>
      </c>
      <c r="BJ89" s="60">
        <f t="shared" si="92"/>
        <v>278.78817181412438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277.43039999999996</v>
      </c>
      <c r="CA89" s="14">
        <f t="shared" si="93"/>
        <v>66.423687500715673</v>
      </c>
      <c r="CB89" s="22">
        <f t="shared" si="64"/>
        <v>598.87920239707967</v>
      </c>
      <c r="CC89" s="60">
        <f t="shared" si="65"/>
        <v>892.21253573041304</v>
      </c>
      <c r="CD89" s="60">
        <f ca="1">AVERAGE(OFFSET($CC$3,0,0,'Données projet'!$E$12+1,1))-AVERAGE(OFFSET($H$3,0,0,'Données projet'!$E$12+1,1))</f>
        <v>475.47920969424894</v>
      </c>
      <c r="CE89" s="60">
        <f t="shared" si="94"/>
        <v>271.73544012419364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247.55327999999994</v>
      </c>
      <c r="CV89" s="14">
        <f t="shared" si="95"/>
        <v>60.061713068870255</v>
      </c>
      <c r="CW89" s="22">
        <f t="shared" si="67"/>
        <v>535.76277959494894</v>
      </c>
      <c r="CX89" s="60">
        <f t="shared" si="68"/>
        <v>829.09611292828231</v>
      </c>
      <c r="CY89" s="60">
        <f ca="1">AVERAGE(OFFSET($CX$3,0,0,'Données projet'!$E$13+1,1))-AVERAGE(OFFSET($H$3,0,0,'Données projet'!$E$13+1,1))</f>
        <v>428.8489304403459</v>
      </c>
      <c r="CZ89" s="60">
        <f t="shared" si="96"/>
        <v>247.01165577562966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294.50303999999994</v>
      </c>
      <c r="DQ89" s="14">
        <f t="shared" si="97"/>
        <v>70.022852154069838</v>
      </c>
      <c r="DR89" s="22">
        <f t="shared" si="70"/>
        <v>634.88259550167152</v>
      </c>
      <c r="DS89" s="60">
        <f t="shared" si="71"/>
        <v>928.21592883500489</v>
      </c>
      <c r="DT89" s="60">
        <f ca="1">AVERAGE(OFFSET($DS$3,0,0,'Données projet'!$E$14+1,1))-AVERAGE(OFFSET($H$3,0,0,'Données projet'!$E$14+1,1))</f>
        <v>502.07782026233912</v>
      </c>
      <c r="DU89" s="60">
        <f t="shared" si="98"/>
        <v>285.83623046025156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-2.2737367544323206E-13</v>
      </c>
      <c r="EK89" s="18">
        <f>EJ89*VLOOKUP('Données projet'!$B$15,Paramètres!$A$1:$I$89,3,0)*VLOOKUP('Données projet'!$B$15,Paramètres!$A$1:$I$89,5,0)</f>
        <v>-1.3596945791505279E-13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392.62423122800357</v>
      </c>
      <c r="EP89" s="60">
        <f t="shared" si="100"/>
        <v>314.09619163968642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2.4017549686271384</v>
      </c>
      <c r="EX89" s="23">
        <f>EXP(-LN(2)/2)*EX88+(1-EXP(-LN(2)/2))/(LN(2)/2)*ER89*EU89*VLOOKUP('Données projet'!$B$15,Paramètres!$A$1:$I$89,3,0)*0.475*44/12</f>
        <v>6.5579815812190974E-8</v>
      </c>
      <c r="EY89" s="24">
        <f t="shared" si="75"/>
        <v>2.4017550342069542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>
        <f>FE89*VLOOKUP('Données projet'!$B$16,Paramètres!$A$1:$I$89,3,0)*VLOOKUP('Données projet'!$B$16,Paramètres!$A$1:$I$89,5,0)</f>
        <v>0</v>
      </c>
      <c r="FG89" s="14" t="e">
        <f t="shared" si="101"/>
        <v>#NUM!</v>
      </c>
      <c r="FH89" s="22" t="e">
        <f t="shared" si="76"/>
        <v>#NUM!</v>
      </c>
      <c r="FI89" s="60" t="e">
        <f t="shared" si="77"/>
        <v>#NUM!</v>
      </c>
      <c r="FJ89" s="60">
        <f ca="1">AVERAGE(OFFSET($FI$3,0,0,'Données projet'!$E$16+1,1))-AVERAGE(OFFSET($H$3,0,0,'Données projet'!$E$16+1,1))</f>
        <v>207.03241199974599</v>
      </c>
      <c r="FK89" s="60">
        <f t="shared" si="102"/>
        <v>314.188568589113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4.4536506820241106</v>
      </c>
      <c r="FR89" s="23">
        <f>EXP(-LN(2)/25)*FR88+(1-EXP(-LN(2)/25))/(LN(2)/25)*Calculateur!FM89*Calculateur!FO89*VLOOKUP('Données projet'!$B$16,Paramètres!$A$1:$I$89,3,0)*0.475*44/12</f>
        <v>2.0638175726804833</v>
      </c>
      <c r="FS89" s="23">
        <f>EXP(-LN(2)/2)*FS88+(1-EXP(-LN(2)/2))/(LN(2)/2)*FM89*FP89*VLOOKUP('Données projet'!$B$16,Paramètres!$A$1:$I$89,3,0)*0.475*44/12</f>
        <v>1.0894342127862609E-8</v>
      </c>
      <c r="FT89" s="24">
        <f t="shared" si="78"/>
        <v>6.5174682655989367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3.5897435897435854</v>
      </c>
      <c r="N90" s="14">
        <f>IF('Données projet'!$A$36&gt;35,N89+M90-V89,IF(A90&lt;'Données projet'!$A$36,$K$205^A90,IF(A90='Données projet'!$A$36,'Données projet'!$B$36,N89+M90-V89)))</f>
        <v>206.53846153846149</v>
      </c>
      <c r="O90" s="14">
        <f>N90*VLOOKUP('Données projet'!$B$9,Paramètres!$A$1:$I$89,3,0)*VLOOKUP('Données projet'!$B$9,Paramètres!$A$1:$I$89,5,0)</f>
        <v>196.54199999999994</v>
      </c>
      <c r="P90" s="14">
        <f t="shared" si="87"/>
        <v>48.983434287893736</v>
      </c>
      <c r="Q90" s="22">
        <f t="shared" si="54"/>
        <v>427.62346471808149</v>
      </c>
      <c r="R90" s="60">
        <f t="shared" si="55"/>
        <v>720.95679805141481</v>
      </c>
      <c r="S90" s="60">
        <f ca="1">AVERAGE(OFFSET($R$3,0,0,'Données projet'!$E$9+1,1))-AVERAGE(OFFSET($H$3,0,0,'Données projet'!$E$9+1,1))</f>
        <v>353.61481736740694</v>
      </c>
      <c r="T90" s="60">
        <f t="shared" si="88"/>
        <v>244.7141066773861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270.04223999999999</v>
      </c>
      <c r="AK90" s="14">
        <f t="shared" si="89"/>
        <v>64.858233600288145</v>
      </c>
      <c r="AL90" s="22">
        <f t="shared" si="58"/>
        <v>583.28499152050188</v>
      </c>
      <c r="AM90" s="60">
        <f t="shared" si="59"/>
        <v>876.61832485383525</v>
      </c>
      <c r="AN90" s="60">
        <f ca="1">AVERAGE(OFFSET($AM$3,0,0,'Données projet'!$E$10+1,1))-AVERAGE(OFFSET($H$3,0,0,'Données projet'!$E$10+1,1))</f>
        <v>455.50822833641354</v>
      </c>
      <c r="AO90" s="60">
        <f t="shared" si="90"/>
        <v>261.14722581688039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291.81984</v>
      </c>
      <c r="BF90" s="14">
        <f t="shared" si="91"/>
        <v>69.458838292763375</v>
      </c>
      <c r="BG90" s="22">
        <f t="shared" si="61"/>
        <v>629.22703135989616</v>
      </c>
      <c r="BH90" s="60">
        <f t="shared" si="62"/>
        <v>922.56036469322953</v>
      </c>
      <c r="BI90" s="60">
        <f ca="1">AVERAGE(OFFSET($BH$3,0,0,'Données projet'!$E$11+1,1))-AVERAGE(OFFSET($H$3,0,0,'Données projet'!$E$11+1,1))</f>
        <v>488.7825919901664</v>
      </c>
      <c r="BJ90" s="60">
        <f t="shared" si="92"/>
        <v>278.78817181412438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283.10879999999997</v>
      </c>
      <c r="CA90" s="14">
        <f t="shared" si="93"/>
        <v>67.623564901653808</v>
      </c>
      <c r="CB90" s="22">
        <f t="shared" si="64"/>
        <v>610.85886887038032</v>
      </c>
      <c r="CC90" s="60">
        <f t="shared" si="65"/>
        <v>904.19220220371358</v>
      </c>
      <c r="CD90" s="60">
        <f ca="1">AVERAGE(OFFSET($CC$3,0,0,'Données projet'!$E$12+1,1))-AVERAGE(OFFSET($H$3,0,0,'Données projet'!$E$12+1,1))</f>
        <v>475.47920969424894</v>
      </c>
      <c r="CE90" s="60">
        <f t="shared" si="94"/>
        <v>271.73544012419364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252.62015999999997</v>
      </c>
      <c r="CV90" s="14">
        <f t="shared" si="95"/>
        <v>61.14666777229877</v>
      </c>
      <c r="CW90" s="22">
        <f t="shared" si="67"/>
        <v>546.47722503675357</v>
      </c>
      <c r="CX90" s="60">
        <f t="shared" si="68"/>
        <v>839.81055837008694</v>
      </c>
      <c r="CY90" s="60">
        <f ca="1">AVERAGE(OFFSET($CX$3,0,0,'Données projet'!$E$13+1,1))-AVERAGE(OFFSET($H$3,0,0,'Données projet'!$E$13+1,1))</f>
        <v>428.8489304403459</v>
      </c>
      <c r="CZ90" s="60">
        <f t="shared" si="96"/>
        <v>247.01165577562966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300.53087999999997</v>
      </c>
      <c r="DQ90" s="14">
        <f t="shared" si="97"/>
        <v>71.287744860425462</v>
      </c>
      <c r="DR90" s="22">
        <f t="shared" si="70"/>
        <v>647.58410496524095</v>
      </c>
      <c r="DS90" s="60">
        <f t="shared" si="71"/>
        <v>940.91743829857433</v>
      </c>
      <c r="DT90" s="60">
        <f ca="1">AVERAGE(OFFSET($DS$3,0,0,'Données projet'!$E$14+1,1))-AVERAGE(OFFSET($H$3,0,0,'Données projet'!$E$14+1,1))</f>
        <v>502.07782026233912</v>
      </c>
      <c r="DU90" s="60">
        <f t="shared" si="98"/>
        <v>285.83623046025156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-2.2737367544323206E-13</v>
      </c>
      <c r="EK90" s="18">
        <f>EJ90*VLOOKUP('Données projet'!$B$15,Paramètres!$A$1:$I$89,3,0)*VLOOKUP('Données projet'!$B$15,Paramètres!$A$1:$I$89,5,0)</f>
        <v>-1.3596945791505279E-13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392.62423122800357</v>
      </c>
      <c r="EP90" s="60">
        <f t="shared" si="100"/>
        <v>314.09619163968642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2.3360788527072249</v>
      </c>
      <c r="EX90" s="23">
        <f>EXP(-LN(2)/2)*EX89+(1-EXP(-LN(2)/2))/(LN(2)/2)*ER90*EU90*VLOOKUP('Données projet'!$B$15,Paramètres!$A$1:$I$89,3,0)*0.475*44/12</f>
        <v>4.6371932469765013E-8</v>
      </c>
      <c r="EY90" s="24">
        <f t="shared" si="75"/>
        <v>2.3360788990791574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>
        <f>FE90*VLOOKUP('Données projet'!$B$16,Paramètres!$A$1:$I$89,3,0)*VLOOKUP('Données projet'!$B$16,Paramètres!$A$1:$I$89,5,0)</f>
        <v>0</v>
      </c>
      <c r="FG90" s="14" t="e">
        <f t="shared" si="101"/>
        <v>#NUM!</v>
      </c>
      <c r="FH90" s="22" t="e">
        <f t="shared" si="76"/>
        <v>#NUM!</v>
      </c>
      <c r="FI90" s="60" t="e">
        <f t="shared" si="77"/>
        <v>#NUM!</v>
      </c>
      <c r="FJ90" s="60">
        <f ca="1">AVERAGE(OFFSET($FI$3,0,0,'Données projet'!$E$16+1,1))-AVERAGE(OFFSET($H$3,0,0,'Données projet'!$E$16+1,1))</f>
        <v>207.03241199974599</v>
      </c>
      <c r="FK90" s="60">
        <f t="shared" si="102"/>
        <v>314.188568589113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4.3663173086083056</v>
      </c>
      <c r="FR90" s="23">
        <f>EXP(-LN(2)/25)*FR89+(1-EXP(-LN(2)/25))/(LN(2)/25)*Calculateur!FM90*Calculateur!FO90*VLOOKUP('Données projet'!$B$16,Paramètres!$A$1:$I$89,3,0)*0.475*44/12</f>
        <v>2.007382372624086</v>
      </c>
      <c r="FS90" s="23">
        <f>EXP(-LN(2)/2)*FS89+(1-EXP(-LN(2)/2))/(LN(2)/2)*FM90*FP90*VLOOKUP('Données projet'!$B$16,Paramètres!$A$1:$I$89,3,0)*0.475*44/12</f>
        <v>7.7034631951779324E-9</v>
      </c>
      <c r="FT90" s="24">
        <f t="shared" si="78"/>
        <v>6.3736996889358544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3.5897435897435854</v>
      </c>
      <c r="N91" s="14">
        <f>IF('Données projet'!$A$36&gt;35,N90+M91-V90,IF(A91&lt;'Données projet'!$A$36,$K$205^A91,IF(A91='Données projet'!$A$36,'Données projet'!$B$36,N90+M91-V90)))</f>
        <v>210.12820512820508</v>
      </c>
      <c r="O91" s="14">
        <f>N91*VLOOKUP('Données projet'!$B$9,Paramètres!$A$1:$I$89,3,0)*VLOOKUP('Données projet'!$B$9,Paramètres!$A$1:$I$89,5,0)</f>
        <v>199.95799999999994</v>
      </c>
      <c r="P91" s="14">
        <f t="shared" si="87"/>
        <v>49.734937283774826</v>
      </c>
      <c r="Q91" s="22">
        <f t="shared" si="54"/>
        <v>434.88186576924096</v>
      </c>
      <c r="R91" s="60">
        <f t="shared" si="55"/>
        <v>728.21519910257427</v>
      </c>
      <c r="S91" s="60">
        <f ca="1">AVERAGE(OFFSET($R$3,0,0,'Données projet'!$E$9+1,1))-AVERAGE(OFFSET($H$3,0,0,'Données projet'!$E$9+1,1))</f>
        <v>353.61481736740694</v>
      </c>
      <c r="T91" s="60">
        <f t="shared" si="88"/>
        <v>244.7141066773861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275.45855999999998</v>
      </c>
      <c r="AK91" s="14">
        <f t="shared" si="89"/>
        <v>66.006360579066197</v>
      </c>
      <c r="AL91" s="22">
        <f t="shared" si="58"/>
        <v>594.71807000854017</v>
      </c>
      <c r="AM91" s="60">
        <f t="shared" si="59"/>
        <v>888.05140334187354</v>
      </c>
      <c r="AN91" s="60">
        <f ca="1">AVERAGE(OFFSET($AM$3,0,0,'Données projet'!$E$10+1,1))-AVERAGE(OFFSET($H$3,0,0,'Données projet'!$E$10+1,1))</f>
        <v>455.50822833641354</v>
      </c>
      <c r="AO91" s="60">
        <f t="shared" si="90"/>
        <v>261.14722581688039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297.67296000000005</v>
      </c>
      <c r="BF91" s="14">
        <f t="shared" si="91"/>
        <v>70.688405638830446</v>
      </c>
      <c r="BG91" s="22">
        <f t="shared" si="61"/>
        <v>641.56271182096305</v>
      </c>
      <c r="BH91" s="60">
        <f t="shared" si="62"/>
        <v>934.89604515429642</v>
      </c>
      <c r="BI91" s="60">
        <f ca="1">AVERAGE(OFFSET($BH$3,0,0,'Données projet'!$E$11+1,1))-AVERAGE(OFFSET($H$3,0,0,'Données projet'!$E$11+1,1))</f>
        <v>488.7825919901664</v>
      </c>
      <c r="BJ91" s="60">
        <f t="shared" si="92"/>
        <v>278.78817181412438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288.78720000000004</v>
      </c>
      <c r="CA91" s="14">
        <f t="shared" si="93"/>
        <v>68.820644053442436</v>
      </c>
      <c r="CB91" s="22">
        <f t="shared" si="64"/>
        <v>622.83366172641229</v>
      </c>
      <c r="CC91" s="60">
        <f t="shared" si="65"/>
        <v>916.16699505974566</v>
      </c>
      <c r="CD91" s="60">
        <f ca="1">AVERAGE(OFFSET($CC$3,0,0,'Données projet'!$E$12+1,1))-AVERAGE(OFFSET($H$3,0,0,'Données projet'!$E$12+1,1))</f>
        <v>475.47920969424894</v>
      </c>
      <c r="CE91" s="60">
        <f t="shared" si="94"/>
        <v>271.73544012419364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257.68704000000002</v>
      </c>
      <c r="CV91" s="14">
        <f t="shared" si="95"/>
        <v>62.229092239243343</v>
      </c>
      <c r="CW91" s="22">
        <f t="shared" si="67"/>
        <v>557.18726365001555</v>
      </c>
      <c r="CX91" s="60">
        <f t="shared" si="68"/>
        <v>850.52059698334892</v>
      </c>
      <c r="CY91" s="60">
        <f ca="1">AVERAGE(OFFSET($CX$3,0,0,'Données projet'!$E$13+1,1))-AVERAGE(OFFSET($H$3,0,0,'Données projet'!$E$13+1,1))</f>
        <v>428.8489304403459</v>
      </c>
      <c r="CZ91" s="60">
        <f t="shared" si="96"/>
        <v>247.01165577562966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306.55871999999999</v>
      </c>
      <c r="DQ91" s="14">
        <f t="shared" si="97"/>
        <v>72.549687694621639</v>
      </c>
      <c r="DR91" s="22">
        <f t="shared" si="70"/>
        <v>660.28047673479932</v>
      </c>
      <c r="DS91" s="60">
        <f t="shared" si="71"/>
        <v>953.61381006813258</v>
      </c>
      <c r="DT91" s="60">
        <f ca="1">AVERAGE(OFFSET($DS$3,0,0,'Données projet'!$E$14+1,1))-AVERAGE(OFFSET($H$3,0,0,'Données projet'!$E$14+1,1))</f>
        <v>502.07782026233912</v>
      </c>
      <c r="DU91" s="60">
        <f t="shared" si="98"/>
        <v>285.83623046025156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-2.2737367544323206E-13</v>
      </c>
      <c r="EK91" s="18">
        <f>EJ91*VLOOKUP('Données projet'!$B$15,Paramètres!$A$1:$I$89,3,0)*VLOOKUP('Données projet'!$B$15,Paramètres!$A$1:$I$89,5,0)</f>
        <v>-1.3596945791505279E-13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392.62423122800357</v>
      </c>
      <c r="EP91" s="60">
        <f t="shared" si="100"/>
        <v>314.09619163968642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2.2721986536308982</v>
      </c>
      <c r="EX91" s="23">
        <f>EXP(-LN(2)/2)*EX90+(1-EXP(-LN(2)/2))/(LN(2)/2)*ER91*EU91*VLOOKUP('Données projet'!$B$15,Paramètres!$A$1:$I$89,3,0)*0.475*44/12</f>
        <v>3.2789907906095487E-8</v>
      </c>
      <c r="EY91" s="24">
        <f t="shared" si="75"/>
        <v>2.2721986864208064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>
        <f>FE91*VLOOKUP('Données projet'!$B$16,Paramètres!$A$1:$I$89,3,0)*VLOOKUP('Données projet'!$B$16,Paramètres!$A$1:$I$89,5,0)</f>
        <v>0</v>
      </c>
      <c r="FG91" s="14" t="e">
        <f t="shared" si="101"/>
        <v>#NUM!</v>
      </c>
      <c r="FH91" s="22" t="e">
        <f t="shared" si="76"/>
        <v>#NUM!</v>
      </c>
      <c r="FI91" s="60" t="e">
        <f t="shared" si="77"/>
        <v>#NUM!</v>
      </c>
      <c r="FJ91" s="60">
        <f ca="1">AVERAGE(OFFSET($FI$3,0,0,'Données projet'!$E$16+1,1))-AVERAGE(OFFSET($H$3,0,0,'Données projet'!$E$16+1,1))</f>
        <v>207.03241199974599</v>
      </c>
      <c r="FK91" s="60">
        <f t="shared" si="102"/>
        <v>314.188568589113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4.2806964893770871</v>
      </c>
      <c r="FR91" s="23">
        <f>EXP(-LN(2)/25)*FR90+(1-EXP(-LN(2)/25))/(LN(2)/25)*Calculateur!FM91*Calculateur!FO91*VLOOKUP('Données projet'!$B$16,Paramètres!$A$1:$I$89,3,0)*0.475*44/12</f>
        <v>1.9524903960810294</v>
      </c>
      <c r="FS91" s="23">
        <f>EXP(-LN(2)/2)*FS90+(1-EXP(-LN(2)/2))/(LN(2)/2)*FM91*FP91*VLOOKUP('Données projet'!$B$16,Paramètres!$A$1:$I$89,3,0)*0.475*44/12</f>
        <v>5.4471710639313046E-9</v>
      </c>
      <c r="FT91" s="24">
        <f t="shared" si="78"/>
        <v>6.2331868909052872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3.5897435897435854</v>
      </c>
      <c r="N92" s="14">
        <f>IF('Données projet'!$A$36&gt;35,N91+M92-V91,IF(A92&lt;'Données projet'!$A$36,$K$205^A92,IF(A92='Données projet'!$A$36,'Données projet'!$B$36,N91+M92-V91)))</f>
        <v>213.71794871794867</v>
      </c>
      <c r="O92" s="14">
        <f>N92*VLOOKUP('Données projet'!$B$9,Paramètres!$A$1:$I$89,3,0)*VLOOKUP('Données projet'!$B$9,Paramètres!$A$1:$I$89,5,0)</f>
        <v>203.37399999999994</v>
      </c>
      <c r="P92" s="14">
        <f t="shared" si="87"/>
        <v>50.48494730176543</v>
      </c>
      <c r="Q92" s="22">
        <f t="shared" si="54"/>
        <v>442.13766655057469</v>
      </c>
      <c r="R92" s="60">
        <f t="shared" si="55"/>
        <v>735.47099988390801</v>
      </c>
      <c r="S92" s="60">
        <f ca="1">AVERAGE(OFFSET($R$3,0,0,'Données projet'!$E$9+1,1))-AVERAGE(OFFSET($H$3,0,0,'Données projet'!$E$9+1,1))</f>
        <v>353.61481736740694</v>
      </c>
      <c r="T92" s="60">
        <f t="shared" si="88"/>
        <v>244.7141066773861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280.87488000000008</v>
      </c>
      <c r="AK92" s="14">
        <f t="shared" si="89"/>
        <v>67.151862592195855</v>
      </c>
      <c r="AL92" s="22">
        <f t="shared" si="58"/>
        <v>606.14657668140785</v>
      </c>
      <c r="AM92" s="60">
        <f t="shared" si="59"/>
        <v>899.47991001474111</v>
      </c>
      <c r="AN92" s="60">
        <f ca="1">AVERAGE(OFFSET($AM$3,0,0,'Données projet'!$E$10+1,1))-AVERAGE(OFFSET($H$3,0,0,'Données projet'!$E$10+1,1))</f>
        <v>455.50822833641354</v>
      </c>
      <c r="AO92" s="60">
        <f t="shared" si="90"/>
        <v>261.14722581688039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303.52608000000009</v>
      </c>
      <c r="BF92" s="14">
        <f t="shared" si="91"/>
        <v>71.915161821929104</v>
      </c>
      <c r="BG92" s="22">
        <f t="shared" si="61"/>
        <v>653.8934961731934</v>
      </c>
      <c r="BH92" s="60">
        <f t="shared" si="62"/>
        <v>947.22682950652666</v>
      </c>
      <c r="BI92" s="60">
        <f ca="1">AVERAGE(OFFSET($BH$3,0,0,'Données projet'!$E$11+1,1))-AVERAGE(OFFSET($H$3,0,0,'Données projet'!$E$11+1,1))</f>
        <v>488.7825919901664</v>
      </c>
      <c r="BJ92" s="60">
        <f t="shared" si="92"/>
        <v>278.78817181412438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294.46560000000005</v>
      </c>
      <c r="CA92" s="14">
        <f t="shared" si="93"/>
        <v>70.014986320104285</v>
      </c>
      <c r="CB92" s="22">
        <f t="shared" si="64"/>
        <v>634.8036878408484</v>
      </c>
      <c r="CC92" s="60">
        <f t="shared" si="65"/>
        <v>928.13702117418165</v>
      </c>
      <c r="CD92" s="60">
        <f ca="1">AVERAGE(OFFSET($CC$3,0,0,'Données projet'!$E$12+1,1))-AVERAGE(OFFSET($H$3,0,0,'Données projet'!$E$12+1,1))</f>
        <v>475.47920969424894</v>
      </c>
      <c r="CE92" s="60">
        <f t="shared" si="94"/>
        <v>271.73544012419364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262.75392000000005</v>
      </c>
      <c r="CV92" s="14">
        <f t="shared" si="95"/>
        <v>63.309041956360382</v>
      </c>
      <c r="CW92" s="22">
        <f t="shared" si="67"/>
        <v>567.89299207399438</v>
      </c>
      <c r="CX92" s="60">
        <f t="shared" si="68"/>
        <v>861.22632540732775</v>
      </c>
      <c r="CY92" s="60">
        <f ca="1">AVERAGE(OFFSET($CX$3,0,0,'Données projet'!$E$13+1,1))-AVERAGE(OFFSET($H$3,0,0,'Données projet'!$E$13+1,1))</f>
        <v>428.8489304403459</v>
      </c>
      <c r="CZ92" s="60">
        <f t="shared" si="96"/>
        <v>247.01165577562966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312.58656000000002</v>
      </c>
      <c r="DQ92" s="14">
        <f t="shared" si="97"/>
        <v>73.808745345687967</v>
      </c>
      <c r="DR92" s="22">
        <f t="shared" si="70"/>
        <v>672.97182347707314</v>
      </c>
      <c r="DS92" s="60">
        <f t="shared" si="71"/>
        <v>966.30515681040652</v>
      </c>
      <c r="DT92" s="60">
        <f ca="1">AVERAGE(OFFSET($DS$3,0,0,'Données projet'!$E$14+1,1))-AVERAGE(OFFSET($H$3,0,0,'Données projet'!$E$14+1,1))</f>
        <v>502.07782026233912</v>
      </c>
      <c r="DU92" s="60">
        <f t="shared" si="98"/>
        <v>285.83623046025156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-2.2737367544323206E-13</v>
      </c>
      <c r="EK92" s="18">
        <f>EJ92*VLOOKUP('Données projet'!$B$15,Paramètres!$A$1:$I$89,3,0)*VLOOKUP('Données projet'!$B$15,Paramètres!$A$1:$I$89,5,0)</f>
        <v>-1.3596945791505279E-13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392.62423122800357</v>
      </c>
      <c r="EP92" s="60">
        <f t="shared" si="100"/>
        <v>314.09619163968642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2.2100652619576273</v>
      </c>
      <c r="EX92" s="23">
        <f>EXP(-LN(2)/2)*EX91+(1-EXP(-LN(2)/2))/(LN(2)/2)*ER92*EU92*VLOOKUP('Données projet'!$B$15,Paramètres!$A$1:$I$89,3,0)*0.475*44/12</f>
        <v>2.3185966234882507E-8</v>
      </c>
      <c r="EY92" s="24">
        <f t="shared" si="75"/>
        <v>2.2100652851435933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>
        <f>FE92*VLOOKUP('Données projet'!$B$16,Paramètres!$A$1:$I$89,3,0)*VLOOKUP('Données projet'!$B$16,Paramètres!$A$1:$I$89,5,0)</f>
        <v>0</v>
      </c>
      <c r="FG92" s="14" t="e">
        <f t="shared" si="101"/>
        <v>#NUM!</v>
      </c>
      <c r="FH92" s="22" t="e">
        <f t="shared" si="76"/>
        <v>#NUM!</v>
      </c>
      <c r="FI92" s="60" t="e">
        <f t="shared" si="77"/>
        <v>#NUM!</v>
      </c>
      <c r="FJ92" s="60">
        <f ca="1">AVERAGE(OFFSET($FI$3,0,0,'Données projet'!$E$16+1,1))-AVERAGE(OFFSET($H$3,0,0,'Données projet'!$E$16+1,1))</f>
        <v>207.03241199974599</v>
      </c>
      <c r="FK92" s="60">
        <f t="shared" si="102"/>
        <v>314.188568589113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4.1967546421874493</v>
      </c>
      <c r="FR92" s="23">
        <f>EXP(-LN(2)/25)*FR91+(1-EXP(-LN(2)/25))/(LN(2)/25)*Calculateur!FM92*Calculateur!FO92*VLOOKUP('Données projet'!$B$16,Paramètres!$A$1:$I$89,3,0)*0.475*44/12</f>
        <v>1.8990994435231863</v>
      </c>
      <c r="FS92" s="23">
        <f>EXP(-LN(2)/2)*FS91+(1-EXP(-LN(2)/2))/(LN(2)/2)*FM92*FP92*VLOOKUP('Données projet'!$B$16,Paramètres!$A$1:$I$89,3,0)*0.475*44/12</f>
        <v>3.8517315975889662E-9</v>
      </c>
      <c r="FT92" s="24">
        <f t="shared" si="78"/>
        <v>6.0958540895623674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217.30769230769229</v>
      </c>
      <c r="L93" s="13">
        <f>VLOOKUP(A93,'Données projet'!$A$35:$I$55,9,0)</f>
        <v>3.5897435897435854</v>
      </c>
      <c r="M93" s="13">
        <f t="array" ref="M93">INDEX(L:L,MIN(IF(ISNUMBER(L93:L289),ROW(L93:L289),"")))</f>
        <v>3.5897435897435854</v>
      </c>
      <c r="N93" s="14">
        <f>IF('Données projet'!$A$36&gt;35,N92+M93-V92,IF(A93&lt;'Données projet'!$A$36,$K$205^A93,IF(A93='Données projet'!$A$36,'Données projet'!$B$36,N92+M93-V92)))</f>
        <v>217.30769230769226</v>
      </c>
      <c r="O93" s="14">
        <f>N93*VLOOKUP('Données projet'!$B$9,Paramètres!$A$1:$I$89,3,0)*VLOOKUP('Données projet'!$B$9,Paramètres!$A$1:$I$89,5,0)</f>
        <v>206.78999999999994</v>
      </c>
      <c r="P93" s="14">
        <f t="shared" si="87"/>
        <v>51.233492313143493</v>
      </c>
      <c r="Q93" s="22">
        <f t="shared" si="54"/>
        <v>449.39091577872478</v>
      </c>
      <c r="R93" s="60">
        <f t="shared" si="55"/>
        <v>742.72424911205803</v>
      </c>
      <c r="S93" s="60">
        <f ca="1">AVERAGE(OFFSET($R$3,0,0,'Données projet'!$E$9+1,1))-AVERAGE(OFFSET($H$3,0,0,'Données projet'!$E$9+1,1))</f>
        <v>353.61481736740694</v>
      </c>
      <c r="T93" s="60">
        <f t="shared" si="88"/>
        <v>244.7141066773861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286.29120000000006</v>
      </c>
      <c r="AK93" s="14">
        <f t="shared" si="89"/>
        <v>68.294796094604408</v>
      </c>
      <c r="AL93" s="22">
        <f t="shared" si="58"/>
        <v>617.57060986476938</v>
      </c>
      <c r="AM93" s="60">
        <f t="shared" si="59"/>
        <v>910.90394319810275</v>
      </c>
      <c r="AN93" s="60">
        <f ca="1">AVERAGE(OFFSET($AM$3,0,0,'Données projet'!$E$10+1,1))-AVERAGE(OFFSET($H$3,0,0,'Données projet'!$E$10+1,1))</f>
        <v>455.50822833641354</v>
      </c>
      <c r="AO93" s="60">
        <f t="shared" si="90"/>
        <v>261.14722581688039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309.37920000000008</v>
      </c>
      <c r="BF93" s="14">
        <f t="shared" si="91"/>
        <v>73.139167301517503</v>
      </c>
      <c r="BG93" s="22">
        <f t="shared" si="61"/>
        <v>666.21948971680979</v>
      </c>
      <c r="BH93" s="60">
        <f t="shared" si="62"/>
        <v>959.55282305014316</v>
      </c>
      <c r="BI93" s="60">
        <f ca="1">AVERAGE(OFFSET($BH$3,0,0,'Données projet'!$E$11+1,1))-AVERAGE(OFFSET($H$3,0,0,'Données projet'!$E$11+1,1))</f>
        <v>488.7825919901664</v>
      </c>
      <c r="BJ93" s="60">
        <f t="shared" si="92"/>
        <v>278.78817181412438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300.14400000000006</v>
      </c>
      <c r="CA93" s="14">
        <f t="shared" si="93"/>
        <v>71.206650563609855</v>
      </c>
      <c r="CB93" s="22">
        <f t="shared" si="64"/>
        <v>646.76904973162061</v>
      </c>
      <c r="CC93" s="60">
        <f t="shared" si="65"/>
        <v>940.10238306495398</v>
      </c>
      <c r="CD93" s="60">
        <f ca="1">AVERAGE(OFFSET($CC$3,0,0,'Données projet'!$E$12+1,1))-AVERAGE(OFFSET($H$3,0,0,'Données projet'!$E$12+1,1))</f>
        <v>475.47920969424894</v>
      </c>
      <c r="CE93" s="60">
        <f t="shared" si="94"/>
        <v>271.73544012419364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267.82080000000008</v>
      </c>
      <c r="CV93" s="14">
        <f t="shared" si="95"/>
        <v>64.386570147897373</v>
      </c>
      <c r="CW93" s="22">
        <f t="shared" si="67"/>
        <v>578.59450300758806</v>
      </c>
      <c r="CX93" s="60">
        <f t="shared" si="68"/>
        <v>871.92783634092143</v>
      </c>
      <c r="CY93" s="60">
        <f ca="1">AVERAGE(OFFSET($CX$3,0,0,'Données projet'!$E$13+1,1))-AVERAGE(OFFSET($H$3,0,0,'Données projet'!$E$13+1,1))</f>
        <v>428.8489304403459</v>
      </c>
      <c r="CZ93" s="60">
        <f t="shared" si="96"/>
        <v>247.01165577562966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318.61440000000005</v>
      </c>
      <c r="DQ93" s="14">
        <f t="shared" si="97"/>
        <v>75.06497986502842</v>
      </c>
      <c r="DR93" s="22">
        <f t="shared" si="70"/>
        <v>685.6582532649245</v>
      </c>
      <c r="DS93" s="60">
        <f t="shared" si="71"/>
        <v>978.99158659825775</v>
      </c>
      <c r="DT93" s="60">
        <f ca="1">AVERAGE(OFFSET($DS$3,0,0,'Données projet'!$E$14+1,1))-AVERAGE(OFFSET($H$3,0,0,'Données projet'!$E$14+1,1))</f>
        <v>502.07782026233912</v>
      </c>
      <c r="DU93" s="60">
        <f t="shared" si="98"/>
        <v>285.83623046025156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-2.2737367544323206E-13</v>
      </c>
      <c r="EK93" s="18">
        <f>EJ93*VLOOKUP('Données projet'!$B$15,Paramètres!$A$1:$I$89,3,0)*VLOOKUP('Données projet'!$B$15,Paramètres!$A$1:$I$89,5,0)</f>
        <v>-1.3596945791505279E-13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392.62423122800357</v>
      </c>
      <c r="EP93" s="60">
        <f t="shared" si="100"/>
        <v>314.09619163968642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2.1496309111471152</v>
      </c>
      <c r="EX93" s="23">
        <f>EXP(-LN(2)/2)*EX92+(1-EXP(-LN(2)/2))/(LN(2)/2)*ER93*EU93*VLOOKUP('Données projet'!$B$15,Paramètres!$A$1:$I$89,3,0)*0.475*44/12</f>
        <v>1.6394953953047744E-8</v>
      </c>
      <c r="EY93" s="24">
        <f t="shared" si="75"/>
        <v>2.1496309275420691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>
        <f>FE93*VLOOKUP('Données projet'!$B$16,Paramètres!$A$1:$I$89,3,0)*VLOOKUP('Données projet'!$B$16,Paramètres!$A$1:$I$89,5,0)</f>
        <v>0</v>
      </c>
      <c r="FG93" s="14" t="e">
        <f t="shared" si="101"/>
        <v>#NUM!</v>
      </c>
      <c r="FH93" s="22" t="e">
        <f t="shared" si="76"/>
        <v>#NUM!</v>
      </c>
      <c r="FI93" s="60" t="e">
        <f t="shared" si="77"/>
        <v>#NUM!</v>
      </c>
      <c r="FJ93" s="60">
        <f ca="1">AVERAGE(OFFSET($FI$3,0,0,'Données projet'!$E$16+1,1))-AVERAGE(OFFSET($H$3,0,0,'Données projet'!$E$16+1,1))</f>
        <v>207.03241199974599</v>
      </c>
      <c r="FK93" s="60">
        <f t="shared" si="102"/>
        <v>314.188568589113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4.1144588434217289</v>
      </c>
      <c r="FR93" s="23">
        <f>EXP(-LN(2)/25)*FR92+(1-EXP(-LN(2)/25))/(LN(2)/25)*Calculateur!FM93*Calculateur!FO93*VLOOKUP('Données projet'!$B$16,Paramètres!$A$1:$I$89,3,0)*0.475*44/12</f>
        <v>1.8471684693707455</v>
      </c>
      <c r="FS93" s="23">
        <f>EXP(-LN(2)/2)*FS92+(1-EXP(-LN(2)/2))/(LN(2)/2)*FM93*FP93*VLOOKUP('Données projet'!$B$16,Paramètres!$A$1:$I$89,3,0)*0.475*44/12</f>
        <v>2.7235855319656523E-9</v>
      </c>
      <c r="FT93" s="24">
        <f t="shared" si="78"/>
        <v>5.9616273155160604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3.333333333333337</v>
      </c>
      <c r="N94" s="14">
        <f>IF('Données projet'!$A$36&gt;35,N93+M94-V93,IF(A94&lt;'Données projet'!$A$36,$K$205^A94,IF(A94='Données projet'!$A$36,'Données projet'!$B$36,N93+M94-V93)))</f>
        <v>220.64102564102561</v>
      </c>
      <c r="O94" s="14">
        <f>N94*VLOOKUP('Données projet'!$B$9,Paramètres!$A$1:$I$89,3,0)*VLOOKUP('Données projet'!$B$9,Paramètres!$A$1:$I$89,5,0)</f>
        <v>209.96199999999999</v>
      </c>
      <c r="P94" s="14">
        <f t="shared" si="87"/>
        <v>51.927281654776422</v>
      </c>
      <c r="Q94" s="22">
        <f t="shared" si="54"/>
        <v>456.12383221540227</v>
      </c>
      <c r="R94" s="60">
        <f t="shared" si="55"/>
        <v>749.45716554873559</v>
      </c>
      <c r="S94" s="60">
        <f ca="1">AVERAGE(OFFSET($R$3,0,0,'Données projet'!$E$9+1,1))-AVERAGE(OFFSET($H$3,0,0,'Données projet'!$E$9+1,1))</f>
        <v>353.61481736740694</v>
      </c>
      <c r="T94" s="60">
        <f t="shared" si="88"/>
        <v>244.7141066773861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250.40808000000004</v>
      </c>
      <c r="AK94" s="14">
        <f t="shared" si="89"/>
        <v>60.67331674592576</v>
      </c>
      <c r="AL94" s="22">
        <f t="shared" si="58"/>
        <v>541.80009933248743</v>
      </c>
      <c r="AM94" s="60">
        <f t="shared" si="59"/>
        <v>835.13343266582069</v>
      </c>
      <c r="AN94" s="60">
        <f ca="1">AVERAGE(OFFSET($AM$3,0,0,'Données projet'!$E$10+1,1))-AVERAGE(OFFSET($H$3,0,0,'Données projet'!$E$10+1,1))</f>
        <v>455.50822833641354</v>
      </c>
      <c r="AO94" s="60">
        <f t="shared" si="90"/>
        <v>261.14722581688039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270.60228000000006</v>
      </c>
      <c r="BF94" s="14">
        <f t="shared" si="91"/>
        <v>64.977071724046255</v>
      </c>
      <c r="BG94" s="22">
        <f t="shared" si="61"/>
        <v>584.46737091938064</v>
      </c>
      <c r="BH94" s="60">
        <f t="shared" si="62"/>
        <v>877.80070425271401</v>
      </c>
      <c r="BI94" s="60">
        <f ca="1">AVERAGE(OFFSET($BH$3,0,0,'Données projet'!$E$11+1,1))-AVERAGE(OFFSET($H$3,0,0,'Données projet'!$E$11+1,1))</f>
        <v>488.7825919901664</v>
      </c>
      <c r="BJ94" s="60">
        <f t="shared" si="92"/>
        <v>278.78817181412438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262.52460000000002</v>
      </c>
      <c r="CA94" s="14">
        <f t="shared" si="93"/>
        <v>63.260217631774687</v>
      </c>
      <c r="CB94" s="22">
        <f t="shared" si="64"/>
        <v>567.40855737534105</v>
      </c>
      <c r="CC94" s="60">
        <f t="shared" si="65"/>
        <v>860.74189070867442</v>
      </c>
      <c r="CD94" s="60">
        <f ca="1">AVERAGE(OFFSET($CC$3,0,0,'Données projet'!$E$12+1,1))-AVERAGE(OFFSET($H$3,0,0,'Données projet'!$E$12+1,1))</f>
        <v>475.47920969424894</v>
      </c>
      <c r="CE94" s="60">
        <f t="shared" si="94"/>
        <v>271.73544012419364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234.25272000000001</v>
      </c>
      <c r="CV94" s="14">
        <f t="shared" si="95"/>
        <v>57.201236231171301</v>
      </c>
      <c r="CW94" s="22">
        <f t="shared" si="67"/>
        <v>507.61564043595672</v>
      </c>
      <c r="CX94" s="60">
        <f t="shared" si="68"/>
        <v>800.94897376928998</v>
      </c>
      <c r="CY94" s="60">
        <f ca="1">AVERAGE(OFFSET($CX$3,0,0,'Données projet'!$E$13+1,1))-AVERAGE(OFFSET($H$3,0,0,'Données projet'!$E$13+1,1))</f>
        <v>428.8489304403459</v>
      </c>
      <c r="CZ94" s="60">
        <f t="shared" si="96"/>
        <v>247.01165577562966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278.67996000000005</v>
      </c>
      <c r="DQ94" s="14">
        <f t="shared" si="97"/>
        <v>66.687969806197728</v>
      </c>
      <c r="DR94" s="22">
        <f t="shared" si="70"/>
        <v>601.51581107912773</v>
      </c>
      <c r="DS94" s="60">
        <f t="shared" si="71"/>
        <v>894.8491444124611</v>
      </c>
      <c r="DT94" s="60">
        <f ca="1">AVERAGE(OFFSET($DS$3,0,0,'Données projet'!$E$14+1,1))-AVERAGE(OFFSET($H$3,0,0,'Données projet'!$E$14+1,1))</f>
        <v>502.07782026233912</v>
      </c>
      <c r="DU94" s="60">
        <f t="shared" si="98"/>
        <v>285.83623046025156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-2.2737367544323206E-13</v>
      </c>
      <c r="EK94" s="18">
        <f>EJ94*VLOOKUP('Données projet'!$B$15,Paramètres!$A$1:$I$89,3,0)*VLOOKUP('Données projet'!$B$15,Paramètres!$A$1:$I$89,5,0)</f>
        <v>-1.3596945791505279E-13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392.62423122800357</v>
      </c>
      <c r="EP94" s="60">
        <f t="shared" si="100"/>
        <v>314.09619163968642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2.0908491408376206</v>
      </c>
      <c r="EX94" s="23">
        <f>EXP(-LN(2)/2)*EX93+(1-EXP(-LN(2)/2))/(LN(2)/2)*ER94*EU94*VLOOKUP('Données projet'!$B$15,Paramètres!$A$1:$I$89,3,0)*0.475*44/12</f>
        <v>1.1592983117441253E-8</v>
      </c>
      <c r="EY94" s="24">
        <f t="shared" si="75"/>
        <v>2.0908491524306037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>
        <f>FE94*VLOOKUP('Données projet'!$B$16,Paramètres!$A$1:$I$89,3,0)*VLOOKUP('Données projet'!$B$16,Paramètres!$A$1:$I$89,5,0)</f>
        <v>0</v>
      </c>
      <c r="FG94" s="14" t="e">
        <f t="shared" si="101"/>
        <v>#NUM!</v>
      </c>
      <c r="FH94" s="22" t="e">
        <f t="shared" si="76"/>
        <v>#NUM!</v>
      </c>
      <c r="FI94" s="60" t="e">
        <f t="shared" si="77"/>
        <v>#NUM!</v>
      </c>
      <c r="FJ94" s="60">
        <f ca="1">AVERAGE(OFFSET($FI$3,0,0,'Données projet'!$E$16+1,1))-AVERAGE(OFFSET($H$3,0,0,'Données projet'!$E$16+1,1))</f>
        <v>207.03241199974599</v>
      </c>
      <c r="FK94" s="60">
        <f t="shared" si="102"/>
        <v>314.188568589113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4.0337768150743232</v>
      </c>
      <c r="FR94" s="23">
        <f>EXP(-LN(2)/25)*FR93+(1-EXP(-LN(2)/25))/(LN(2)/25)*Calculateur!FM94*Calculateur!FO94*VLOOKUP('Données projet'!$B$16,Paramètres!$A$1:$I$89,3,0)*0.475*44/12</f>
        <v>1.7966575504374345</v>
      </c>
      <c r="FS94" s="23">
        <f>EXP(-LN(2)/2)*FS93+(1-EXP(-LN(2)/2))/(LN(2)/2)*FM94*FP94*VLOOKUP('Données projet'!$B$16,Paramètres!$A$1:$I$89,3,0)*0.475*44/12</f>
        <v>1.9258657987944831E-9</v>
      </c>
      <c r="FT94" s="24">
        <f t="shared" si="78"/>
        <v>5.8304343674376238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3.333333333333337</v>
      </c>
      <c r="N95" s="14">
        <f>IF('Données projet'!$A$36&gt;35,N94+M95-V94,IF(A95&lt;'Données projet'!$A$36,$K$205^A95,IF(A95='Données projet'!$A$36,'Données projet'!$B$36,N94+M95-V94)))</f>
        <v>223.97435897435895</v>
      </c>
      <c r="O95" s="14">
        <f>N95*VLOOKUP('Données projet'!$B$9,Paramètres!$A$1:$I$89,3,0)*VLOOKUP('Données projet'!$B$9,Paramètres!$A$1:$I$89,5,0)</f>
        <v>213.13399999999999</v>
      </c>
      <c r="P95" s="14">
        <f t="shared" si="87"/>
        <v>52.619851982252747</v>
      </c>
      <c r="Q95" s="22">
        <f t="shared" si="54"/>
        <v>462.85462553575684</v>
      </c>
      <c r="R95" s="60">
        <f t="shared" si="55"/>
        <v>756.18795886909015</v>
      </c>
      <c r="S95" s="60">
        <f ca="1">AVERAGE(OFFSET($R$3,0,0,'Données projet'!$E$9+1,1))-AVERAGE(OFFSET($H$3,0,0,'Données projet'!$E$9+1,1))</f>
        <v>353.61481736740694</v>
      </c>
      <c r="T95" s="60">
        <f t="shared" si="88"/>
        <v>244.7141066773861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255.14736000000002</v>
      </c>
      <c r="AK95" s="14">
        <f t="shared" si="89"/>
        <v>61.686859728645651</v>
      </c>
      <c r="AL95" s="22">
        <f t="shared" si="58"/>
        <v>551.81959936072451</v>
      </c>
      <c r="AM95" s="60">
        <f t="shared" si="59"/>
        <v>845.15293269405788</v>
      </c>
      <c r="AN95" s="60">
        <f ca="1">AVERAGE(OFFSET($AM$3,0,0,'Données projet'!$E$10+1,1))-AVERAGE(OFFSET($H$3,0,0,'Données projet'!$E$10+1,1))</f>
        <v>455.50822833641354</v>
      </c>
      <c r="AO95" s="60">
        <f t="shared" si="90"/>
        <v>261.14722581688039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275.72376000000003</v>
      </c>
      <c r="BF95" s="14">
        <f t="shared" si="91"/>
        <v>66.062508595074405</v>
      </c>
      <c r="BG95" s="22">
        <f t="shared" si="61"/>
        <v>595.27775113642122</v>
      </c>
      <c r="BH95" s="60">
        <f t="shared" si="62"/>
        <v>888.61108446975459</v>
      </c>
      <c r="BI95" s="60">
        <f ca="1">AVERAGE(OFFSET($BH$3,0,0,'Données projet'!$E$11+1,1))-AVERAGE(OFFSET($H$3,0,0,'Données projet'!$E$11+1,1))</f>
        <v>488.7825919901664</v>
      </c>
      <c r="BJ95" s="60">
        <f t="shared" si="92"/>
        <v>278.78817181412438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267.49320000000006</v>
      </c>
      <c r="CA95" s="14">
        <f t="shared" si="93"/>
        <v>64.316974590266341</v>
      </c>
      <c r="CB95" s="22">
        <f t="shared" si="64"/>
        <v>577.90272074471397</v>
      </c>
      <c r="CC95" s="60">
        <f t="shared" si="65"/>
        <v>871.23605407804735</v>
      </c>
      <c r="CD95" s="60">
        <f ca="1">AVERAGE(OFFSET($CC$3,0,0,'Données projet'!$E$12+1,1))-AVERAGE(OFFSET($H$3,0,0,'Données projet'!$E$12+1,1))</f>
        <v>475.47920969424894</v>
      </c>
      <c r="CE95" s="60">
        <f t="shared" si="94"/>
        <v>271.73544012419364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238.68624</v>
      </c>
      <c r="CV95" s="14">
        <f t="shared" si="95"/>
        <v>58.156778382060871</v>
      </c>
      <c r="CW95" s="22">
        <f t="shared" si="67"/>
        <v>517.00159034875594</v>
      </c>
      <c r="CX95" s="60">
        <f t="shared" si="68"/>
        <v>810.33492368208931</v>
      </c>
      <c r="CY95" s="60">
        <f ca="1">AVERAGE(OFFSET($CX$3,0,0,'Données projet'!$E$13+1,1))-AVERAGE(OFFSET($H$3,0,0,'Données projet'!$E$13+1,1))</f>
        <v>428.8489304403459</v>
      </c>
      <c r="CZ95" s="60">
        <f t="shared" si="96"/>
        <v>247.01165577562966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283.95432</v>
      </c>
      <c r="DQ95" s="14">
        <f t="shared" si="97"/>
        <v>67.801987095081913</v>
      </c>
      <c r="DR95" s="22">
        <f t="shared" si="70"/>
        <v>612.64223485726768</v>
      </c>
      <c r="DS95" s="60">
        <f t="shared" si="71"/>
        <v>905.97556819060105</v>
      </c>
      <c r="DT95" s="60">
        <f ca="1">AVERAGE(OFFSET($DS$3,0,0,'Données projet'!$E$14+1,1))-AVERAGE(OFFSET($H$3,0,0,'Données projet'!$E$14+1,1))</f>
        <v>502.07782026233912</v>
      </c>
      <c r="DU95" s="60">
        <f t="shared" si="98"/>
        <v>285.83623046025156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-2.2737367544323206E-13</v>
      </c>
      <c r="EK95" s="18">
        <f>EJ95*VLOOKUP('Données projet'!$B$15,Paramètres!$A$1:$I$89,3,0)*VLOOKUP('Données projet'!$B$15,Paramètres!$A$1:$I$89,5,0)</f>
        <v>-1.3596945791505279E-13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392.62423122800357</v>
      </c>
      <c r="EP95" s="60">
        <f t="shared" si="100"/>
        <v>314.09619163968642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2.0336747611284385</v>
      </c>
      <c r="EX95" s="23">
        <f>EXP(-LN(2)/2)*EX94+(1-EXP(-LN(2)/2))/(LN(2)/2)*ER95*EU95*VLOOKUP('Données projet'!$B$15,Paramètres!$A$1:$I$89,3,0)*0.475*44/12</f>
        <v>8.1974769765238718E-9</v>
      </c>
      <c r="EY95" s="24">
        <f t="shared" si="75"/>
        <v>2.0336747693259154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>
        <f>FE95*VLOOKUP('Données projet'!$B$16,Paramètres!$A$1:$I$89,3,0)*VLOOKUP('Données projet'!$B$16,Paramètres!$A$1:$I$89,5,0)</f>
        <v>0</v>
      </c>
      <c r="FG95" s="14" t="e">
        <f t="shared" si="101"/>
        <v>#NUM!</v>
      </c>
      <c r="FH95" s="22" t="e">
        <f t="shared" si="76"/>
        <v>#NUM!</v>
      </c>
      <c r="FI95" s="60" t="e">
        <f t="shared" si="77"/>
        <v>#NUM!</v>
      </c>
      <c r="FJ95" s="60">
        <f ca="1">AVERAGE(OFFSET($FI$3,0,0,'Données projet'!$E$16+1,1))-AVERAGE(OFFSET($H$3,0,0,'Données projet'!$E$16+1,1))</f>
        <v>207.03241199974599</v>
      </c>
      <c r="FK95" s="60">
        <f t="shared" si="102"/>
        <v>314.188568589113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3.9546769120916325</v>
      </c>
      <c r="FR95" s="23">
        <f>EXP(-LN(2)/25)*FR94+(1-EXP(-LN(2)/25))/(LN(2)/25)*Calculateur!FM95*Calculateur!FO95*VLOOKUP('Données projet'!$B$16,Paramètres!$A$1:$I$89,3,0)*0.475*44/12</f>
        <v>1.7475278552386087</v>
      </c>
      <c r="FS95" s="23">
        <f>EXP(-LN(2)/2)*FS94+(1-EXP(-LN(2)/2))/(LN(2)/2)*FM95*FP95*VLOOKUP('Données projet'!$B$16,Paramètres!$A$1:$I$89,3,0)*0.475*44/12</f>
        <v>1.3617927659828261E-9</v>
      </c>
      <c r="FT95" s="24">
        <f t="shared" si="78"/>
        <v>5.7022047686920336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3.333333333333337</v>
      </c>
      <c r="N96" s="14">
        <f>IF('Données projet'!$A$36&gt;35,N95+M96-V95,IF(A96&lt;'Données projet'!$A$36,$K$205^A96,IF(A96='Données projet'!$A$36,'Données projet'!$B$36,N95+M96-V95)))</f>
        <v>227.30769230769229</v>
      </c>
      <c r="O96" s="14">
        <f>N96*VLOOKUP('Données projet'!$B$9,Paramètres!$A$1:$I$89,3,0)*VLOOKUP('Données projet'!$B$9,Paramètres!$A$1:$I$89,5,0)</f>
        <v>216.30599999999998</v>
      </c>
      <c r="P96" s="14">
        <f t="shared" si="87"/>
        <v>53.311223533460037</v>
      </c>
      <c r="Q96" s="22">
        <f t="shared" si="54"/>
        <v>469.58333098744288</v>
      </c>
      <c r="R96" s="60">
        <f t="shared" si="55"/>
        <v>762.91666432077614</v>
      </c>
      <c r="S96" s="60">
        <f ca="1">AVERAGE(OFFSET($R$3,0,0,'Données projet'!$E$9+1,1))-AVERAGE(OFFSET($H$3,0,0,'Données projet'!$E$9+1,1))</f>
        <v>353.61481736740694</v>
      </c>
      <c r="T96" s="60">
        <f t="shared" si="88"/>
        <v>244.7141066773861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259.88664</v>
      </c>
      <c r="AK96" s="14">
        <f t="shared" si="89"/>
        <v>62.698213571884004</v>
      </c>
      <c r="AL96" s="22">
        <f t="shared" si="58"/>
        <v>561.835286637698</v>
      </c>
      <c r="AM96" s="60">
        <f t="shared" si="59"/>
        <v>855.16861997103138</v>
      </c>
      <c r="AN96" s="60">
        <f ca="1">AVERAGE(OFFSET($AM$3,0,0,'Données projet'!$E$10+1,1))-AVERAGE(OFFSET($H$3,0,0,'Données projet'!$E$10+1,1))</f>
        <v>455.50822833641354</v>
      </c>
      <c r="AO96" s="60">
        <f t="shared" si="90"/>
        <v>261.14722581688039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280.84523999999999</v>
      </c>
      <c r="BF96" s="14">
        <f t="shared" si="91"/>
        <v>67.145601043863223</v>
      </c>
      <c r="BG96" s="22">
        <f t="shared" si="61"/>
        <v>606.08404815139511</v>
      </c>
      <c r="BH96" s="60">
        <f t="shared" si="62"/>
        <v>899.41738148472837</v>
      </c>
      <c r="BI96" s="60">
        <f ca="1">AVERAGE(OFFSET($BH$3,0,0,'Données projet'!$E$11+1,1))-AVERAGE(OFFSET($H$3,0,0,'Données projet'!$E$11+1,1))</f>
        <v>488.7825919901664</v>
      </c>
      <c r="BJ96" s="60">
        <f t="shared" si="92"/>
        <v>278.78817181412438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272.46180000000004</v>
      </c>
      <c r="CA96" s="14">
        <f t="shared" si="93"/>
        <v>65.371449071921944</v>
      </c>
      <c r="CB96" s="22">
        <f t="shared" si="64"/>
        <v>588.39290880026408</v>
      </c>
      <c r="CC96" s="60">
        <f t="shared" si="65"/>
        <v>881.72624213359745</v>
      </c>
      <c r="CD96" s="60">
        <f ca="1">AVERAGE(OFFSET($CC$3,0,0,'Données projet'!$E$12+1,1))-AVERAGE(OFFSET($H$3,0,0,'Données projet'!$E$12+1,1))</f>
        <v>475.47920969424894</v>
      </c>
      <c r="CE96" s="60">
        <f t="shared" si="94"/>
        <v>271.73544012419364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243.11975999999996</v>
      </c>
      <c r="CV96" s="14">
        <f t="shared" si="95"/>
        <v>59.110256668778533</v>
      </c>
      <c r="CW96" s="22">
        <f t="shared" si="67"/>
        <v>526.3839456981226</v>
      </c>
      <c r="CX96" s="60">
        <f t="shared" si="68"/>
        <v>819.71727903145597</v>
      </c>
      <c r="CY96" s="60">
        <f ca="1">AVERAGE(OFFSET($CX$3,0,0,'Données projet'!$E$13+1,1))-AVERAGE(OFFSET($H$3,0,0,'Données projet'!$E$13+1,1))</f>
        <v>428.8489304403459</v>
      </c>
      <c r="CZ96" s="60">
        <f t="shared" si="96"/>
        <v>247.01165577562966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289.22868</v>
      </c>
      <c r="DQ96" s="14">
        <f t="shared" si="97"/>
        <v>68.913598231220931</v>
      </c>
      <c r="DR96" s="22">
        <f t="shared" si="70"/>
        <v>623.76446791937644</v>
      </c>
      <c r="DS96" s="60">
        <f t="shared" si="71"/>
        <v>917.09780125270981</v>
      </c>
      <c r="DT96" s="60">
        <f ca="1">AVERAGE(OFFSET($DS$3,0,0,'Données projet'!$E$14+1,1))-AVERAGE(OFFSET($H$3,0,0,'Données projet'!$E$14+1,1))</f>
        <v>502.07782026233912</v>
      </c>
      <c r="DU96" s="60">
        <f t="shared" si="98"/>
        <v>285.83623046025156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-2.2737367544323206E-13</v>
      </c>
      <c r="EK96" s="18">
        <f>EJ96*VLOOKUP('Données projet'!$B$15,Paramètres!$A$1:$I$89,3,0)*VLOOKUP('Données projet'!$B$15,Paramètres!$A$1:$I$89,5,0)</f>
        <v>-1.3596945791505279E-13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392.62423122800357</v>
      </c>
      <c r="EP96" s="60">
        <f t="shared" si="100"/>
        <v>314.09619163968642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1.9780638178390737</v>
      </c>
      <c r="EX96" s="23">
        <f>EXP(-LN(2)/2)*EX95+(1-EXP(-LN(2)/2))/(LN(2)/2)*ER96*EU96*VLOOKUP('Données projet'!$B$15,Paramètres!$A$1:$I$89,3,0)*0.475*44/12</f>
        <v>5.7964915587206267E-9</v>
      </c>
      <c r="EY96" s="24">
        <f t="shared" si="75"/>
        <v>1.9780638236355652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>
        <f>FE96*VLOOKUP('Données projet'!$B$16,Paramètres!$A$1:$I$89,3,0)*VLOOKUP('Données projet'!$B$16,Paramètres!$A$1:$I$89,5,0)</f>
        <v>0</v>
      </c>
      <c r="FG96" s="14" t="e">
        <f t="shared" si="101"/>
        <v>#NUM!</v>
      </c>
      <c r="FH96" s="22" t="e">
        <f t="shared" si="76"/>
        <v>#NUM!</v>
      </c>
      <c r="FI96" s="60" t="e">
        <f t="shared" si="77"/>
        <v>#NUM!</v>
      </c>
      <c r="FJ96" s="60">
        <f ca="1">AVERAGE(OFFSET($FI$3,0,0,'Données projet'!$E$16+1,1))-AVERAGE(OFFSET($H$3,0,0,'Données projet'!$E$16+1,1))</f>
        <v>207.03241199974599</v>
      </c>
      <c r="FK96" s="60">
        <f t="shared" si="102"/>
        <v>314.188568589113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3.8771281099602555</v>
      </c>
      <c r="FR96" s="23">
        <f>EXP(-LN(2)/25)*FR95+(1-EXP(-LN(2)/25))/(LN(2)/25)*Calculateur!FM96*Calculateur!FO96*VLOOKUP('Données projet'!$B$16,Paramètres!$A$1:$I$89,3,0)*0.475*44/12</f>
        <v>1.699741614138613</v>
      </c>
      <c r="FS96" s="23">
        <f>EXP(-LN(2)/2)*FS95+(1-EXP(-LN(2)/2))/(LN(2)/2)*FM96*FP96*VLOOKUP('Données projet'!$B$16,Paramètres!$A$1:$I$89,3,0)*0.475*44/12</f>
        <v>9.6293289939724155E-10</v>
      </c>
      <c r="FT96" s="24">
        <f t="shared" si="78"/>
        <v>5.5768697250618011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3.333333333333337</v>
      </c>
      <c r="N97" s="14">
        <f>IF('Données projet'!$A$36&gt;35,N96+M97-V96,IF(A97&lt;'Données projet'!$A$36,$K$205^A97,IF(A97='Données projet'!$A$36,'Données projet'!$B$36,N96+M97-V96)))</f>
        <v>230.64102564102564</v>
      </c>
      <c r="O97" s="14">
        <f>N97*VLOOKUP('Données projet'!$B$9,Paramètres!$A$1:$I$89,3,0)*VLOOKUP('Données projet'!$B$9,Paramètres!$A$1:$I$89,5,0)</f>
        <v>219.47800000000001</v>
      </c>
      <c r="P97" s="14">
        <f t="shared" si="87"/>
        <v>54.001415918656583</v>
      </c>
      <c r="Q97" s="22">
        <f t="shared" si="54"/>
        <v>476.30998272499346</v>
      </c>
      <c r="R97" s="60">
        <f t="shared" si="55"/>
        <v>769.64331605832672</v>
      </c>
      <c r="S97" s="60">
        <f ca="1">AVERAGE(OFFSET($R$3,0,0,'Données projet'!$E$9+1,1))-AVERAGE(OFFSET($H$3,0,0,'Données projet'!$E$9+1,1))</f>
        <v>353.61481736740694</v>
      </c>
      <c r="T97" s="60">
        <f t="shared" si="88"/>
        <v>244.7141066773861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264.62591999999995</v>
      </c>
      <c r="AK97" s="14">
        <f t="shared" si="89"/>
        <v>63.707422801198604</v>
      </c>
      <c r="AL97" s="22">
        <f t="shared" si="58"/>
        <v>571.84723871208746</v>
      </c>
      <c r="AM97" s="60">
        <f t="shared" si="59"/>
        <v>865.18057204542083</v>
      </c>
      <c r="AN97" s="60">
        <f ca="1">AVERAGE(OFFSET($AM$3,0,0,'Données projet'!$E$10+1,1))-AVERAGE(OFFSET($H$3,0,0,'Données projet'!$E$10+1,1))</f>
        <v>455.50822833641354</v>
      </c>
      <c r="AO97" s="60">
        <f t="shared" si="90"/>
        <v>261.14722581688039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285.96672000000001</v>
      </c>
      <c r="BF97" s="14">
        <f t="shared" si="91"/>
        <v>68.226396754312859</v>
      </c>
      <c r="BG97" s="22">
        <f t="shared" si="61"/>
        <v>616.88634501376157</v>
      </c>
      <c r="BH97" s="60">
        <f t="shared" si="62"/>
        <v>910.21967834709494</v>
      </c>
      <c r="BI97" s="60">
        <f ca="1">AVERAGE(OFFSET($BH$3,0,0,'Données projet'!$E$11+1,1))-AVERAGE(OFFSET($H$3,0,0,'Données projet'!$E$11+1,1))</f>
        <v>488.7825919901664</v>
      </c>
      <c r="BJ97" s="60">
        <f t="shared" si="92"/>
        <v>278.78817181412438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277.43039999999996</v>
      </c>
      <c r="CA97" s="14">
        <f t="shared" si="93"/>
        <v>66.423687500715673</v>
      </c>
      <c r="CB97" s="22">
        <f t="shared" si="64"/>
        <v>598.87920239707967</v>
      </c>
      <c r="CC97" s="60">
        <f t="shared" si="65"/>
        <v>892.21253573041304</v>
      </c>
      <c r="CD97" s="60">
        <f ca="1">AVERAGE(OFFSET($CC$3,0,0,'Données projet'!$E$12+1,1))-AVERAGE(OFFSET($H$3,0,0,'Données projet'!$E$12+1,1))</f>
        <v>475.47920969424894</v>
      </c>
      <c r="CE97" s="60">
        <f t="shared" si="94"/>
        <v>271.73544012419364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247.55327999999994</v>
      </c>
      <c r="CV97" s="14">
        <f t="shared" si="95"/>
        <v>60.061713068870255</v>
      </c>
      <c r="CW97" s="22">
        <f t="shared" si="67"/>
        <v>535.76277959494894</v>
      </c>
      <c r="CX97" s="60">
        <f t="shared" si="68"/>
        <v>829.09611292828231</v>
      </c>
      <c r="CY97" s="60">
        <f ca="1">AVERAGE(OFFSET($CX$3,0,0,'Données projet'!$E$13+1,1))-AVERAGE(OFFSET($H$3,0,0,'Données projet'!$E$13+1,1))</f>
        <v>428.8489304403459</v>
      </c>
      <c r="CZ97" s="60">
        <f t="shared" si="96"/>
        <v>247.01165577562966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294.50303999999994</v>
      </c>
      <c r="DQ97" s="14">
        <f t="shared" si="97"/>
        <v>70.022852154069838</v>
      </c>
      <c r="DR97" s="22">
        <f t="shared" si="70"/>
        <v>634.88259550167152</v>
      </c>
      <c r="DS97" s="60">
        <f t="shared" si="71"/>
        <v>928.21592883500489</v>
      </c>
      <c r="DT97" s="60">
        <f ca="1">AVERAGE(OFFSET($DS$3,0,0,'Données projet'!$E$14+1,1))-AVERAGE(OFFSET($H$3,0,0,'Données projet'!$E$14+1,1))</f>
        <v>502.07782026233912</v>
      </c>
      <c r="DU97" s="60">
        <f t="shared" si="98"/>
        <v>285.83623046025156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-2.2737367544323206E-13</v>
      </c>
      <c r="EK97" s="18">
        <f>EJ97*VLOOKUP('Données projet'!$B$15,Paramètres!$A$1:$I$89,3,0)*VLOOKUP('Données projet'!$B$15,Paramètres!$A$1:$I$89,5,0)</f>
        <v>-1.3596945791505279E-13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392.62423122800357</v>
      </c>
      <c r="EP97" s="60">
        <f t="shared" si="100"/>
        <v>314.09619163968642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1.923973558718409</v>
      </c>
      <c r="EX97" s="23">
        <f>EXP(-LN(2)/2)*EX96+(1-EXP(-LN(2)/2))/(LN(2)/2)*ER97*EU97*VLOOKUP('Données projet'!$B$15,Paramètres!$A$1:$I$89,3,0)*0.475*44/12</f>
        <v>4.0987384882619359E-9</v>
      </c>
      <c r="EY97" s="24">
        <f t="shared" si="75"/>
        <v>1.9239735628171475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>
        <f>FE97*VLOOKUP('Données projet'!$B$16,Paramètres!$A$1:$I$89,3,0)*VLOOKUP('Données projet'!$B$16,Paramètres!$A$1:$I$89,5,0)</f>
        <v>0</v>
      </c>
      <c r="FG97" s="14" t="e">
        <f t="shared" si="101"/>
        <v>#NUM!</v>
      </c>
      <c r="FH97" s="22" t="e">
        <f t="shared" si="76"/>
        <v>#NUM!</v>
      </c>
      <c r="FI97" s="60" t="e">
        <f t="shared" si="77"/>
        <v>#NUM!</v>
      </c>
      <c r="FJ97" s="60">
        <f ca="1">AVERAGE(OFFSET($FI$3,0,0,'Données projet'!$E$16+1,1))-AVERAGE(OFFSET($H$3,0,0,'Données projet'!$E$16+1,1))</f>
        <v>207.03241199974599</v>
      </c>
      <c r="FK97" s="60">
        <f t="shared" si="102"/>
        <v>314.188568589113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3.801099992538576</v>
      </c>
      <c r="FR97" s="23">
        <f>EXP(-LN(2)/25)*FR96+(1-EXP(-LN(2)/25))/(LN(2)/25)*Calculateur!FM97*Calculateur!FO97*VLOOKUP('Données projet'!$B$16,Paramètres!$A$1:$I$89,3,0)*0.475*44/12</f>
        <v>1.6532620903144659</v>
      </c>
      <c r="FS97" s="23">
        <f>EXP(-LN(2)/2)*FS96+(1-EXP(-LN(2)/2))/(LN(2)/2)*FM97*FP97*VLOOKUP('Données projet'!$B$16,Paramètres!$A$1:$I$89,3,0)*0.475*44/12</f>
        <v>6.8089638299141307E-10</v>
      </c>
      <c r="FT97" s="24">
        <f t="shared" si="78"/>
        <v>5.4543620835339377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233.97435897435898</v>
      </c>
      <c r="L98" s="13">
        <f>VLOOKUP(A98,'Données projet'!$A$35:$I$55,9,0)</f>
        <v>3.333333333333337</v>
      </c>
      <c r="M98" s="13">
        <f t="array" ref="M98">INDEX(L:L,MIN(IF(ISNUMBER(L98:L294),ROW(L98:L294),"")))</f>
        <v>3.333333333333337</v>
      </c>
      <c r="N98" s="14">
        <f>IF('Données projet'!$A$36&gt;35,N97+M98-V97,IF(A98&lt;'Données projet'!$A$36,$K$205^A98,IF(A98='Données projet'!$A$36,'Données projet'!$B$36,N97+M98-V97)))</f>
        <v>233.97435897435898</v>
      </c>
      <c r="O98" s="14">
        <f>N98*VLOOKUP('Données projet'!$B$9,Paramètres!$A$1:$I$89,3,0)*VLOOKUP('Données projet'!$B$9,Paramètres!$A$1:$I$89,5,0)</f>
        <v>222.65</v>
      </c>
      <c r="P98" s="14">
        <f t="shared" si="87"/>
        <v>54.690448148719405</v>
      </c>
      <c r="Q98" s="22">
        <f t="shared" si="54"/>
        <v>483.03461385901966</v>
      </c>
      <c r="R98" s="60">
        <f t="shared" si="55"/>
        <v>776.36794719235297</v>
      </c>
      <c r="S98" s="60">
        <f ca="1">AVERAGE(OFFSET($R$3,0,0,'Données projet'!$E$9+1,1))-AVERAGE(OFFSET($H$3,0,0,'Données projet'!$E$9+1,1))</f>
        <v>353.61481736740694</v>
      </c>
      <c r="T98" s="60">
        <f t="shared" si="88"/>
        <v>244.7141066773861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23.717948717948715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269.36519999999996</v>
      </c>
      <c r="AK98" s="14">
        <f t="shared" si="89"/>
        <v>64.714530255967034</v>
      </c>
      <c r="AL98" s="22">
        <f t="shared" si="58"/>
        <v>581.85553019580914</v>
      </c>
      <c r="AM98" s="60">
        <f t="shared" si="59"/>
        <v>875.18886352914251</v>
      </c>
      <c r="AN98" s="60">
        <f ca="1">AVERAGE(OFFSET($AM$3,0,0,'Données projet'!$E$10+1,1))-AVERAGE(OFFSET($H$3,0,0,'Données projet'!$E$10+1,1))</f>
        <v>455.50822833641354</v>
      </c>
      <c r="AO98" s="60">
        <f t="shared" si="90"/>
        <v>261.14722581688039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291.08819999999997</v>
      </c>
      <c r="BF98" s="14">
        <f t="shared" si="91"/>
        <v>69.304941604536566</v>
      </c>
      <c r="BG98" s="22">
        <f t="shared" si="61"/>
        <v>627.68472162790101</v>
      </c>
      <c r="BH98" s="60">
        <f t="shared" si="62"/>
        <v>921.01805496123438</v>
      </c>
      <c r="BI98" s="60">
        <f ca="1">AVERAGE(OFFSET($BH$3,0,0,'Données projet'!$E$11+1,1))-AVERAGE(OFFSET($H$3,0,0,'Données projet'!$E$11+1,1))</f>
        <v>488.7825919901664</v>
      </c>
      <c r="BJ98" s="60">
        <f t="shared" si="92"/>
        <v>278.78817181412438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282.399</v>
      </c>
      <c r="CA98" s="14">
        <f t="shared" si="93"/>
        <v>67.473734542548371</v>
      </c>
      <c r="CB98" s="22">
        <f t="shared" si="64"/>
        <v>609.36167932827175</v>
      </c>
      <c r="CC98" s="60">
        <f t="shared" si="65"/>
        <v>902.69501266160501</v>
      </c>
      <c r="CD98" s="60">
        <f ca="1">AVERAGE(OFFSET($CC$3,0,0,'Données projet'!$E$12+1,1))-AVERAGE(OFFSET($H$3,0,0,'Données projet'!$E$12+1,1))</f>
        <v>475.47920969424894</v>
      </c>
      <c r="CE98" s="60">
        <f t="shared" si="94"/>
        <v>271.73544012419364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251.98679999999993</v>
      </c>
      <c r="CV98" s="14">
        <f t="shared" si="95"/>
        <v>61.011187970195053</v>
      </c>
      <c r="CW98" s="22">
        <f t="shared" si="67"/>
        <v>545.13816238142283</v>
      </c>
      <c r="CX98" s="60">
        <f t="shared" si="68"/>
        <v>838.4714957147562</v>
      </c>
      <c r="CY98" s="60">
        <f ca="1">AVERAGE(OFFSET($CX$3,0,0,'Données projet'!$E$13+1,1))-AVERAGE(OFFSET($H$3,0,0,'Données projet'!$E$13+1,1))</f>
        <v>428.8489304403459</v>
      </c>
      <c r="CZ98" s="60">
        <f t="shared" si="96"/>
        <v>247.01165577562966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299.77739999999989</v>
      </c>
      <c r="DQ98" s="14">
        <f t="shared" si="97"/>
        <v>71.129795949749251</v>
      </c>
      <c r="DR98" s="22">
        <f t="shared" si="70"/>
        <v>645.9966996124798</v>
      </c>
      <c r="DS98" s="60">
        <f t="shared" si="71"/>
        <v>939.33003294581317</v>
      </c>
      <c r="DT98" s="60">
        <f ca="1">AVERAGE(OFFSET($DS$3,0,0,'Données projet'!$E$14+1,1))-AVERAGE(OFFSET($H$3,0,0,'Données projet'!$E$14+1,1))</f>
        <v>502.07782026233912</v>
      </c>
      <c r="DU98" s="60">
        <f t="shared" si="98"/>
        <v>285.83623046025156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-2.2737367544323206E-13</v>
      </c>
      <c r="EK98" s="18">
        <f>EJ98*VLOOKUP('Données projet'!$B$15,Paramètres!$A$1:$I$89,3,0)*VLOOKUP('Données projet'!$B$15,Paramètres!$A$1:$I$89,5,0)</f>
        <v>-1.3596945791505279E-13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392.62423122800357</v>
      </c>
      <c r="EP98" s="60">
        <f t="shared" si="100"/>
        <v>314.09619163968642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1.8713624005778819</v>
      </c>
      <c r="EX98" s="23">
        <f>EXP(-LN(2)/2)*EX97+(1-EXP(-LN(2)/2))/(LN(2)/2)*ER98*EU98*VLOOKUP('Données projet'!$B$15,Paramètres!$A$1:$I$89,3,0)*0.475*44/12</f>
        <v>2.8982457793603133E-9</v>
      </c>
      <c r="EY98" s="24">
        <f t="shared" si="75"/>
        <v>1.8713624034761278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>
        <f>FE98*VLOOKUP('Données projet'!$B$16,Paramètres!$A$1:$I$89,3,0)*VLOOKUP('Données projet'!$B$16,Paramètres!$A$1:$I$89,5,0)</f>
        <v>0</v>
      </c>
      <c r="FG98" s="14" t="e">
        <f t="shared" si="101"/>
        <v>#NUM!</v>
      </c>
      <c r="FH98" s="22" t="e">
        <f t="shared" si="76"/>
        <v>#NUM!</v>
      </c>
      <c r="FI98" s="60" t="e">
        <f t="shared" si="77"/>
        <v>#NUM!</v>
      </c>
      <c r="FJ98" s="60">
        <f ca="1">AVERAGE(OFFSET($FI$3,0,0,'Données projet'!$E$16+1,1))-AVERAGE(OFFSET($H$3,0,0,'Données projet'!$E$16+1,1))</f>
        <v>207.03241199974599</v>
      </c>
      <c r="FK98" s="60">
        <f t="shared" si="102"/>
        <v>314.188568589113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3.7265627401269628</v>
      </c>
      <c r="FR98" s="23">
        <f>EXP(-LN(2)/25)*FR97+(1-EXP(-LN(2)/25))/(LN(2)/25)*Calculateur!FM98*Calculateur!FO98*VLOOKUP('Données projet'!$B$16,Paramètres!$A$1:$I$89,3,0)*0.475*44/12</f>
        <v>1.6080535515135421</v>
      </c>
      <c r="FS98" s="23">
        <f>EXP(-LN(2)/2)*FS97+(1-EXP(-LN(2)/2))/(LN(2)/2)*FM98*FP98*VLOOKUP('Données projet'!$B$16,Paramètres!$A$1:$I$89,3,0)*0.475*44/12</f>
        <v>4.8146644969862077E-10</v>
      </c>
      <c r="FT98" s="24">
        <f t="shared" si="78"/>
        <v>5.3346162921219715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3.2051282051281986</v>
      </c>
      <c r="N99" s="14">
        <f>IF('Données projet'!$A$36&gt;35,N98+M99-V98,IF(A99&lt;'Données projet'!$A$36,$K$205^A99,IF(A99='Données projet'!$A$36,'Données projet'!$B$36,N98+M99-V98)))</f>
        <v>213.46153846153845</v>
      </c>
      <c r="O99" s="14">
        <f>N99*VLOOKUP('Données projet'!$B$9,Paramètres!$A$1:$I$89,3,0)*VLOOKUP('Données projet'!$B$9,Paramètres!$A$1:$I$89,5,0)</f>
        <v>203.13</v>
      </c>
      <c r="P99" s="14">
        <f t="shared" si="87"/>
        <v>50.431424067617797</v>
      </c>
      <c r="Q99" s="22">
        <f t="shared" ref="Q99:Q130" si="107">(O99+P99)*0.475*44/12</f>
        <v>441.61948025110092</v>
      </c>
      <c r="R99" s="60">
        <f t="shared" si="55"/>
        <v>734.95281358443424</v>
      </c>
      <c r="S99" s="60">
        <f ca="1">AVERAGE(OFFSET($R$3,0,0,'Données projet'!$E$9+1,1))-AVERAGE(OFFSET($H$3,0,0,'Données projet'!$E$9+1,1))</f>
        <v>353.61481736740694</v>
      </c>
      <c r="T99" s="60">
        <f t="shared" si="88"/>
        <v>244.7141066773861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274.10447999999991</v>
      </c>
      <c r="AK99" s="14">
        <f t="shared" si="89"/>
        <v>65.719577181765516</v>
      </c>
      <c r="AL99" s="22">
        <f t="shared" si="58"/>
        <v>591.86023292490802</v>
      </c>
      <c r="AM99" s="60">
        <f t="shared" si="59"/>
        <v>885.19356625824139</v>
      </c>
      <c r="AN99" s="60">
        <f ca="1">AVERAGE(OFFSET($AM$3,0,0,'Données projet'!$E$10+1,1))-AVERAGE(OFFSET($H$3,0,0,'Données projet'!$E$10+1,1))</f>
        <v>455.50822833641354</v>
      </c>
      <c r="AO99" s="60">
        <f t="shared" si="90"/>
        <v>261.14722581688039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296.20967999999993</v>
      </c>
      <c r="BF99" s="14">
        <f t="shared" si="91"/>
        <v>70.381279765792954</v>
      </c>
      <c r="BG99" s="22">
        <f t="shared" si="61"/>
        <v>638.47925492542254</v>
      </c>
      <c r="BH99" s="60">
        <f t="shared" si="62"/>
        <v>931.8125882587558</v>
      </c>
      <c r="BI99" s="60">
        <f ca="1">AVERAGE(OFFSET($BH$3,0,0,'Données projet'!$E$11+1,1))-AVERAGE(OFFSET($H$3,0,0,'Données projet'!$E$11+1,1))</f>
        <v>488.7825919901664</v>
      </c>
      <c r="BJ99" s="60">
        <f t="shared" si="92"/>
        <v>278.78817181412438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287.36759999999992</v>
      </c>
      <c r="CA99" s="14">
        <f t="shared" si="93"/>
        <v>68.521633201565123</v>
      </c>
      <c r="CB99" s="22">
        <f t="shared" si="64"/>
        <v>619.84041449272581</v>
      </c>
      <c r="CC99" s="60">
        <f t="shared" si="65"/>
        <v>913.17374782605907</v>
      </c>
      <c r="CD99" s="60">
        <f ca="1">AVERAGE(OFFSET($CC$3,0,0,'Données projet'!$E$12+1,1))-AVERAGE(OFFSET($H$3,0,0,'Données projet'!$E$12+1,1))</f>
        <v>475.47920969424894</v>
      </c>
      <c r="CE99" s="60">
        <f t="shared" si="94"/>
        <v>271.73544012419364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256.42031999999989</v>
      </c>
      <c r="CV99" s="14">
        <f t="shared" si="95"/>
        <v>61.958720258016918</v>
      </c>
      <c r="CW99" s="22">
        <f t="shared" si="67"/>
        <v>554.51016178271254</v>
      </c>
      <c r="CX99" s="60">
        <f t="shared" si="68"/>
        <v>847.84349511604591</v>
      </c>
      <c r="CY99" s="60">
        <f ca="1">AVERAGE(OFFSET($CX$3,0,0,'Données projet'!$E$13+1,1))-AVERAGE(OFFSET($H$3,0,0,'Données projet'!$E$13+1,1))</f>
        <v>428.8489304403459</v>
      </c>
      <c r="CZ99" s="60">
        <f t="shared" si="96"/>
        <v>247.01165577562966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305.05175999999989</v>
      </c>
      <c r="DQ99" s="14">
        <f t="shared" si="97"/>
        <v>72.23447495258219</v>
      </c>
      <c r="DR99" s="22">
        <f t="shared" si="70"/>
        <v>657.10685920908043</v>
      </c>
      <c r="DS99" s="60">
        <f t="shared" si="71"/>
        <v>950.4401925424138</v>
      </c>
      <c r="DT99" s="60">
        <f ca="1">AVERAGE(OFFSET($DS$3,0,0,'Données projet'!$E$14+1,1))-AVERAGE(OFFSET($H$3,0,0,'Données projet'!$E$14+1,1))</f>
        <v>502.07782026233912</v>
      </c>
      <c r="DU99" s="60">
        <f t="shared" si="98"/>
        <v>285.83623046025156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-2.2737367544323206E-13</v>
      </c>
      <c r="EK99" s="18">
        <f>EJ99*VLOOKUP('Données projet'!$B$15,Paramètres!$A$1:$I$89,3,0)*VLOOKUP('Données projet'!$B$15,Paramètres!$A$1:$I$89,5,0)</f>
        <v>-1.3596945791505279E-13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392.62423122800357</v>
      </c>
      <c r="EP99" s="60">
        <f t="shared" si="100"/>
        <v>314.09619163968642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1.8201898973234081</v>
      </c>
      <c r="EX99" s="23">
        <f>EXP(-LN(2)/2)*EX98+(1-EXP(-LN(2)/2))/(LN(2)/2)*ER99*EU99*VLOOKUP('Données projet'!$B$15,Paramètres!$A$1:$I$89,3,0)*0.475*44/12</f>
        <v>2.049369244130968E-9</v>
      </c>
      <c r="EY99" s="24">
        <f t="shared" si="75"/>
        <v>1.8201898993727774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>
        <f>FE99*VLOOKUP('Données projet'!$B$16,Paramètres!$A$1:$I$89,3,0)*VLOOKUP('Données projet'!$B$16,Paramètres!$A$1:$I$89,5,0)</f>
        <v>0</v>
      </c>
      <c r="FG99" s="14" t="e">
        <f t="shared" si="101"/>
        <v>#NUM!</v>
      </c>
      <c r="FH99" s="22" t="e">
        <f t="shared" si="76"/>
        <v>#NUM!</v>
      </c>
      <c r="FI99" s="60" t="e">
        <f t="shared" si="77"/>
        <v>#NUM!</v>
      </c>
      <c r="FJ99" s="60">
        <f ca="1">AVERAGE(OFFSET($FI$3,0,0,'Données projet'!$E$16+1,1))-AVERAGE(OFFSET($H$3,0,0,'Données projet'!$E$16+1,1))</f>
        <v>207.03241199974599</v>
      </c>
      <c r="FK99" s="60">
        <f t="shared" si="102"/>
        <v>314.188568589113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3.6534871177719066</v>
      </c>
      <c r="FR99" s="23">
        <f>EXP(-LN(2)/25)*FR98+(1-EXP(-LN(2)/25))/(LN(2)/25)*Calculateur!FM99*Calculateur!FO99*VLOOKUP('Données projet'!$B$16,Paramètres!$A$1:$I$89,3,0)*0.475*44/12</f>
        <v>1.5640812425835433</v>
      </c>
      <c r="FS99" s="23">
        <f>EXP(-LN(2)/2)*FS98+(1-EXP(-LN(2)/2))/(LN(2)/2)*FM99*FP99*VLOOKUP('Données projet'!$B$16,Paramètres!$A$1:$I$89,3,0)*0.475*44/12</f>
        <v>3.4044819149570654E-10</v>
      </c>
      <c r="FT99" s="24">
        <f t="shared" si="78"/>
        <v>5.2175683606958989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3.2051282051281986</v>
      </c>
      <c r="N100" s="14">
        <f>IF('Données projet'!$A$36&gt;35,N99+M100-V99,IF(A100&lt;'Données projet'!$A$36,$K$205^A100,IF(A100='Données projet'!$A$36,'Données projet'!$B$36,N99+M100-V99)))</f>
        <v>216.66666666666666</v>
      </c>
      <c r="O100" s="14">
        <f>N100*VLOOKUP('Données projet'!$B$9,Paramètres!$A$1:$I$89,3,0)*VLOOKUP('Données projet'!$B$9,Paramètres!$A$1:$I$89,5,0)</f>
        <v>206.17999999999998</v>
      </c>
      <c r="P100" s="14">
        <f t="shared" si="87"/>
        <v>51.09992979292003</v>
      </c>
      <c r="Q100" s="22">
        <f t="shared" si="107"/>
        <v>448.095877722669</v>
      </c>
      <c r="R100" s="60">
        <f t="shared" si="55"/>
        <v>741.42921105600226</v>
      </c>
      <c r="S100" s="60">
        <f ca="1">AVERAGE(OFFSET($R$3,0,0,'Données projet'!$E$9+1,1))-AVERAGE(OFFSET($H$3,0,0,'Données projet'!$E$9+1,1))</f>
        <v>353.61481736740694</v>
      </c>
      <c r="T100" s="60">
        <f t="shared" si="88"/>
        <v>244.7141066773861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278.84375999999992</v>
      </c>
      <c r="AK100" s="14">
        <f t="shared" si="89"/>
        <v>66.722603316177725</v>
      </c>
      <c r="AL100" s="22">
        <f t="shared" si="58"/>
        <v>601.86141610900938</v>
      </c>
      <c r="AM100" s="60">
        <f t="shared" si="59"/>
        <v>895.19474944234275</v>
      </c>
      <c r="AN100" s="60">
        <f ca="1">AVERAGE(OFFSET($AM$3,0,0,'Données projet'!$E$10+1,1))-AVERAGE(OFFSET($H$3,0,0,'Données projet'!$E$10+1,1))</f>
        <v>455.50822833641354</v>
      </c>
      <c r="AO100" s="60">
        <f t="shared" si="90"/>
        <v>261.14722581688039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301.3311599999999</v>
      </c>
      <c r="BF100" s="14">
        <f t="shared" si="91"/>
        <v>71.455453794381484</v>
      </c>
      <c r="BG100" s="22">
        <f t="shared" si="61"/>
        <v>649.2700190252142</v>
      </c>
      <c r="BH100" s="60">
        <f t="shared" si="62"/>
        <v>942.60335235854745</v>
      </c>
      <c r="BI100" s="60">
        <f ca="1">AVERAGE(OFFSET($BH$3,0,0,'Données projet'!$E$11+1,1))-AVERAGE(OFFSET($H$3,0,0,'Données projet'!$E$11+1,1))</f>
        <v>488.7825919901664</v>
      </c>
      <c r="BJ100" s="60">
        <f t="shared" si="92"/>
        <v>278.78817181412438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292.33619999999996</v>
      </c>
      <c r="CA100" s="14">
        <f t="shared" si="93"/>
        <v>69.56742490962327</v>
      </c>
      <c r="CB100" s="22">
        <f t="shared" si="64"/>
        <v>630.31548005092702</v>
      </c>
      <c r="CC100" s="60">
        <f t="shared" si="65"/>
        <v>923.64881338426039</v>
      </c>
      <c r="CD100" s="60">
        <f ca="1">AVERAGE(OFFSET($CC$3,0,0,'Données projet'!$E$12+1,1))-AVERAGE(OFFSET($H$3,0,0,'Données projet'!$E$12+1,1))</f>
        <v>475.47920969424894</v>
      </c>
      <c r="CE100" s="60">
        <f t="shared" si="94"/>
        <v>271.73544012419364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260.85383999999993</v>
      </c>
      <c r="CV100" s="14">
        <f t="shared" si="95"/>
        <v>62.904347395903763</v>
      </c>
      <c r="CW100" s="22">
        <f t="shared" si="67"/>
        <v>563.87884304786564</v>
      </c>
      <c r="CX100" s="60">
        <f t="shared" si="68"/>
        <v>857.21217638119901</v>
      </c>
      <c r="CY100" s="60">
        <f ca="1">AVERAGE(OFFSET($CX$3,0,0,'Données projet'!$E$13+1,1))-AVERAGE(OFFSET($H$3,0,0,'Données projet'!$E$13+1,1))</f>
        <v>428.8489304403459</v>
      </c>
      <c r="CZ100" s="60">
        <f t="shared" si="96"/>
        <v>247.01165577562966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310.32611999999989</v>
      </c>
      <c r="DQ100" s="14">
        <f t="shared" si="97"/>
        <v>73.336932839409357</v>
      </c>
      <c r="DR100" s="22">
        <f t="shared" si="70"/>
        <v>668.21315036197109</v>
      </c>
      <c r="DS100" s="60">
        <f t="shared" si="71"/>
        <v>961.54648369530446</v>
      </c>
      <c r="DT100" s="60">
        <f ca="1">AVERAGE(OFFSET($DS$3,0,0,'Données projet'!$E$14+1,1))-AVERAGE(OFFSET($H$3,0,0,'Données projet'!$E$14+1,1))</f>
        <v>502.07782026233912</v>
      </c>
      <c r="DU100" s="60">
        <f t="shared" si="98"/>
        <v>285.83623046025156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-2.2737367544323206E-13</v>
      </c>
      <c r="EK100" s="18">
        <f>EJ100*VLOOKUP('Données projet'!$B$15,Paramètres!$A$1:$I$89,3,0)*VLOOKUP('Données projet'!$B$15,Paramètres!$A$1:$I$89,5,0)</f>
        <v>-1.3596945791505279E-13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392.62423122800357</v>
      </c>
      <c r="EP100" s="60">
        <f t="shared" si="100"/>
        <v>314.09619163968642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1.7704167088614728</v>
      </c>
      <c r="EX100" s="23">
        <f>EXP(-LN(2)/2)*EX99+(1-EXP(-LN(2)/2))/(LN(2)/2)*ER100*EU100*VLOOKUP('Données projet'!$B$15,Paramètres!$A$1:$I$89,3,0)*0.475*44/12</f>
        <v>1.4491228896801567E-9</v>
      </c>
      <c r="EY100" s="24">
        <f t="shared" si="75"/>
        <v>1.7704167103105957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>
        <f>FE100*VLOOKUP('Données projet'!$B$16,Paramètres!$A$1:$I$89,3,0)*VLOOKUP('Données projet'!$B$16,Paramètres!$A$1:$I$89,5,0)</f>
        <v>0</v>
      </c>
      <c r="FG100" s="14" t="e">
        <f t="shared" si="101"/>
        <v>#NUM!</v>
      </c>
      <c r="FH100" s="22" t="e">
        <f t="shared" si="76"/>
        <v>#NUM!</v>
      </c>
      <c r="FI100" s="60" t="e">
        <f t="shared" si="77"/>
        <v>#NUM!</v>
      </c>
      <c r="FJ100" s="60">
        <f ca="1">AVERAGE(OFFSET($FI$3,0,0,'Données projet'!$E$16+1,1))-AVERAGE(OFFSET($H$3,0,0,'Données projet'!$E$16+1,1))</f>
        <v>207.03241199974599</v>
      </c>
      <c r="FK100" s="60">
        <f t="shared" si="102"/>
        <v>314.188568589113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3.5818444637995044</v>
      </c>
      <c r="FR100" s="23">
        <f>EXP(-LN(2)/25)*FR99+(1-EXP(-LN(2)/25))/(LN(2)/25)*Calculateur!FM100*Calculateur!FO100*VLOOKUP('Données projet'!$B$16,Paramètres!$A$1:$I$89,3,0)*0.475*44/12</f>
        <v>1.5213113587536384</v>
      </c>
      <c r="FS100" s="23">
        <f>EXP(-LN(2)/2)*FS99+(1-EXP(-LN(2)/2))/(LN(2)/2)*FM100*FP100*VLOOKUP('Données projet'!$B$16,Paramètres!$A$1:$I$89,3,0)*0.475*44/12</f>
        <v>2.4073322484931039E-10</v>
      </c>
      <c r="FT100" s="24">
        <f t="shared" si="78"/>
        <v>5.1031558227938767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3.2051282051281986</v>
      </c>
      <c r="N101" s="14">
        <f>IF('Données projet'!$A$36&gt;35,N100+M101-V100,IF(A101&lt;'Données projet'!$A$36,$K$205^A101,IF(A101='Données projet'!$A$36,'Données projet'!$B$36,N100+M101-V100)))</f>
        <v>219.87179487179486</v>
      </c>
      <c r="O101" s="14">
        <f>N101*VLOOKUP('Données projet'!$B$9,Paramètres!$A$1:$I$89,3,0)*VLOOKUP('Données projet'!$B$9,Paramètres!$A$1:$I$89,5,0)</f>
        <v>209.23</v>
      </c>
      <c r="P101" s="14">
        <f t="shared" si="87"/>
        <v>51.767285368675203</v>
      </c>
      <c r="Q101" s="22">
        <f t="shared" si="107"/>
        <v>454.57027201710929</v>
      </c>
      <c r="R101" s="60">
        <f t="shared" si="55"/>
        <v>747.9036053504426</v>
      </c>
      <c r="S101" s="60">
        <f ca="1">AVERAGE(OFFSET($R$3,0,0,'Données projet'!$E$9+1,1))-AVERAGE(OFFSET($H$3,0,0,'Données projet'!$E$9+1,1))</f>
        <v>353.61481736740694</v>
      </c>
      <c r="T101" s="60">
        <f t="shared" si="88"/>
        <v>244.7141066773861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283.58303999999993</v>
      </c>
      <c r="AK101" s="14">
        <f t="shared" si="89"/>
        <v>67.723646968605209</v>
      </c>
      <c r="AL101" s="22">
        <f t="shared" si="58"/>
        <v>611.85914647032064</v>
      </c>
      <c r="AM101" s="60">
        <f t="shared" si="59"/>
        <v>905.1924798036539</v>
      </c>
      <c r="AN101" s="60">
        <f ca="1">AVERAGE(OFFSET($AM$3,0,0,'Données projet'!$E$10+1,1))-AVERAGE(OFFSET($H$3,0,0,'Données projet'!$E$10+1,1))</f>
        <v>455.50822833641354</v>
      </c>
      <c r="AO101" s="60">
        <f t="shared" si="90"/>
        <v>261.14722581688039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306.45263999999992</v>
      </c>
      <c r="BF101" s="14">
        <f t="shared" si="91"/>
        <v>72.527504717113374</v>
      </c>
      <c r="BG101" s="22">
        <f t="shared" si="61"/>
        <v>660.05708538230556</v>
      </c>
      <c r="BH101" s="60">
        <f t="shared" si="62"/>
        <v>953.39041871563882</v>
      </c>
      <c r="BI101" s="60">
        <f ca="1">AVERAGE(OFFSET($BH$3,0,0,'Données projet'!$E$11+1,1))-AVERAGE(OFFSET($H$3,0,0,'Données projet'!$E$11+1,1))</f>
        <v>488.7825919901664</v>
      </c>
      <c r="BJ101" s="60">
        <f t="shared" si="92"/>
        <v>278.78817181412438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297.30479999999989</v>
      </c>
      <c r="CA101" s="14">
        <f t="shared" si="93"/>
        <v>70.611149609504906</v>
      </c>
      <c r="CB101" s="22">
        <f t="shared" si="64"/>
        <v>640.78694556988739</v>
      </c>
      <c r="CC101" s="60">
        <f t="shared" si="65"/>
        <v>934.12027890322065</v>
      </c>
      <c r="CD101" s="60">
        <f ca="1">AVERAGE(OFFSET($CC$3,0,0,'Données projet'!$E$12+1,1))-AVERAGE(OFFSET($H$3,0,0,'Données projet'!$E$12+1,1))</f>
        <v>475.47920969424894</v>
      </c>
      <c r="CE101" s="60">
        <f t="shared" si="94"/>
        <v>271.73544012419364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265.28735999999992</v>
      </c>
      <c r="CV101" s="14">
        <f t="shared" si="95"/>
        <v>63.84810550096995</v>
      </c>
      <c r="CW101" s="22">
        <f t="shared" si="67"/>
        <v>573.24426908085582</v>
      </c>
      <c r="CX101" s="60">
        <f t="shared" si="68"/>
        <v>866.57760241418919</v>
      </c>
      <c r="CY101" s="60">
        <f ca="1">AVERAGE(OFFSET($CX$3,0,0,'Données projet'!$E$13+1,1))-AVERAGE(OFFSET($H$3,0,0,'Données projet'!$E$13+1,1))</f>
        <v>428.8489304403459</v>
      </c>
      <c r="CZ101" s="60">
        <f t="shared" si="96"/>
        <v>247.01165577562966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315.60047999999989</v>
      </c>
      <c r="DQ101" s="14">
        <f t="shared" si="97"/>
        <v>74.437211717310802</v>
      </c>
      <c r="DR101" s="22">
        <f t="shared" si="70"/>
        <v>679.31564640764952</v>
      </c>
      <c r="DS101" s="60">
        <f t="shared" si="71"/>
        <v>972.6489797409829</v>
      </c>
      <c r="DT101" s="60">
        <f ca="1">AVERAGE(OFFSET($DS$3,0,0,'Données projet'!$E$14+1,1))-AVERAGE(OFFSET($H$3,0,0,'Données projet'!$E$14+1,1))</f>
        <v>502.07782026233912</v>
      </c>
      <c r="DU101" s="60">
        <f t="shared" si="98"/>
        <v>285.83623046025156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-2.2737367544323206E-13</v>
      </c>
      <c r="EK101" s="18">
        <f>EJ101*VLOOKUP('Données projet'!$B$15,Paramètres!$A$1:$I$89,3,0)*VLOOKUP('Données projet'!$B$15,Paramètres!$A$1:$I$89,5,0)</f>
        <v>-1.3596945791505279E-13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392.62423122800357</v>
      </c>
      <c r="EP101" s="60">
        <f t="shared" si="100"/>
        <v>314.09619163968642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1.7220045708554874</v>
      </c>
      <c r="EX101" s="23">
        <f>EXP(-LN(2)/2)*EX100+(1-EXP(-LN(2)/2))/(LN(2)/2)*ER101*EU101*VLOOKUP('Données projet'!$B$15,Paramètres!$A$1:$I$89,3,0)*0.475*44/12</f>
        <v>1.024684622065484E-9</v>
      </c>
      <c r="EY101" s="24">
        <f t="shared" si="75"/>
        <v>1.722004571880172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>
        <f>FE101*VLOOKUP('Données projet'!$B$16,Paramètres!$A$1:$I$89,3,0)*VLOOKUP('Données projet'!$B$16,Paramètres!$A$1:$I$89,5,0)</f>
        <v>0</v>
      </c>
      <c r="FG101" s="14" t="e">
        <f t="shared" si="101"/>
        <v>#NUM!</v>
      </c>
      <c r="FH101" s="22" t="e">
        <f t="shared" si="76"/>
        <v>#NUM!</v>
      </c>
      <c r="FI101" s="60" t="e">
        <f t="shared" si="77"/>
        <v>#NUM!</v>
      </c>
      <c r="FJ101" s="60">
        <f ca="1">AVERAGE(OFFSET($FI$3,0,0,'Données projet'!$E$16+1,1))-AVERAGE(OFFSET($H$3,0,0,'Données projet'!$E$16+1,1))</f>
        <v>207.03241199974599</v>
      </c>
      <c r="FK101" s="60">
        <f t="shared" si="102"/>
        <v>314.188568589113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3.5116066785737967</v>
      </c>
      <c r="FR101" s="23">
        <f>EXP(-LN(2)/25)*FR100+(1-EXP(-LN(2)/25))/(LN(2)/25)*Calculateur!FM101*Calculateur!FO101*VLOOKUP('Données projet'!$B$16,Paramètres!$A$1:$I$89,3,0)*0.475*44/12</f>
        <v>1.4797110196462329</v>
      </c>
      <c r="FS101" s="23">
        <f>EXP(-LN(2)/2)*FS100+(1-EXP(-LN(2)/2))/(LN(2)/2)*FM101*FP101*VLOOKUP('Données projet'!$B$16,Paramètres!$A$1:$I$89,3,0)*0.475*44/12</f>
        <v>1.7022409574785327E-10</v>
      </c>
      <c r="FT101" s="24">
        <f t="shared" si="78"/>
        <v>4.9913176983902536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3.2051282051281986</v>
      </c>
      <c r="N102" s="14">
        <f>IF('Données projet'!$A$36&gt;35,N101+M102-V101,IF(A102&lt;'Données projet'!$A$36,$K$205^A102,IF(A102='Données projet'!$A$36,'Données projet'!$B$36,N101+M102-V101)))</f>
        <v>223.07692307692307</v>
      </c>
      <c r="O102" s="14">
        <f>N102*VLOOKUP('Données projet'!$B$9,Paramètres!$A$1:$I$89,3,0)*VLOOKUP('Données projet'!$B$9,Paramètres!$A$1:$I$89,5,0)</f>
        <v>212.28</v>
      </c>
      <c r="P102" s="14">
        <f t="shared" si="87"/>
        <v>52.433509497939937</v>
      </c>
      <c r="Q102" s="22">
        <f t="shared" si="107"/>
        <v>461.04269570891194</v>
      </c>
      <c r="R102" s="60">
        <f t="shared" si="55"/>
        <v>754.37602904224525</v>
      </c>
      <c r="S102" s="60">
        <f ca="1">AVERAGE(OFFSET($R$3,0,0,'Données projet'!$E$9+1,1))-AVERAGE(OFFSET($H$3,0,0,'Données projet'!$E$9+1,1))</f>
        <v>353.61481736740694</v>
      </c>
      <c r="T102" s="60">
        <f t="shared" si="88"/>
        <v>244.7141066773861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288.32231999999988</v>
      </c>
      <c r="AK102" s="14">
        <f t="shared" si="89"/>
        <v>68.722745094590621</v>
      </c>
      <c r="AL102" s="22">
        <f t="shared" si="58"/>
        <v>621.85348837307845</v>
      </c>
      <c r="AM102" s="60">
        <f t="shared" si="59"/>
        <v>915.18682170641182</v>
      </c>
      <c r="AN102" s="60">
        <f ca="1">AVERAGE(OFFSET($AM$3,0,0,'Données projet'!$E$10+1,1))-AVERAGE(OFFSET($H$3,0,0,'Données projet'!$E$10+1,1))</f>
        <v>455.50822833641354</v>
      </c>
      <c r="AO102" s="60">
        <f t="shared" si="90"/>
        <v>261.14722581688039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311.57411999999988</v>
      </c>
      <c r="BF102" s="14">
        <f t="shared" si="91"/>
        <v>73.597472110908058</v>
      </c>
      <c r="BG102" s="22">
        <f t="shared" si="61"/>
        <v>670.8405229264979</v>
      </c>
      <c r="BH102" s="60">
        <f t="shared" si="62"/>
        <v>964.17385625983115</v>
      </c>
      <c r="BI102" s="60">
        <f ca="1">AVERAGE(OFFSET($BH$3,0,0,'Données projet'!$E$11+1,1))-AVERAGE(OFFSET($H$3,0,0,'Données projet'!$E$11+1,1))</f>
        <v>488.7825919901664</v>
      </c>
      <c r="BJ102" s="60">
        <f t="shared" si="92"/>
        <v>278.78817181412438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302.27339999999987</v>
      </c>
      <c r="CA102" s="14">
        <f t="shared" si="93"/>
        <v>71.652845832409739</v>
      </c>
      <c r="CB102" s="22">
        <f t="shared" si="64"/>
        <v>651.25487815811346</v>
      </c>
      <c r="CC102" s="60">
        <f t="shared" si="65"/>
        <v>944.58821149144683</v>
      </c>
      <c r="CD102" s="60">
        <f ca="1">AVERAGE(OFFSET($CC$3,0,0,'Données projet'!$E$12+1,1))-AVERAGE(OFFSET($H$3,0,0,'Données projet'!$E$12+1,1))</f>
        <v>475.47920969424894</v>
      </c>
      <c r="CE102" s="60">
        <f t="shared" si="94"/>
        <v>271.73544012419364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269.72087999999985</v>
      </c>
      <c r="CV102" s="14">
        <f t="shared" si="95"/>
        <v>64.790029413946939</v>
      </c>
      <c r="CW102" s="22">
        <f t="shared" si="67"/>
        <v>582.60650056262409</v>
      </c>
      <c r="CX102" s="60">
        <f t="shared" si="68"/>
        <v>875.93983389595746</v>
      </c>
      <c r="CY102" s="60">
        <f ca="1">AVERAGE(OFFSET($CX$3,0,0,'Données projet'!$E$13+1,1))-AVERAGE(OFFSET($H$3,0,0,'Données projet'!$E$13+1,1))</f>
        <v>428.8489304403459</v>
      </c>
      <c r="CZ102" s="60">
        <f t="shared" si="96"/>
        <v>247.01165577562966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320.87483999999984</v>
      </c>
      <c r="DQ102" s="14">
        <f t="shared" si="97"/>
        <v>75.535352205297585</v>
      </c>
      <c r="DR102" s="22">
        <f t="shared" si="70"/>
        <v>690.41441809089304</v>
      </c>
      <c r="DS102" s="60">
        <f t="shared" si="71"/>
        <v>983.74775142422641</v>
      </c>
      <c r="DT102" s="60">
        <f ca="1">AVERAGE(OFFSET($DS$3,0,0,'Données projet'!$E$14+1,1))-AVERAGE(OFFSET($H$3,0,0,'Données projet'!$E$14+1,1))</f>
        <v>502.07782026233912</v>
      </c>
      <c r="DU102" s="60">
        <f t="shared" si="98"/>
        <v>285.83623046025156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-2.2737367544323206E-13</v>
      </c>
      <c r="EK102" s="18">
        <f>EJ102*VLOOKUP('Données projet'!$B$15,Paramètres!$A$1:$I$89,3,0)*VLOOKUP('Données projet'!$B$15,Paramètres!$A$1:$I$89,5,0)</f>
        <v>-1.3596945791505279E-13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392.62423122800357</v>
      </c>
      <c r="EP102" s="60">
        <f t="shared" si="100"/>
        <v>314.09619163968642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1.6749162653091594</v>
      </c>
      <c r="EX102" s="23">
        <f>EXP(-LN(2)/2)*EX101+(1-EXP(-LN(2)/2))/(LN(2)/2)*ER102*EU102*VLOOKUP('Données projet'!$B$15,Paramètres!$A$1:$I$89,3,0)*0.475*44/12</f>
        <v>7.2456144484007833E-10</v>
      </c>
      <c r="EY102" s="24">
        <f t="shared" si="75"/>
        <v>1.6749162660337209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>
        <f>FE102*VLOOKUP('Données projet'!$B$16,Paramètres!$A$1:$I$89,3,0)*VLOOKUP('Données projet'!$B$16,Paramètres!$A$1:$I$89,5,0)</f>
        <v>0</v>
      </c>
      <c r="FG102" s="14" t="e">
        <f t="shared" si="101"/>
        <v>#NUM!</v>
      </c>
      <c r="FH102" s="22" t="e">
        <f t="shared" si="76"/>
        <v>#NUM!</v>
      </c>
      <c r="FI102" s="60" t="e">
        <f t="shared" si="77"/>
        <v>#NUM!</v>
      </c>
      <c r="FJ102" s="60">
        <f ca="1">AVERAGE(OFFSET($FI$3,0,0,'Données projet'!$E$16+1,1))-AVERAGE(OFFSET($H$3,0,0,'Données projet'!$E$16+1,1))</f>
        <v>207.03241199974599</v>
      </c>
      <c r="FK102" s="60">
        <f t="shared" si="102"/>
        <v>314.188568589113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3.4427462134755467</v>
      </c>
      <c r="FR102" s="23">
        <f>EXP(-LN(2)/25)*FR101+(1-EXP(-LN(2)/25))/(LN(2)/25)*Calculateur!FM102*Calculateur!FO102*VLOOKUP('Données projet'!$B$16,Paramètres!$A$1:$I$89,3,0)*0.475*44/12</f>
        <v>1.4392482439993861</v>
      </c>
      <c r="FS102" s="23">
        <f>EXP(-LN(2)/2)*FS101+(1-EXP(-LN(2)/2))/(LN(2)/2)*FM102*FP102*VLOOKUP('Données projet'!$B$16,Paramètres!$A$1:$I$89,3,0)*0.475*44/12</f>
        <v>1.2036661242465519E-10</v>
      </c>
      <c r="FT102" s="24">
        <f t="shared" si="78"/>
        <v>4.8819944575953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226.28205128205127</v>
      </c>
      <c r="L103" s="13">
        <f>VLOOKUP(A103,'Données projet'!$A$35:$I$55,9,0)</f>
        <v>3.2051282051281986</v>
      </c>
      <c r="M103" s="13">
        <f t="array" ref="M103">INDEX(L:L,MIN(IF(ISNUMBER(L103:L299),ROW(L103:L299),"")))</f>
        <v>3.2051282051281986</v>
      </c>
      <c r="N103" s="14">
        <f>IF('Données projet'!$A$36&gt;35,N102+M103-V102,IF(A103&lt;'Données projet'!$A$36,$K$205^A103,IF(A103='Données projet'!$A$36,'Données projet'!$B$36,N102+M103-V102)))</f>
        <v>226.28205128205127</v>
      </c>
      <c r="O103" s="14">
        <f>N103*VLOOKUP('Données projet'!$B$9,Paramètres!$A$1:$I$89,3,0)*VLOOKUP('Données projet'!$B$9,Paramètres!$A$1:$I$89,5,0)</f>
        <v>215.32999999999998</v>
      </c>
      <c r="P103" s="14">
        <f t="shared" si="87"/>
        <v>53.098620315464494</v>
      </c>
      <c r="Q103" s="22">
        <f t="shared" si="107"/>
        <v>467.51318038276719</v>
      </c>
      <c r="R103" s="60">
        <f t="shared" si="55"/>
        <v>760.8465137161005</v>
      </c>
      <c r="S103" s="60">
        <f ca="1">AVERAGE(OFFSET($R$3,0,0,'Données projet'!$E$9+1,1))-AVERAGE(OFFSET($H$3,0,0,'Données projet'!$E$9+1,1))</f>
        <v>353.61481736740694</v>
      </c>
      <c r="T103" s="60">
        <f t="shared" si="88"/>
        <v>244.7141066773861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293.06159999999983</v>
      </c>
      <c r="AK103" s="14">
        <f t="shared" si="89"/>
        <v>69.719933365116546</v>
      </c>
      <c r="AL103" s="22">
        <f t="shared" si="58"/>
        <v>631.84450394424437</v>
      </c>
      <c r="AM103" s="60">
        <f t="shared" si="59"/>
        <v>925.17783727757774</v>
      </c>
      <c r="AN103" s="60">
        <f ca="1">AVERAGE(OFFSET($AM$3,0,0,'Données projet'!$E$10+1,1))-AVERAGE(OFFSET($H$3,0,0,'Données projet'!$E$10+1,1))</f>
        <v>455.50822833641354</v>
      </c>
      <c r="AO103" s="60">
        <f t="shared" si="90"/>
        <v>261.14722581688039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316.69559999999984</v>
      </c>
      <c r="BF103" s="14">
        <f t="shared" si="91"/>
        <v>74.665394177006291</v>
      </c>
      <c r="BG103" s="22">
        <f t="shared" si="61"/>
        <v>681.62039819161907</v>
      </c>
      <c r="BH103" s="60">
        <f t="shared" si="62"/>
        <v>974.95373152495245</v>
      </c>
      <c r="BI103" s="60">
        <f ca="1">AVERAGE(OFFSET($BH$3,0,0,'Données projet'!$E$11+1,1))-AVERAGE(OFFSET($H$3,0,0,'Données projet'!$E$11+1,1))</f>
        <v>488.7825919901664</v>
      </c>
      <c r="BJ103" s="60">
        <f t="shared" si="92"/>
        <v>278.78817181412438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307.24199999999985</v>
      </c>
      <c r="CA103" s="14">
        <f t="shared" si="93"/>
        <v>72.692550770207774</v>
      </c>
      <c r="CB103" s="22">
        <f t="shared" si="64"/>
        <v>661.71934259144484</v>
      </c>
      <c r="CC103" s="60">
        <f t="shared" si="65"/>
        <v>955.05267592477821</v>
      </c>
      <c r="CD103" s="60">
        <f ca="1">AVERAGE(OFFSET($CC$3,0,0,'Données projet'!$E$12+1,1))-AVERAGE(OFFSET($H$3,0,0,'Données projet'!$E$12+1,1))</f>
        <v>475.47920969424894</v>
      </c>
      <c r="CE103" s="60">
        <f t="shared" si="94"/>
        <v>271.73544012419364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274.15439999999984</v>
      </c>
      <c r="CV103" s="14">
        <f t="shared" si="95"/>
        <v>65.730152764515779</v>
      </c>
      <c r="CW103" s="22">
        <f t="shared" si="67"/>
        <v>591.9655960648646</v>
      </c>
      <c r="CX103" s="60">
        <f t="shared" si="68"/>
        <v>885.29892939819797</v>
      </c>
      <c r="CY103" s="60">
        <f ca="1">AVERAGE(OFFSET($CX$3,0,0,'Données projet'!$E$13+1,1))-AVERAGE(OFFSET($H$3,0,0,'Données projet'!$E$13+1,1))</f>
        <v>428.8489304403459</v>
      </c>
      <c r="CZ103" s="60">
        <f t="shared" si="96"/>
        <v>247.01165577562966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326.14919999999984</v>
      </c>
      <c r="DQ103" s="14">
        <f t="shared" si="97"/>
        <v>76.631393510479555</v>
      </c>
      <c r="DR103" s="22">
        <f t="shared" si="70"/>
        <v>701.50953369741819</v>
      </c>
      <c r="DS103" s="60">
        <f t="shared" si="71"/>
        <v>994.84286703075145</v>
      </c>
      <c r="DT103" s="60">
        <f ca="1">AVERAGE(OFFSET($DS$3,0,0,'Données projet'!$E$14+1,1))-AVERAGE(OFFSET($H$3,0,0,'Données projet'!$E$14+1,1))</f>
        <v>502.07782026233912</v>
      </c>
      <c r="DU103" s="60">
        <f t="shared" si="98"/>
        <v>285.83623046025156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-2.2737367544323206E-13</v>
      </c>
      <c r="EK103" s="18">
        <f>EJ103*VLOOKUP('Données projet'!$B$15,Paramètres!$A$1:$I$89,3,0)*VLOOKUP('Données projet'!$B$15,Paramètres!$A$1:$I$89,5,0)</f>
        <v>-1.3596945791505279E-13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392.62423122800357</v>
      </c>
      <c r="EP103" s="60">
        <f t="shared" si="100"/>
        <v>314.09619163968642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1.6291155919542621</v>
      </c>
      <c r="EX103" s="23">
        <f>EXP(-LN(2)/2)*EX102+(1-EXP(-LN(2)/2))/(LN(2)/2)*ER103*EU103*VLOOKUP('Données projet'!$B$15,Paramètres!$A$1:$I$89,3,0)*0.475*44/12</f>
        <v>5.1234231103274199E-10</v>
      </c>
      <c r="EY103" s="24">
        <f t="shared" si="75"/>
        <v>1.6291155924666045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>
        <f>FE103*VLOOKUP('Données projet'!$B$16,Paramètres!$A$1:$I$89,3,0)*VLOOKUP('Données projet'!$B$16,Paramètres!$A$1:$I$89,5,0)</f>
        <v>0</v>
      </c>
      <c r="FG103" s="14" t="e">
        <f t="shared" si="101"/>
        <v>#NUM!</v>
      </c>
      <c r="FH103" s="22" t="e">
        <f t="shared" si="76"/>
        <v>#NUM!</v>
      </c>
      <c r="FI103" s="60" t="e">
        <f t="shared" si="77"/>
        <v>#NUM!</v>
      </c>
      <c r="FJ103" s="60">
        <f ca="1">AVERAGE(OFFSET($FI$3,0,0,'Données projet'!$E$16+1,1))-AVERAGE(OFFSET($H$3,0,0,'Données projet'!$E$16+1,1))</f>
        <v>207.03241199974599</v>
      </c>
      <c r="FK103" s="60">
        <f t="shared" si="102"/>
        <v>314.188568589113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3.3752360600971367</v>
      </c>
      <c r="FR103" s="23">
        <f>EXP(-LN(2)/25)*FR102+(1-EXP(-LN(2)/25))/(LN(2)/25)*Calculateur!FM103*Calculateur!FO103*VLOOKUP('Données projet'!$B$16,Paramètres!$A$1:$I$89,3,0)*0.475*44/12</f>
        <v>1.3998919250804471</v>
      </c>
      <c r="FS103" s="23">
        <f>EXP(-LN(2)/2)*FS102+(1-EXP(-LN(2)/2))/(LN(2)/2)*FM103*FP103*VLOOKUP('Données projet'!$B$16,Paramètres!$A$1:$I$89,3,0)*0.475*44/12</f>
        <v>8.5112047873926634E-11</v>
      </c>
      <c r="FT103" s="24">
        <f t="shared" si="78"/>
        <v>4.7751279852626958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3.0769230769230775</v>
      </c>
      <c r="N104" s="14">
        <f>IF('Données projet'!$A$36&gt;35,N103+M104-V103,IF(A104&lt;'Données projet'!$A$36,$K$205^A104,IF(A104='Données projet'!$A$36,'Données projet'!$B$36,N103+M104-V103)))</f>
        <v>229.35897435897434</v>
      </c>
      <c r="O104" s="14">
        <f>N104*VLOOKUP('Données projet'!$B$9,Paramètres!$A$1:$I$89,3,0)*VLOOKUP('Données projet'!$B$9,Paramètres!$A$1:$I$89,5,0)</f>
        <v>218.25799999999998</v>
      </c>
      <c r="P104" s="14">
        <f t="shared" si="87"/>
        <v>53.736095630897005</v>
      </c>
      <c r="Q104" s="22">
        <f t="shared" si="107"/>
        <v>473.72304989047893</v>
      </c>
      <c r="R104" s="60">
        <f t="shared" si="55"/>
        <v>767.05638322381219</v>
      </c>
      <c r="S104" s="60">
        <f ca="1">AVERAGE(OFFSET($R$3,0,0,'Données projet'!$E$9+1,1))-AVERAGE(OFFSET($H$3,0,0,'Données projet'!$E$9+1,1))</f>
        <v>353.61481736740694</v>
      </c>
      <c r="T104" s="60">
        <f t="shared" si="88"/>
        <v>244.7141066773861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256.69487999999984</v>
      </c>
      <c r="AK104" s="14">
        <f t="shared" si="89"/>
        <v>62.017336223177502</v>
      </c>
      <c r="AL104" s="22">
        <f t="shared" si="58"/>
        <v>555.09044325536718</v>
      </c>
      <c r="AM104" s="60">
        <f t="shared" si="59"/>
        <v>848.42377658870055</v>
      </c>
      <c r="AN104" s="60">
        <f ca="1">AVERAGE(OFFSET($AM$3,0,0,'Données projet'!$E$10+1,1))-AVERAGE(OFFSET($H$3,0,0,'Données projet'!$E$10+1,1))</f>
        <v>455.50822833641354</v>
      </c>
      <c r="AO104" s="60">
        <f t="shared" si="90"/>
        <v>261.14722581688039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277.39607999999981</v>
      </c>
      <c r="BF104" s="14">
        <f t="shared" si="91"/>
        <v>66.416426858323888</v>
      </c>
      <c r="BG104" s="22">
        <f t="shared" si="61"/>
        <v>598.80678277824711</v>
      </c>
      <c r="BH104" s="60">
        <f t="shared" si="62"/>
        <v>892.14011611158048</v>
      </c>
      <c r="BI104" s="60">
        <f ca="1">AVERAGE(OFFSET($BH$3,0,0,'Données projet'!$E$11+1,1))-AVERAGE(OFFSET($H$3,0,0,'Données projet'!$E$11+1,1))</f>
        <v>488.7825919901664</v>
      </c>
      <c r="BJ104" s="60">
        <f t="shared" si="92"/>
        <v>278.78817181412438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269.1155999999998</v>
      </c>
      <c r="CA104" s="14">
        <f t="shared" si="93"/>
        <v>64.661541462287076</v>
      </c>
      <c r="CB104" s="22">
        <f t="shared" si="64"/>
        <v>581.3285213801496</v>
      </c>
      <c r="CC104" s="60">
        <f t="shared" si="65"/>
        <v>874.66185471348285</v>
      </c>
      <c r="CD104" s="60">
        <f ca="1">AVERAGE(OFFSET($CC$3,0,0,'Données projet'!$E$12+1,1))-AVERAGE(OFFSET($H$3,0,0,'Données projet'!$E$12+1,1))</f>
        <v>475.47920969424894</v>
      </c>
      <c r="CE104" s="60">
        <f t="shared" si="94"/>
        <v>271.73544012419364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240.13391999999982</v>
      </c>
      <c r="CV104" s="14">
        <f t="shared" si="95"/>
        <v>58.468343087048559</v>
      </c>
      <c r="CW104" s="22">
        <f t="shared" si="67"/>
        <v>520.06560820994252</v>
      </c>
      <c r="CX104" s="60">
        <f t="shared" si="68"/>
        <v>813.3989415432759</v>
      </c>
      <c r="CY104" s="60">
        <f ca="1">AVERAGE(OFFSET($CX$3,0,0,'Données projet'!$E$13+1,1))-AVERAGE(OFFSET($H$3,0,0,'Données projet'!$E$13+1,1))</f>
        <v>428.8489304403459</v>
      </c>
      <c r="CZ104" s="60">
        <f t="shared" si="96"/>
        <v>247.01165577562966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285.67655999999977</v>
      </c>
      <c r="DQ104" s="14">
        <f t="shared" si="97"/>
        <v>68.165224308258956</v>
      </c>
      <c r="DR104" s="22">
        <f t="shared" si="70"/>
        <v>616.27444100355058</v>
      </c>
      <c r="DS104" s="60">
        <f t="shared" si="71"/>
        <v>909.60777433688395</v>
      </c>
      <c r="DT104" s="60">
        <f ca="1">AVERAGE(OFFSET($DS$3,0,0,'Données projet'!$E$14+1,1))-AVERAGE(OFFSET($H$3,0,0,'Données projet'!$E$14+1,1))</f>
        <v>502.07782026233912</v>
      </c>
      <c r="DU104" s="60">
        <f t="shared" si="98"/>
        <v>285.83623046025156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-2.2737367544323206E-13</v>
      </c>
      <c r="EK104" s="18">
        <f>EJ104*VLOOKUP('Données projet'!$B$15,Paramètres!$A$1:$I$89,3,0)*VLOOKUP('Données projet'!$B$15,Paramètres!$A$1:$I$89,5,0)</f>
        <v>-1.3596945791505279E-13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392.62423122800357</v>
      </c>
      <c r="EP104" s="60">
        <f t="shared" si="100"/>
        <v>314.09619163968642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1.5845673404208072</v>
      </c>
      <c r="EX104" s="23">
        <f>EXP(-LN(2)/2)*EX103+(1-EXP(-LN(2)/2))/(LN(2)/2)*ER104*EU104*VLOOKUP('Données projet'!$B$15,Paramètres!$A$1:$I$89,3,0)*0.475*44/12</f>
        <v>3.6228072242003917E-10</v>
      </c>
      <c r="EY104" s="24">
        <f t="shared" si="75"/>
        <v>1.5845673407830878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>
        <f>FE104*VLOOKUP('Données projet'!$B$16,Paramètres!$A$1:$I$89,3,0)*VLOOKUP('Données projet'!$B$16,Paramètres!$A$1:$I$89,5,0)</f>
        <v>0</v>
      </c>
      <c r="FG104" s="14" t="e">
        <f t="shared" si="101"/>
        <v>#NUM!</v>
      </c>
      <c r="FH104" s="22" t="e">
        <f t="shared" si="76"/>
        <v>#NUM!</v>
      </c>
      <c r="FI104" s="60" t="e">
        <f t="shared" si="77"/>
        <v>#NUM!</v>
      </c>
      <c r="FJ104" s="60">
        <f ca="1">AVERAGE(OFFSET($FI$3,0,0,'Données projet'!$E$16+1,1))-AVERAGE(OFFSET($H$3,0,0,'Données projet'!$E$16+1,1))</f>
        <v>207.03241199974599</v>
      </c>
      <c r="FK104" s="60">
        <f t="shared" si="102"/>
        <v>314.188568589113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3.3090497396493497</v>
      </c>
      <c r="FR104" s="23">
        <f>EXP(-LN(2)/25)*FR103+(1-EXP(-LN(2)/25))/(LN(2)/25)*Calculateur!FM104*Calculateur!FO104*VLOOKUP('Données projet'!$B$16,Paramètres!$A$1:$I$89,3,0)*0.475*44/12</f>
        <v>1.3616118067720056</v>
      </c>
      <c r="FS104" s="23">
        <f>EXP(-LN(2)/2)*FS103+(1-EXP(-LN(2)/2))/(LN(2)/2)*FM104*FP104*VLOOKUP('Données projet'!$B$16,Paramètres!$A$1:$I$89,3,0)*0.475*44/12</f>
        <v>6.0183306212327597E-11</v>
      </c>
      <c r="FT104" s="24">
        <f t="shared" si="78"/>
        <v>4.6706615464815382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3.0769230769230775</v>
      </c>
      <c r="N105" s="14">
        <f>IF('Données projet'!$A$36&gt;35,N104+M105-V104,IF(A105&lt;'Données projet'!$A$36,$K$205^A105,IF(A105='Données projet'!$A$36,'Données projet'!$B$36,N104+M105-V104)))</f>
        <v>232.4358974358974</v>
      </c>
      <c r="O105" s="14">
        <f>N105*VLOOKUP('Données projet'!$B$9,Paramètres!$A$1:$I$89,3,0)*VLOOKUP('Données projet'!$B$9,Paramètres!$A$1:$I$89,5,0)</f>
        <v>221.18599999999998</v>
      </c>
      <c r="P105" s="14">
        <f t="shared" si="87"/>
        <v>54.372576246626387</v>
      </c>
      <c r="Q105" s="22">
        <f t="shared" si="107"/>
        <v>479.93118696287434</v>
      </c>
      <c r="R105" s="60">
        <f t="shared" si="55"/>
        <v>773.26452029620759</v>
      </c>
      <c r="S105" s="60">
        <f ca="1">AVERAGE(OFFSET($R$3,0,0,'Données projet'!$E$9+1,1))-AVERAGE(OFFSET($H$3,0,0,'Données projet'!$E$9+1,1))</f>
        <v>353.61481736740694</v>
      </c>
      <c r="T105" s="60">
        <f t="shared" si="88"/>
        <v>244.7141066773861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260.95055999999983</v>
      </c>
      <c r="AK105" s="14">
        <f t="shared" si="89"/>
        <v>62.924955880176938</v>
      </c>
      <c r="AL105" s="22">
        <f t="shared" si="58"/>
        <v>564.08319015797451</v>
      </c>
      <c r="AM105" s="60">
        <f t="shared" si="59"/>
        <v>857.41652349130777</v>
      </c>
      <c r="AN105" s="60">
        <f ca="1">AVERAGE(OFFSET($AM$3,0,0,'Données projet'!$E$10+1,1))-AVERAGE(OFFSET($H$3,0,0,'Données projet'!$E$10+1,1))</f>
        <v>455.50822833641354</v>
      </c>
      <c r="AO105" s="60">
        <f t="shared" si="90"/>
        <v>261.14722581688039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281.99495999999982</v>
      </c>
      <c r="BF105" s="14">
        <f t="shared" si="91"/>
        <v>67.388426918877144</v>
      </c>
      <c r="BG105" s="22">
        <f t="shared" si="61"/>
        <v>608.50939888371079</v>
      </c>
      <c r="BH105" s="60">
        <f t="shared" si="62"/>
        <v>901.84273221704416</v>
      </c>
      <c r="BI105" s="60">
        <f ca="1">AVERAGE(OFFSET($BH$3,0,0,'Données projet'!$E$11+1,1))-AVERAGE(OFFSET($H$3,0,0,'Données projet'!$E$11+1,1))</f>
        <v>488.7825919901664</v>
      </c>
      <c r="BJ105" s="60">
        <f t="shared" si="92"/>
        <v>278.78817181412438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273.57719999999978</v>
      </c>
      <c r="CA105" s="14">
        <f t="shared" si="93"/>
        <v>65.60785888991505</v>
      </c>
      <c r="CB105" s="22">
        <f t="shared" si="64"/>
        <v>590.74731089993509</v>
      </c>
      <c r="CC105" s="60">
        <f t="shared" si="65"/>
        <v>884.08064423326846</v>
      </c>
      <c r="CD105" s="60">
        <f ca="1">AVERAGE(OFFSET($CC$3,0,0,'Données projet'!$E$12+1,1))-AVERAGE(OFFSET($H$3,0,0,'Données projet'!$E$12+1,1))</f>
        <v>475.47920969424894</v>
      </c>
      <c r="CE105" s="60">
        <f t="shared" si="94"/>
        <v>271.73544012419364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244.11503999999979</v>
      </c>
      <c r="CV105" s="14">
        <f t="shared" si="95"/>
        <v>59.324023461759012</v>
      </c>
      <c r="CW105" s="22">
        <f t="shared" si="67"/>
        <v>528.48970219589648</v>
      </c>
      <c r="CX105" s="60">
        <f t="shared" si="68"/>
        <v>821.82303552922986</v>
      </c>
      <c r="CY105" s="60">
        <f ca="1">AVERAGE(OFFSET($CX$3,0,0,'Données projet'!$E$13+1,1))-AVERAGE(OFFSET($H$3,0,0,'Données projet'!$E$13+1,1))</f>
        <v>428.8489304403459</v>
      </c>
      <c r="CZ105" s="60">
        <f t="shared" si="96"/>
        <v>247.01165577562966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290.41271999999975</v>
      </c>
      <c r="DQ105" s="14">
        <f t="shared" si="97"/>
        <v>69.162817905044719</v>
      </c>
      <c r="DR105" s="22">
        <f t="shared" si="70"/>
        <v>626.26072851795254</v>
      </c>
      <c r="DS105" s="60">
        <f t="shared" si="71"/>
        <v>919.59406185128591</v>
      </c>
      <c r="DT105" s="60">
        <f ca="1">AVERAGE(OFFSET($DS$3,0,0,'Données projet'!$E$14+1,1))-AVERAGE(OFFSET($H$3,0,0,'Données projet'!$E$14+1,1))</f>
        <v>502.07782026233912</v>
      </c>
      <c r="DU105" s="60">
        <f t="shared" si="98"/>
        <v>285.83623046025156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-2.2737367544323206E-13</v>
      </c>
      <c r="EK105" s="18">
        <f>EJ105*VLOOKUP('Données projet'!$B$15,Paramètres!$A$1:$I$89,3,0)*VLOOKUP('Données projet'!$B$15,Paramètres!$A$1:$I$89,5,0)</f>
        <v>-1.3596945791505279E-13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392.62423122800357</v>
      </c>
      <c r="EP105" s="60">
        <f t="shared" si="100"/>
        <v>314.09619163968642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1.5412372631682254</v>
      </c>
      <c r="EX105" s="23">
        <f>EXP(-LN(2)/2)*EX104+(1-EXP(-LN(2)/2))/(LN(2)/2)*ER105*EU105*VLOOKUP('Données projet'!$B$15,Paramètres!$A$1:$I$89,3,0)*0.475*44/12</f>
        <v>2.5617115551637099E-10</v>
      </c>
      <c r="EY105" s="24">
        <f t="shared" si="75"/>
        <v>1.5412372634243965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>
        <f>FE105*VLOOKUP('Données projet'!$B$16,Paramètres!$A$1:$I$89,3,0)*VLOOKUP('Données projet'!$B$16,Paramètres!$A$1:$I$89,5,0)</f>
        <v>0</v>
      </c>
      <c r="FG105" s="14" t="e">
        <f t="shared" si="101"/>
        <v>#NUM!</v>
      </c>
      <c r="FH105" s="22" t="e">
        <f t="shared" si="76"/>
        <v>#NUM!</v>
      </c>
      <c r="FI105" s="60" t="e">
        <f t="shared" si="77"/>
        <v>#NUM!</v>
      </c>
      <c r="FJ105" s="60">
        <f ca="1">AVERAGE(OFFSET($FI$3,0,0,'Données projet'!$E$16+1,1))-AVERAGE(OFFSET($H$3,0,0,'Données projet'!$E$16+1,1))</f>
        <v>207.03241199974599</v>
      </c>
      <c r="FK105" s="60">
        <f t="shared" si="102"/>
        <v>314.188568589113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3.2441612925758743</v>
      </c>
      <c r="FR105" s="23">
        <f>EXP(-LN(2)/25)*FR104+(1-EXP(-LN(2)/25))/(LN(2)/25)*Calculateur!FM105*Calculateur!FO105*VLOOKUP('Données projet'!$B$16,Paramètres!$A$1:$I$89,3,0)*0.475*44/12</f>
        <v>1.3243784603117721</v>
      </c>
      <c r="FS105" s="23">
        <f>EXP(-LN(2)/2)*FS104+(1-EXP(-LN(2)/2))/(LN(2)/2)*FM105*FP105*VLOOKUP('Données projet'!$B$16,Paramètres!$A$1:$I$89,3,0)*0.475*44/12</f>
        <v>4.2556023936963317E-11</v>
      </c>
      <c r="FT105" s="24">
        <f t="shared" si="78"/>
        <v>4.568539752930203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3.0769230769230775</v>
      </c>
      <c r="N106" s="14">
        <f>IF('Données projet'!$A$36&gt;35,N105+M106-V105,IF(A106&lt;'Données projet'!$A$36,$K$205^A106,IF(A106='Données projet'!$A$36,'Données projet'!$B$36,N105+M106-V105)))</f>
        <v>235.51282051282047</v>
      </c>
      <c r="O106" s="14">
        <f>N106*VLOOKUP('Données projet'!$B$9,Paramètres!$A$1:$I$89,3,0)*VLOOKUP('Données projet'!$B$9,Paramètres!$A$1:$I$89,5,0)</f>
        <v>224.11399999999995</v>
      </c>
      <c r="P106" s="14">
        <f t="shared" si="87"/>
        <v>55.008076852464058</v>
      </c>
      <c r="Q106" s="22">
        <f t="shared" si="107"/>
        <v>486.13761718470818</v>
      </c>
      <c r="R106" s="60">
        <f t="shared" si="55"/>
        <v>779.47095051804149</v>
      </c>
      <c r="S106" s="60">
        <f ca="1">AVERAGE(OFFSET($R$3,0,0,'Données projet'!$E$9+1,1))-AVERAGE(OFFSET($H$3,0,0,'Données projet'!$E$9+1,1))</f>
        <v>353.61481736740694</v>
      </c>
      <c r="T106" s="60">
        <f t="shared" si="88"/>
        <v>244.7141066773861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265.20623999999975</v>
      </c>
      <c r="AK106" s="14">
        <f t="shared" si="89"/>
        <v>63.830854160896386</v>
      </c>
      <c r="AL106" s="22">
        <f t="shared" si="58"/>
        <v>573.07293899689409</v>
      </c>
      <c r="AM106" s="60">
        <f t="shared" si="59"/>
        <v>866.40627233022747</v>
      </c>
      <c r="AN106" s="60">
        <f ca="1">AVERAGE(OFFSET($AM$3,0,0,'Données projet'!$E$10+1,1))-AVERAGE(OFFSET($H$3,0,0,'Données projet'!$E$10+1,1))</f>
        <v>455.50822833641354</v>
      </c>
      <c r="AO106" s="60">
        <f t="shared" si="90"/>
        <v>261.14722581688039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286.59383999999977</v>
      </c>
      <c r="BF106" s="14">
        <f t="shared" si="91"/>
        <v>68.358583500352552</v>
      </c>
      <c r="BG106" s="22">
        <f t="shared" si="61"/>
        <v>618.20880426311362</v>
      </c>
      <c r="BH106" s="60">
        <f t="shared" si="62"/>
        <v>911.54213759644699</v>
      </c>
      <c r="BI106" s="60">
        <f ca="1">AVERAGE(OFFSET($BH$3,0,0,'Données projet'!$E$11+1,1))-AVERAGE(OFFSET($H$3,0,0,'Données projet'!$E$11+1,1))</f>
        <v>488.7825919901664</v>
      </c>
      <c r="BJ106" s="60">
        <f t="shared" si="92"/>
        <v>278.78817181412438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278.03879999999975</v>
      </c>
      <c r="CA106" s="14">
        <f t="shared" si="93"/>
        <v>66.552381547717744</v>
      </c>
      <c r="CB106" s="22">
        <f t="shared" si="64"/>
        <v>600.16297452894128</v>
      </c>
      <c r="CC106" s="60">
        <f t="shared" si="65"/>
        <v>893.49630786227453</v>
      </c>
      <c r="CD106" s="60">
        <f ca="1">AVERAGE(OFFSET($CC$3,0,0,'Données projet'!$E$12+1,1))-AVERAGE(OFFSET($H$3,0,0,'Données projet'!$E$12+1,1))</f>
        <v>475.47920969424894</v>
      </c>
      <c r="CE106" s="60">
        <f t="shared" si="94"/>
        <v>271.73544012419364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248.0961599999998</v>
      </c>
      <c r="CV106" s="14">
        <f t="shared" si="95"/>
        <v>60.178080967364686</v>
      </c>
      <c r="CW106" s="22">
        <f t="shared" si="67"/>
        <v>536.91096968482657</v>
      </c>
      <c r="CX106" s="60">
        <f t="shared" si="68"/>
        <v>830.24430301815983</v>
      </c>
      <c r="CY106" s="60">
        <f ca="1">AVERAGE(OFFSET($CX$3,0,0,'Données projet'!$E$13+1,1))-AVERAGE(OFFSET($H$3,0,0,'Données projet'!$E$13+1,1))</f>
        <v>428.8489304403459</v>
      </c>
      <c r="CZ106" s="60">
        <f t="shared" si="96"/>
        <v>247.01165577562966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295.14887999999974</v>
      </c>
      <c r="DQ106" s="14">
        <f t="shared" si="97"/>
        <v>70.158519482479349</v>
      </c>
      <c r="DR106" s="22">
        <f t="shared" si="70"/>
        <v>636.24372076531768</v>
      </c>
      <c r="DS106" s="60">
        <f t="shared" si="71"/>
        <v>929.57705409865093</v>
      </c>
      <c r="DT106" s="60">
        <f ca="1">AVERAGE(OFFSET($DS$3,0,0,'Données projet'!$E$14+1,1))-AVERAGE(OFFSET($H$3,0,0,'Données projet'!$E$14+1,1))</f>
        <v>502.07782026233912</v>
      </c>
      <c r="DU106" s="60">
        <f t="shared" si="98"/>
        <v>285.83623046025156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-2.2737367544323206E-13</v>
      </c>
      <c r="EK106" s="18">
        <f>EJ106*VLOOKUP('Données projet'!$B$15,Paramètres!$A$1:$I$89,3,0)*VLOOKUP('Données projet'!$B$15,Paramètres!$A$1:$I$89,5,0)</f>
        <v>-1.3596945791505279E-13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392.62423122800357</v>
      </c>
      <c r="EP106" s="60">
        <f t="shared" si="100"/>
        <v>314.09619163968642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1.4990920491567452</v>
      </c>
      <c r="EX106" s="23">
        <f>EXP(-LN(2)/2)*EX105+(1-EXP(-LN(2)/2))/(LN(2)/2)*ER106*EU106*VLOOKUP('Données projet'!$B$15,Paramètres!$A$1:$I$89,3,0)*0.475*44/12</f>
        <v>1.8114036121001958E-10</v>
      </c>
      <c r="EY106" s="24">
        <f t="shared" si="75"/>
        <v>1.4990920493378856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>
        <f>FE106*VLOOKUP('Données projet'!$B$16,Paramètres!$A$1:$I$89,3,0)*VLOOKUP('Données projet'!$B$16,Paramètres!$A$1:$I$89,5,0)</f>
        <v>0</v>
      </c>
      <c r="FG106" s="14" t="e">
        <f t="shared" si="101"/>
        <v>#NUM!</v>
      </c>
      <c r="FH106" s="22" t="e">
        <f t="shared" si="76"/>
        <v>#NUM!</v>
      </c>
      <c r="FI106" s="60" t="e">
        <f t="shared" si="77"/>
        <v>#NUM!</v>
      </c>
      <c r="FJ106" s="60">
        <f ca="1">AVERAGE(OFFSET($FI$3,0,0,'Données projet'!$E$16+1,1))-AVERAGE(OFFSET($H$3,0,0,'Données projet'!$E$16+1,1))</f>
        <v>207.03241199974599</v>
      </c>
      <c r="FK106" s="60">
        <f t="shared" si="102"/>
        <v>314.188568589113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3.180545268371465</v>
      </c>
      <c r="FR106" s="23">
        <f>EXP(-LN(2)/25)*FR105+(1-EXP(-LN(2)/25))/(LN(2)/25)*Calculateur!FM106*Calculateur!FO106*VLOOKUP('Données projet'!$B$16,Paramètres!$A$1:$I$89,3,0)*0.475*44/12</f>
        <v>1.2881632616685104</v>
      </c>
      <c r="FS106" s="23">
        <f>EXP(-LN(2)/2)*FS105+(1-EXP(-LN(2)/2))/(LN(2)/2)*FM106*FP106*VLOOKUP('Données projet'!$B$16,Paramètres!$A$1:$I$89,3,0)*0.475*44/12</f>
        <v>3.0091653106163798E-11</v>
      </c>
      <c r="FT106" s="24">
        <f t="shared" si="78"/>
        <v>4.4687085300700673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3.0769230769230775</v>
      </c>
      <c r="N107" s="14">
        <f>IF('Données projet'!$A$36&gt;35,N106+M107-V106,IF(A107&lt;'Données projet'!$A$36,$K$205^A107,IF(A107='Données projet'!$A$36,'Données projet'!$B$36,N106+M107-V106)))</f>
        <v>238.58974358974353</v>
      </c>
      <c r="O107" s="14">
        <f>N107*VLOOKUP('Données projet'!$B$9,Paramètres!$A$1:$I$89,3,0)*VLOOKUP('Données projet'!$B$9,Paramètres!$A$1:$I$89,5,0)</f>
        <v>227.04199999999994</v>
      </c>
      <c r="P107" s="14">
        <f t="shared" si="87"/>
        <v>55.642611732318088</v>
      </c>
      <c r="Q107" s="22">
        <f t="shared" si="107"/>
        <v>492.34236543378728</v>
      </c>
      <c r="R107" s="60">
        <f t="shared" si="55"/>
        <v>785.67569876712059</v>
      </c>
      <c r="S107" s="60">
        <f ca="1">AVERAGE(OFFSET($R$3,0,0,'Données projet'!$E$9+1,1))-AVERAGE(OFFSET($H$3,0,0,'Données projet'!$E$9+1,1))</f>
        <v>353.61481736740694</v>
      </c>
      <c r="T107" s="60">
        <f t="shared" si="88"/>
        <v>244.7141066773861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269.46191999999974</v>
      </c>
      <c r="AK107" s="14">
        <f t="shared" si="89"/>
        <v>64.735061876839055</v>
      </c>
      <c r="AL107" s="22">
        <f t="shared" si="58"/>
        <v>582.05974343549417</v>
      </c>
      <c r="AM107" s="60">
        <f t="shared" si="59"/>
        <v>875.39307676882754</v>
      </c>
      <c r="AN107" s="60">
        <f ca="1">AVERAGE(OFFSET($AM$3,0,0,'Données projet'!$E$10+1,1))-AVERAGE(OFFSET($H$3,0,0,'Données projet'!$E$10+1,1))</f>
        <v>455.50822833641354</v>
      </c>
      <c r="AO107" s="60">
        <f t="shared" si="90"/>
        <v>261.14722581688039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291.19271999999978</v>
      </c>
      <c r="BF107" s="14">
        <f t="shared" si="91"/>
        <v>69.326929599812885</v>
      </c>
      <c r="BG107" s="22">
        <f t="shared" si="61"/>
        <v>627.90505638634033</v>
      </c>
      <c r="BH107" s="60">
        <f t="shared" si="62"/>
        <v>921.23838971967371</v>
      </c>
      <c r="BI107" s="60">
        <f ca="1">AVERAGE(OFFSET($BH$3,0,0,'Données projet'!$E$11+1,1))-AVERAGE(OFFSET($H$3,0,0,'Données projet'!$E$11+1,1))</f>
        <v>488.7825919901664</v>
      </c>
      <c r="BJ107" s="60">
        <f t="shared" si="92"/>
        <v>278.78817181412438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282.50039999999973</v>
      </c>
      <c r="CA107" s="14">
        <f t="shared" si="93"/>
        <v>67.495141560894311</v>
      </c>
      <c r="CB107" s="22">
        <f t="shared" si="64"/>
        <v>609.57556821855712</v>
      </c>
      <c r="CC107" s="60">
        <f t="shared" si="65"/>
        <v>902.90890155189049</v>
      </c>
      <c r="CD107" s="60">
        <f ca="1">AVERAGE(OFFSET($CC$3,0,0,'Données projet'!$E$12+1,1))-AVERAGE(OFFSET($H$3,0,0,'Données projet'!$E$12+1,1))</f>
        <v>475.47920969424894</v>
      </c>
      <c r="CE107" s="60">
        <f t="shared" si="94"/>
        <v>271.73544012419364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252.07727999999975</v>
      </c>
      <c r="CV107" s="14">
        <f t="shared" si="95"/>
        <v>61.03054465215493</v>
      </c>
      <c r="CW107" s="22">
        <f t="shared" si="67"/>
        <v>545.32946126916943</v>
      </c>
      <c r="CX107" s="60">
        <f t="shared" si="68"/>
        <v>838.6627946025028</v>
      </c>
      <c r="CY107" s="60">
        <f ca="1">AVERAGE(OFFSET($CX$3,0,0,'Données projet'!$E$13+1,1))-AVERAGE(OFFSET($H$3,0,0,'Données projet'!$E$13+1,1))</f>
        <v>428.8489304403459</v>
      </c>
      <c r="CZ107" s="60">
        <f t="shared" si="96"/>
        <v>247.01165577562966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299.88503999999972</v>
      </c>
      <c r="DQ107" s="14">
        <f t="shared" si="97"/>
        <v>71.152362906464575</v>
      </c>
      <c r="DR107" s="22">
        <f t="shared" si="70"/>
        <v>646.22347672875867</v>
      </c>
      <c r="DS107" s="60">
        <f t="shared" si="71"/>
        <v>939.55681006209193</v>
      </c>
      <c r="DT107" s="60">
        <f ca="1">AVERAGE(OFFSET($DS$3,0,0,'Données projet'!$E$14+1,1))-AVERAGE(OFFSET($H$3,0,0,'Données projet'!$E$14+1,1))</f>
        <v>502.07782026233912</v>
      </c>
      <c r="DU107" s="60">
        <f t="shared" si="98"/>
        <v>285.83623046025156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-2.2737367544323206E-13</v>
      </c>
      <c r="EK107" s="18">
        <f>EJ107*VLOOKUP('Données projet'!$B$15,Paramètres!$A$1:$I$89,3,0)*VLOOKUP('Données projet'!$B$15,Paramètres!$A$1:$I$89,5,0)</f>
        <v>-1.3596945791505279E-13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392.62423122800357</v>
      </c>
      <c r="EP107" s="60">
        <f t="shared" si="100"/>
        <v>314.09619163968642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1.4580992982387293</v>
      </c>
      <c r="EX107" s="23">
        <f>EXP(-LN(2)/2)*EX106+(1-EXP(-LN(2)/2))/(LN(2)/2)*ER107*EU107*VLOOKUP('Données projet'!$B$15,Paramètres!$A$1:$I$89,3,0)*0.475*44/12</f>
        <v>1.280855777581855E-10</v>
      </c>
      <c r="EY107" s="24">
        <f t="shared" si="75"/>
        <v>1.4580992983668148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>
        <f>FE107*VLOOKUP('Données projet'!$B$16,Paramètres!$A$1:$I$89,3,0)*VLOOKUP('Données projet'!$B$16,Paramètres!$A$1:$I$89,5,0)</f>
        <v>0</v>
      </c>
      <c r="FG107" s="14" t="e">
        <f t="shared" si="101"/>
        <v>#NUM!</v>
      </c>
      <c r="FH107" s="22" t="e">
        <f t="shared" si="76"/>
        <v>#NUM!</v>
      </c>
      <c r="FI107" s="60" t="e">
        <f t="shared" si="77"/>
        <v>#NUM!</v>
      </c>
      <c r="FJ107" s="60">
        <f ca="1">AVERAGE(OFFSET($FI$3,0,0,'Données projet'!$E$16+1,1))-AVERAGE(OFFSET($H$3,0,0,'Données projet'!$E$16+1,1))</f>
        <v>207.03241199974599</v>
      </c>
      <c r="FK107" s="60">
        <f t="shared" si="102"/>
        <v>314.188568589113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3.1181767155997608</v>
      </c>
      <c r="FR107" s="23">
        <f>EXP(-LN(2)/25)*FR106+(1-EXP(-LN(2)/25))/(LN(2)/25)*Calculateur!FM107*Calculateur!FO107*VLOOKUP('Données projet'!$B$16,Paramètres!$A$1:$I$89,3,0)*0.475*44/12</f>
        <v>1.2529383695366232</v>
      </c>
      <c r="FS107" s="23">
        <f>EXP(-LN(2)/2)*FS106+(1-EXP(-LN(2)/2))/(LN(2)/2)*FM107*FP107*VLOOKUP('Données projet'!$B$16,Paramètres!$A$1:$I$89,3,0)*0.475*44/12</f>
        <v>2.1278011968481659E-11</v>
      </c>
      <c r="FT107" s="24">
        <f t="shared" si="78"/>
        <v>4.3711150851576619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3.0769230769230775</v>
      </c>
      <c r="N108" s="14">
        <f>IF('Données projet'!$A$36&gt;35,N107+M108-V107,IF(A108&lt;'Données projet'!$A$36,$K$205^A108,IF(A108='Données projet'!$A$36,'Données projet'!$B$36,N107+M108-V107)))</f>
        <v>241.6666666666666</v>
      </c>
      <c r="O108" s="14">
        <f>N108*VLOOKUP('Données projet'!$B$9,Paramètres!$A$1:$I$89,3,0)*VLOOKUP('Données projet'!$B$9,Paramètres!$A$1:$I$89,5,0)</f>
        <v>229.96999999999994</v>
      </c>
      <c r="P108" s="14">
        <f t="shared" si="87"/>
        <v>56.276194780495985</v>
      </c>
      <c r="Q108" s="22">
        <f t="shared" si="107"/>
        <v>498.54545590936368</v>
      </c>
      <c r="R108" s="60">
        <f t="shared" si="55"/>
        <v>791.87878924269694</v>
      </c>
      <c r="S108" s="60">
        <f ca="1">AVERAGE(OFFSET($R$3,0,0,'Données projet'!$E$9+1,1))-AVERAGE(OFFSET($H$3,0,0,'Données projet'!$E$9+1,1))</f>
        <v>353.61481736740694</v>
      </c>
      <c r="T108" s="60">
        <f t="shared" si="88"/>
        <v>244.7141066773861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273.71759999999972</v>
      </c>
      <c r="AK108" s="14">
        <f t="shared" si="89"/>
        <v>65.637608810456612</v>
      </c>
      <c r="AL108" s="22">
        <f t="shared" si="58"/>
        <v>591.04365534487806</v>
      </c>
      <c r="AM108" s="60">
        <f t="shared" si="59"/>
        <v>884.37698867821132</v>
      </c>
      <c r="AN108" s="60">
        <f ca="1">AVERAGE(OFFSET($AM$3,0,0,'Données projet'!$E$10+1,1))-AVERAGE(OFFSET($H$3,0,0,'Données projet'!$E$10+1,1))</f>
        <v>455.50822833641354</v>
      </c>
      <c r="AO108" s="60">
        <f t="shared" si="90"/>
        <v>261.14722581688039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295.79159999999973</v>
      </c>
      <c r="BF108" s="14">
        <f t="shared" si="91"/>
        <v>70.29349711227583</v>
      </c>
      <c r="BG108" s="22">
        <f t="shared" si="61"/>
        <v>637.59821080387985</v>
      </c>
      <c r="BH108" s="60">
        <f t="shared" si="62"/>
        <v>930.93154413721322</v>
      </c>
      <c r="BI108" s="60">
        <f ca="1">AVERAGE(OFFSET($BH$3,0,0,'Données projet'!$E$11+1,1))-AVERAGE(OFFSET($H$3,0,0,'Données projet'!$E$11+1,1))</f>
        <v>488.7825919901664</v>
      </c>
      <c r="BJ108" s="60">
        <f t="shared" si="92"/>
        <v>278.78817181412438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286.9619999999997</v>
      </c>
      <c r="CA108" s="14">
        <f t="shared" si="93"/>
        <v>68.436169981717796</v>
      </c>
      <c r="CB108" s="22">
        <f t="shared" si="64"/>
        <v>618.98514605149137</v>
      </c>
      <c r="CC108" s="60">
        <f t="shared" si="65"/>
        <v>912.31847938482474</v>
      </c>
      <c r="CD108" s="60">
        <f ca="1">AVERAGE(OFFSET($CC$3,0,0,'Données projet'!$E$12+1,1))-AVERAGE(OFFSET($H$3,0,0,'Données projet'!$E$12+1,1))</f>
        <v>475.47920969424894</v>
      </c>
      <c r="CE108" s="60">
        <f t="shared" si="94"/>
        <v>271.73544012419364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256.05839999999972</v>
      </c>
      <c r="CV108" s="14">
        <f t="shared" si="95"/>
        <v>61.881442594256434</v>
      </c>
      <c r="CW108" s="22">
        <f t="shared" si="67"/>
        <v>553.74522585166278</v>
      </c>
      <c r="CX108" s="60">
        <f t="shared" si="68"/>
        <v>847.07855918499604</v>
      </c>
      <c r="CY108" s="60">
        <f ca="1">AVERAGE(OFFSET($CX$3,0,0,'Données projet'!$E$13+1,1))-AVERAGE(OFFSET($H$3,0,0,'Données projet'!$E$13+1,1))</f>
        <v>428.8489304403459</v>
      </c>
      <c r="CZ108" s="60">
        <f t="shared" si="96"/>
        <v>247.01165577562966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304.62119999999965</v>
      </c>
      <c r="DQ108" s="14">
        <f t="shared" si="97"/>
        <v>72.144380911839335</v>
      </c>
      <c r="DR108" s="22">
        <f t="shared" si="70"/>
        <v>656.20005342145294</v>
      </c>
      <c r="DS108" s="60">
        <f t="shared" si="71"/>
        <v>949.53338675478631</v>
      </c>
      <c r="DT108" s="60">
        <f ca="1">AVERAGE(OFFSET($DS$3,0,0,'Données projet'!$E$14+1,1))-AVERAGE(OFFSET($H$3,0,0,'Données projet'!$E$14+1,1))</f>
        <v>502.07782026233912</v>
      </c>
      <c r="DU108" s="60">
        <f t="shared" si="98"/>
        <v>285.83623046025156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-2.2737367544323206E-13</v>
      </c>
      <c r="EK108" s="18">
        <f>EJ108*VLOOKUP('Données projet'!$B$15,Paramètres!$A$1:$I$89,3,0)*VLOOKUP('Données projet'!$B$15,Paramètres!$A$1:$I$89,5,0)</f>
        <v>-1.3596945791505279E-13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392.62423122800357</v>
      </c>
      <c r="EP108" s="60">
        <f t="shared" si="100"/>
        <v>314.09619163968642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1.4182274962502817</v>
      </c>
      <c r="EX108" s="23">
        <f>EXP(-LN(2)/2)*EX107+(1-EXP(-LN(2)/2))/(LN(2)/2)*ER108*EU108*VLOOKUP('Données projet'!$B$15,Paramètres!$A$1:$I$89,3,0)*0.475*44/12</f>
        <v>9.0570180605009792E-11</v>
      </c>
      <c r="EY108" s="24">
        <f t="shared" si="75"/>
        <v>1.4182274963408519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>
        <f>FE108*VLOOKUP('Données projet'!$B$16,Paramètres!$A$1:$I$89,3,0)*VLOOKUP('Données projet'!$B$16,Paramètres!$A$1:$I$89,5,0)</f>
        <v>0</v>
      </c>
      <c r="FG108" s="14" t="e">
        <f t="shared" si="101"/>
        <v>#NUM!</v>
      </c>
      <c r="FH108" s="22" t="e">
        <f t="shared" si="76"/>
        <v>#NUM!</v>
      </c>
      <c r="FI108" s="60" t="e">
        <f t="shared" si="77"/>
        <v>#NUM!</v>
      </c>
      <c r="FJ108" s="60">
        <f ca="1">AVERAGE(OFFSET($FI$3,0,0,'Données projet'!$E$16+1,1))-AVERAGE(OFFSET($H$3,0,0,'Données projet'!$E$16+1,1))</f>
        <v>207.03241199974599</v>
      </c>
      <c r="FK108" s="60">
        <f t="shared" si="102"/>
        <v>314.188568589113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3.057031172106849</v>
      </c>
      <c r="FR108" s="23">
        <f>EXP(-LN(2)/25)*FR107+(1-EXP(-LN(2)/25))/(LN(2)/25)*Calculateur!FM108*Calculateur!FO108*VLOOKUP('Données projet'!$B$16,Paramètres!$A$1:$I$89,3,0)*0.475*44/12</f>
        <v>1.2186767039324791</v>
      </c>
      <c r="FS108" s="23">
        <f>EXP(-LN(2)/2)*FS107+(1-EXP(-LN(2)/2))/(LN(2)/2)*FM108*FP108*VLOOKUP('Données projet'!$B$16,Paramètres!$A$1:$I$89,3,0)*0.475*44/12</f>
        <v>1.5045826553081899E-11</v>
      </c>
      <c r="FT108" s="24">
        <f t="shared" si="78"/>
        <v>4.2757078760543736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3.0769230769230775</v>
      </c>
      <c r="N109" s="14">
        <f>IF('Données projet'!$A$36&gt;35,N108+M109-V108,IF(A109&lt;'Données projet'!$A$36,$K$205^A109,IF(A109='Données projet'!$A$36,'Données projet'!$B$36,N108+M109-V108)))</f>
        <v>244.74358974358967</v>
      </c>
      <c r="O109" s="14">
        <f>N109*VLOOKUP('Données projet'!$B$9,Paramètres!$A$1:$I$89,3,0)*VLOOKUP('Données projet'!$B$9,Paramètres!$A$1:$I$89,5,0)</f>
        <v>232.89799999999994</v>
      </c>
      <c r="P109" s="14">
        <f t="shared" si="87"/>
        <v>56.908839517153446</v>
      </c>
      <c r="Q109" s="22">
        <f t="shared" si="107"/>
        <v>504.7469121590421</v>
      </c>
      <c r="R109" s="60">
        <f t="shared" si="55"/>
        <v>798.08024549237541</v>
      </c>
      <c r="S109" s="60">
        <f ca="1">AVERAGE(OFFSET($R$3,0,0,'Données projet'!$E$9+1,1))-AVERAGE(OFFSET($H$3,0,0,'Données projet'!$E$9+1,1))</f>
        <v>353.61481736740694</v>
      </c>
      <c r="T109" s="60">
        <f t="shared" si="88"/>
        <v>244.7141066773861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277.9732799999997</v>
      </c>
      <c r="AK109" s="14">
        <f t="shared" si="89"/>
        <v>66.538523764973135</v>
      </c>
      <c r="AL109" s="22">
        <f t="shared" si="58"/>
        <v>600.0247248906611</v>
      </c>
      <c r="AM109" s="60">
        <f t="shared" si="59"/>
        <v>893.35805822399448</v>
      </c>
      <c r="AN109" s="60">
        <f ca="1">AVERAGE(OFFSET($AM$3,0,0,'Données projet'!$E$10+1,1))-AVERAGE(OFFSET($H$3,0,0,'Données projet'!$E$10+1,1))</f>
        <v>455.50822833641354</v>
      </c>
      <c r="AO109" s="60">
        <f t="shared" si="90"/>
        <v>261.14722581688039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300.39047999999968</v>
      </c>
      <c r="BF109" s="14">
        <f t="shared" si="91"/>
        <v>71.258316884071434</v>
      </c>
      <c r="BG109" s="22">
        <f t="shared" si="61"/>
        <v>647.28832123975712</v>
      </c>
      <c r="BH109" s="60">
        <f t="shared" si="62"/>
        <v>940.62165457309038</v>
      </c>
      <c r="BI109" s="60">
        <f ca="1">AVERAGE(OFFSET($BH$3,0,0,'Données projet'!$E$11+1,1))-AVERAGE(OFFSET($H$3,0,0,'Données projet'!$E$11+1,1))</f>
        <v>488.7825919901664</v>
      </c>
      <c r="BJ109" s="60">
        <f t="shared" si="92"/>
        <v>278.78817181412438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291.42359999999968</v>
      </c>
      <c r="CA109" s="14">
        <f t="shared" si="93"/>
        <v>69.375496841482104</v>
      </c>
      <c r="CB109" s="22">
        <f t="shared" si="64"/>
        <v>628.39176033224737</v>
      </c>
      <c r="CC109" s="60">
        <f t="shared" si="65"/>
        <v>921.72509366558074</v>
      </c>
      <c r="CD109" s="60">
        <f ca="1">AVERAGE(OFFSET($CC$3,0,0,'Données projet'!$E$12+1,1))-AVERAGE(OFFSET($H$3,0,0,'Données projet'!$E$12+1,1))</f>
        <v>475.47920969424894</v>
      </c>
      <c r="CE109" s="60">
        <f t="shared" si="94"/>
        <v>271.73544012419364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260.0395199999997</v>
      </c>
      <c r="CV109" s="14">
        <f t="shared" si="95"/>
        <v>62.730801948604821</v>
      </c>
      <c r="CW109" s="22">
        <f t="shared" si="67"/>
        <v>562.15831072715287</v>
      </c>
      <c r="CX109" s="60">
        <f t="shared" si="68"/>
        <v>855.49164406048612</v>
      </c>
      <c r="CY109" s="60">
        <f ca="1">AVERAGE(OFFSET($CX$3,0,0,'Données projet'!$E$13+1,1))-AVERAGE(OFFSET($H$3,0,0,'Données projet'!$E$13+1,1))</f>
        <v>428.8489304403459</v>
      </c>
      <c r="CZ109" s="60">
        <f t="shared" si="96"/>
        <v>247.01165577562966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309.35735999999969</v>
      </c>
      <c r="DQ109" s="14">
        <f t="shared" si="97"/>
        <v>73.134605157142161</v>
      </c>
      <c r="DR109" s="22">
        <f t="shared" si="70"/>
        <v>666.17350598202211</v>
      </c>
      <c r="DS109" s="60">
        <f t="shared" si="71"/>
        <v>959.50683931535536</v>
      </c>
      <c r="DT109" s="60">
        <f ca="1">AVERAGE(OFFSET($DS$3,0,0,'Données projet'!$E$14+1,1))-AVERAGE(OFFSET($H$3,0,0,'Données projet'!$E$14+1,1))</f>
        <v>502.07782026233912</v>
      </c>
      <c r="DU109" s="60">
        <f t="shared" si="98"/>
        <v>285.83623046025156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-2.2737367544323206E-13</v>
      </c>
      <c r="EK109" s="18">
        <f>EJ109*VLOOKUP('Données projet'!$B$15,Paramètres!$A$1:$I$89,3,0)*VLOOKUP('Données projet'!$B$15,Paramètres!$A$1:$I$89,5,0)</f>
        <v>-1.3596945791505279E-13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392.62423122800357</v>
      </c>
      <c r="EP109" s="60">
        <f t="shared" si="100"/>
        <v>314.09619163968642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1.3794459907839751</v>
      </c>
      <c r="EX109" s="23">
        <f>EXP(-LN(2)/2)*EX108+(1-EXP(-LN(2)/2))/(LN(2)/2)*ER109*EU109*VLOOKUP('Données projet'!$B$15,Paramètres!$A$1:$I$89,3,0)*0.475*44/12</f>
        <v>6.4042788879092748E-11</v>
      </c>
      <c r="EY109" s="24">
        <f t="shared" si="75"/>
        <v>1.3794459908480179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>
        <f>FE109*VLOOKUP('Données projet'!$B$16,Paramètres!$A$1:$I$89,3,0)*VLOOKUP('Données projet'!$B$16,Paramètres!$A$1:$I$89,5,0)</f>
        <v>0</v>
      </c>
      <c r="FG109" s="14" t="e">
        <f t="shared" si="101"/>
        <v>#NUM!</v>
      </c>
      <c r="FH109" s="22" t="e">
        <f t="shared" si="76"/>
        <v>#NUM!</v>
      </c>
      <c r="FI109" s="60" t="e">
        <f t="shared" si="77"/>
        <v>#NUM!</v>
      </c>
      <c r="FJ109" s="60">
        <f ca="1">AVERAGE(OFFSET($FI$3,0,0,'Données projet'!$E$16+1,1))-AVERAGE(OFFSET($H$3,0,0,'Données projet'!$E$16+1,1))</f>
        <v>207.03241199974599</v>
      </c>
      <c r="FK109" s="60">
        <f t="shared" si="102"/>
        <v>314.188568589113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2.9970846554267343</v>
      </c>
      <c r="FR109" s="23">
        <f>EXP(-LN(2)/25)*FR108+(1-EXP(-LN(2)/25))/(LN(2)/25)*Calculateur!FM109*Calculateur!FO109*VLOOKUP('Données projet'!$B$16,Paramètres!$A$1:$I$89,3,0)*0.475*44/12</f>
        <v>1.185351925376023</v>
      </c>
      <c r="FS109" s="23">
        <f>EXP(-LN(2)/2)*FS108+(1-EXP(-LN(2)/2))/(LN(2)/2)*FM109*FP109*VLOOKUP('Données projet'!$B$16,Paramètres!$A$1:$I$89,3,0)*0.475*44/12</f>
        <v>1.0639005984240829E-11</v>
      </c>
      <c r="FT109" s="24">
        <f t="shared" si="78"/>
        <v>4.1824365808133956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3.0769230769230775</v>
      </c>
      <c r="N110" s="14">
        <f>IF('Données projet'!$A$36&gt;35,N109+M110-V109,IF(A110&lt;'Données projet'!$A$36,$K$205^A110,IF(A110='Données projet'!$A$36,'Données projet'!$B$36,N109+M110-V109)))</f>
        <v>247.82051282051273</v>
      </c>
      <c r="O110" s="14">
        <f>N110*VLOOKUP('Données projet'!$B$9,Paramètres!$A$1:$I$89,3,0)*VLOOKUP('Données projet'!$B$9,Paramètres!$A$1:$I$89,5,0)</f>
        <v>235.82599999999991</v>
      </c>
      <c r="P110" s="14">
        <f t="shared" si="87"/>
        <v>57.540559102944393</v>
      </c>
      <c r="Q110" s="22">
        <f t="shared" si="107"/>
        <v>510.94675710429465</v>
      </c>
      <c r="R110" s="60">
        <f t="shared" si="55"/>
        <v>804.2800904376279</v>
      </c>
      <c r="S110" s="60">
        <f ca="1">AVERAGE(OFFSET($R$3,0,0,'Données projet'!$E$9+1,1))-AVERAGE(OFFSET($H$3,0,0,'Données projet'!$E$9+1,1))</f>
        <v>353.61481736740694</v>
      </c>
      <c r="T110" s="60">
        <f t="shared" si="88"/>
        <v>244.7141066773861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282.22895999999969</v>
      </c>
      <c r="AK110" s="14">
        <f t="shared" si="89"/>
        <v>67.437834611070301</v>
      </c>
      <c r="AL110" s="22">
        <f t="shared" si="58"/>
        <v>609.00300061428027</v>
      </c>
      <c r="AM110" s="60">
        <f t="shared" si="59"/>
        <v>902.33633394761364</v>
      </c>
      <c r="AN110" s="60">
        <f ca="1">AVERAGE(OFFSET($AM$3,0,0,'Données projet'!$E$10+1,1))-AVERAGE(OFFSET($H$3,0,0,'Données projet'!$E$10+1,1))</f>
        <v>455.50822833641354</v>
      </c>
      <c r="AO110" s="60">
        <f t="shared" si="90"/>
        <v>261.14722581688039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304.98935999999969</v>
      </c>
      <c r="BF110" s="14">
        <f t="shared" si="91"/>
        <v>72.221418762839178</v>
      </c>
      <c r="BG110" s="22">
        <f t="shared" si="61"/>
        <v>656.975439678611</v>
      </c>
      <c r="BH110" s="60">
        <f t="shared" si="62"/>
        <v>950.30877301194437</v>
      </c>
      <c r="BI110" s="60">
        <f ca="1">AVERAGE(OFFSET($BH$3,0,0,'Données projet'!$E$11+1,1))-AVERAGE(OFFSET($H$3,0,0,'Données projet'!$E$11+1,1))</f>
        <v>488.7825919901664</v>
      </c>
      <c r="BJ110" s="60">
        <f t="shared" si="92"/>
        <v>278.78817181412438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295.88519999999966</v>
      </c>
      <c r="CA110" s="14">
        <f t="shared" si="93"/>
        <v>70.313151199178748</v>
      </c>
      <c r="CB110" s="22">
        <f t="shared" si="64"/>
        <v>637.79546167190244</v>
      </c>
      <c r="CC110" s="60">
        <f t="shared" si="65"/>
        <v>931.12879500523582</v>
      </c>
      <c r="CD110" s="60">
        <f ca="1">AVERAGE(OFFSET($CC$3,0,0,'Données projet'!$E$12+1,1))-AVERAGE(OFFSET($H$3,0,0,'Données projet'!$E$12+1,1))</f>
        <v>475.47920969424894</v>
      </c>
      <c r="CE110" s="60">
        <f t="shared" si="94"/>
        <v>271.73544012419364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264.02063999999967</v>
      </c>
      <c r="CV110" s="14">
        <f t="shared" si="95"/>
        <v>63.57864899095906</v>
      </c>
      <c r="CW110" s="22">
        <f t="shared" si="67"/>
        <v>570.56876165925303</v>
      </c>
      <c r="CX110" s="60">
        <f t="shared" si="68"/>
        <v>863.9020949925864</v>
      </c>
      <c r="CY110" s="60">
        <f ca="1">AVERAGE(OFFSET($CX$3,0,0,'Données projet'!$E$13+1,1))-AVERAGE(OFFSET($H$3,0,0,'Données projet'!$E$13+1,1))</f>
        <v>428.8489304403459</v>
      </c>
      <c r="CZ110" s="60">
        <f t="shared" si="96"/>
        <v>247.01165577562966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314.09351999999961</v>
      </c>
      <c r="DQ110" s="14">
        <f t="shared" si="97"/>
        <v>74.123066275924458</v>
      </c>
      <c r="DR110" s="22">
        <f t="shared" si="70"/>
        <v>676.14388776390103</v>
      </c>
      <c r="DS110" s="60">
        <f t="shared" si="71"/>
        <v>969.47722109723441</v>
      </c>
      <c r="DT110" s="60">
        <f ca="1">AVERAGE(OFFSET($DS$3,0,0,'Données projet'!$E$14+1,1))-AVERAGE(OFFSET($H$3,0,0,'Données projet'!$E$14+1,1))</f>
        <v>502.07782026233912</v>
      </c>
      <c r="DU110" s="60">
        <f t="shared" si="98"/>
        <v>285.83623046025156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-2.2737367544323206E-13</v>
      </c>
      <c r="EK110" s="18">
        <f>EJ110*VLOOKUP('Données projet'!$B$15,Paramètres!$A$1:$I$89,3,0)*VLOOKUP('Données projet'!$B$15,Paramètres!$A$1:$I$89,5,0)</f>
        <v>-1.3596945791505279E-13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392.62423122800357</v>
      </c>
      <c r="EP110" s="60">
        <f t="shared" si="100"/>
        <v>314.09619163968642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1.3417249676240754</v>
      </c>
      <c r="EX110" s="23">
        <f>EXP(-LN(2)/2)*EX109+(1-EXP(-LN(2)/2))/(LN(2)/2)*ER110*EU110*VLOOKUP('Données projet'!$B$15,Paramètres!$A$1:$I$89,3,0)*0.475*44/12</f>
        <v>4.5285090302504896E-11</v>
      </c>
      <c r="EY110" s="24">
        <f t="shared" si="75"/>
        <v>1.3417249676693606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>
        <f>FE110*VLOOKUP('Données projet'!$B$16,Paramètres!$A$1:$I$89,3,0)*VLOOKUP('Données projet'!$B$16,Paramètres!$A$1:$I$89,5,0)</f>
        <v>0</v>
      </c>
      <c r="FG110" s="14" t="e">
        <f t="shared" si="101"/>
        <v>#NUM!</v>
      </c>
      <c r="FH110" s="22" t="e">
        <f t="shared" si="76"/>
        <v>#NUM!</v>
      </c>
      <c r="FI110" s="60" t="e">
        <f t="shared" si="77"/>
        <v>#NUM!</v>
      </c>
      <c r="FJ110" s="60">
        <f ca="1">AVERAGE(OFFSET($FI$3,0,0,'Données projet'!$E$16+1,1))-AVERAGE(OFFSET($H$3,0,0,'Données projet'!$E$16+1,1))</f>
        <v>207.03241199974599</v>
      </c>
      <c r="FK110" s="60">
        <f t="shared" si="102"/>
        <v>314.188568589113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2.9383136533749519</v>
      </c>
      <c r="FR110" s="23">
        <f>EXP(-LN(2)/25)*FR109+(1-EXP(-LN(2)/25))/(LN(2)/25)*Calculateur!FM110*Calculateur!FO110*VLOOKUP('Données projet'!$B$16,Paramètres!$A$1:$I$89,3,0)*0.475*44/12</f>
        <v>1.152938414641667</v>
      </c>
      <c r="FS110" s="23">
        <f>EXP(-LN(2)/2)*FS109+(1-EXP(-LN(2)/2))/(LN(2)/2)*FM110*FP110*VLOOKUP('Données projet'!$B$16,Paramètres!$A$1:$I$89,3,0)*0.475*44/12</f>
        <v>7.5229132765409496E-12</v>
      </c>
      <c r="FT110" s="24">
        <f t="shared" si="78"/>
        <v>4.0912520680241418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3.0769230769230775</v>
      </c>
      <c r="N111" s="14">
        <f>IF('Données projet'!$A$36&gt;35,N110+M111-V110,IF(A111&lt;'Données projet'!$A$36,$K$205^A111,IF(A111='Données projet'!$A$36,'Données projet'!$B$36,N110+M111-V110)))</f>
        <v>250.8974358974358</v>
      </c>
      <c r="O111" s="14">
        <f>N111*VLOOKUP('Données projet'!$B$9,Paramètres!$A$1:$I$89,3,0)*VLOOKUP('Données projet'!$B$9,Paramètres!$A$1:$I$89,5,0)</f>
        <v>238.75399999999991</v>
      </c>
      <c r="P111" s="14">
        <f t="shared" si="87"/>
        <v>58.171366352922625</v>
      </c>
      <c r="Q111" s="22">
        <f t="shared" si="107"/>
        <v>517.14501306467344</v>
      </c>
      <c r="R111" s="60">
        <f t="shared" si="55"/>
        <v>810.47834639800681</v>
      </c>
      <c r="S111" s="60">
        <f ca="1">AVERAGE(OFFSET($R$3,0,0,'Données projet'!$E$9+1,1))-AVERAGE(OFFSET($H$3,0,0,'Données projet'!$E$9+1,1))</f>
        <v>353.61481736740694</v>
      </c>
      <c r="T111" s="60">
        <f t="shared" si="88"/>
        <v>244.7141066773861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286.48463999999967</v>
      </c>
      <c r="AK111" s="14">
        <f t="shared" si="89"/>
        <v>68.335568330677432</v>
      </c>
      <c r="AL111" s="22">
        <f t="shared" si="58"/>
        <v>617.97852950926267</v>
      </c>
      <c r="AM111" s="60">
        <f t="shared" si="59"/>
        <v>911.31186284259593</v>
      </c>
      <c r="AN111" s="60">
        <f ca="1">AVERAGE(OFFSET($AM$3,0,0,'Données projet'!$E$10+1,1))-AVERAGE(OFFSET($H$3,0,0,'Données projet'!$E$10+1,1))</f>
        <v>455.50822833641354</v>
      </c>
      <c r="AO111" s="60">
        <f t="shared" si="90"/>
        <v>261.14722581688039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309.58823999999964</v>
      </c>
      <c r="BF111" s="14">
        <f t="shared" si="91"/>
        <v>73.182831644423985</v>
      </c>
      <c r="BG111" s="22">
        <f t="shared" si="61"/>
        <v>666.65961644737104</v>
      </c>
      <c r="BH111" s="60">
        <f t="shared" si="62"/>
        <v>959.99294978070429</v>
      </c>
      <c r="BI111" s="60">
        <f ca="1">AVERAGE(OFFSET($BH$3,0,0,'Données projet'!$E$11+1,1))-AVERAGE(OFFSET($H$3,0,0,'Données projet'!$E$11+1,1))</f>
        <v>488.7825919901664</v>
      </c>
      <c r="BJ111" s="60">
        <f t="shared" si="92"/>
        <v>278.78817181412438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300.34679999999963</v>
      </c>
      <c r="CA111" s="14">
        <f t="shared" si="93"/>
        <v>71.249161187153291</v>
      </c>
      <c r="CB111" s="22">
        <f t="shared" si="64"/>
        <v>647.19629906762464</v>
      </c>
      <c r="CC111" s="60">
        <f t="shared" si="65"/>
        <v>940.52963240095801</v>
      </c>
      <c r="CD111" s="60">
        <f ca="1">AVERAGE(OFFSET($CC$3,0,0,'Données projet'!$E$12+1,1))-AVERAGE(OFFSET($H$3,0,0,'Données projet'!$E$12+1,1))</f>
        <v>475.47920969424894</v>
      </c>
      <c r="CE111" s="60">
        <f t="shared" si="94"/>
        <v>271.73544012419364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268.00175999999971</v>
      </c>
      <c r="CV111" s="14">
        <f t="shared" si="95"/>
        <v>64.425009159185521</v>
      </c>
      <c r="CW111" s="22">
        <f t="shared" si="67"/>
        <v>578.97662295224757</v>
      </c>
      <c r="CX111" s="60">
        <f t="shared" si="68"/>
        <v>872.30995628558094</v>
      </c>
      <c r="CY111" s="60">
        <f ca="1">AVERAGE(OFFSET($CX$3,0,0,'Données projet'!$E$13+1,1))-AVERAGE(OFFSET($H$3,0,0,'Données projet'!$E$13+1,1))</f>
        <v>428.8489304403459</v>
      </c>
      <c r="CZ111" s="60">
        <f t="shared" si="96"/>
        <v>247.01165577562966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318.8296799999996</v>
      </c>
      <c r="DQ111" s="14">
        <f t="shared" si="97"/>
        <v>75.109793924882112</v>
      </c>
      <c r="DR111" s="22">
        <f t="shared" si="70"/>
        <v>686.11125041916887</v>
      </c>
      <c r="DS111" s="60">
        <f t="shared" si="71"/>
        <v>979.44458375250224</v>
      </c>
      <c r="DT111" s="60">
        <f ca="1">AVERAGE(OFFSET($DS$3,0,0,'Données projet'!$E$14+1,1))-AVERAGE(OFFSET($H$3,0,0,'Données projet'!$E$14+1,1))</f>
        <v>502.07782026233912</v>
      </c>
      <c r="DU111" s="60">
        <f t="shared" si="98"/>
        <v>285.83623046025156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-2.2737367544323206E-13</v>
      </c>
      <c r="EK111" s="18">
        <f>EJ111*VLOOKUP('Données projet'!$B$15,Paramètres!$A$1:$I$89,3,0)*VLOOKUP('Données projet'!$B$15,Paramètres!$A$1:$I$89,5,0)</f>
        <v>-1.3596945791505279E-13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392.62423122800357</v>
      </c>
      <c r="EP111" s="60">
        <f t="shared" si="100"/>
        <v>314.09619163968642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1.3050354278261456</v>
      </c>
      <c r="EX111" s="23">
        <f>EXP(-LN(2)/2)*EX110+(1-EXP(-LN(2)/2))/(LN(2)/2)*ER111*EU111*VLOOKUP('Données projet'!$B$15,Paramètres!$A$1:$I$89,3,0)*0.475*44/12</f>
        <v>3.2021394439546374E-11</v>
      </c>
      <c r="EY111" s="24">
        <f t="shared" si="75"/>
        <v>1.3050354278581671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>
        <f>FE111*VLOOKUP('Données projet'!$B$16,Paramètres!$A$1:$I$89,3,0)*VLOOKUP('Données projet'!$B$16,Paramètres!$A$1:$I$89,5,0)</f>
        <v>0</v>
      </c>
      <c r="FG111" s="14" t="e">
        <f t="shared" si="101"/>
        <v>#NUM!</v>
      </c>
      <c r="FH111" s="22" t="e">
        <f t="shared" si="76"/>
        <v>#NUM!</v>
      </c>
      <c r="FI111" s="60" t="e">
        <f t="shared" si="77"/>
        <v>#NUM!</v>
      </c>
      <c r="FJ111" s="60">
        <f ca="1">AVERAGE(OFFSET($FI$3,0,0,'Données projet'!$E$16+1,1))-AVERAGE(OFFSET($H$3,0,0,'Données projet'!$E$16+1,1))</f>
        <v>207.03241199974599</v>
      </c>
      <c r="FK111" s="60">
        <f t="shared" si="102"/>
        <v>314.188568589113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2.8806951148266333</v>
      </c>
      <c r="FR111" s="23">
        <f>EXP(-LN(2)/25)*FR110+(1-EXP(-LN(2)/25))/(LN(2)/25)*Calculateur!FM111*Calculateur!FO111*VLOOKUP('Données projet'!$B$16,Paramètres!$A$1:$I$89,3,0)*0.475*44/12</f>
        <v>1.1214112530628946</v>
      </c>
      <c r="FS111" s="23">
        <f>EXP(-LN(2)/2)*FS110+(1-EXP(-LN(2)/2))/(LN(2)/2)*FM111*FP111*VLOOKUP('Données projet'!$B$16,Paramètres!$A$1:$I$89,3,0)*0.475*44/12</f>
        <v>5.3195029921204146E-12</v>
      </c>
      <c r="FT111" s="24">
        <f t="shared" si="78"/>
        <v>4.0021063678948474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3.0769230769230775</v>
      </c>
      <c r="N112" s="14">
        <f>IF('Données projet'!$A$36&gt;35,N111+M112-V111,IF(A112&lt;'Données projet'!$A$36,$K$205^A112,IF(A112='Données projet'!$A$36,'Données projet'!$B$36,N111+M112-V111)))</f>
        <v>253.97435897435886</v>
      </c>
      <c r="O112" s="14">
        <f>N112*VLOOKUP('Données projet'!$B$9,Paramètres!$A$1:$I$89,3,0)*VLOOKUP('Données projet'!$B$9,Paramètres!$A$1:$I$89,5,0)</f>
        <v>241.6819999999999</v>
      </c>
      <c r="P112" s="14">
        <f t="shared" si="87"/>
        <v>58.801273749741775</v>
      </c>
      <c r="Q112" s="22">
        <f t="shared" si="107"/>
        <v>523.34170178080001</v>
      </c>
      <c r="R112" s="60">
        <f t="shared" si="55"/>
        <v>816.67503511413338</v>
      </c>
      <c r="S112" s="60">
        <f ca="1">AVERAGE(OFFSET($R$3,0,0,'Données projet'!$E$9+1,1))-AVERAGE(OFFSET($H$3,0,0,'Données projet'!$E$9+1,1))</f>
        <v>353.61481736740694</v>
      </c>
      <c r="T112" s="60">
        <f t="shared" si="88"/>
        <v>244.7141066773861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290.74031999999966</v>
      </c>
      <c r="AK112" s="14">
        <f t="shared" si="89"/>
        <v>69.231751058085507</v>
      </c>
      <c r="AL112" s="22">
        <f t="shared" si="58"/>
        <v>626.95135709283159</v>
      </c>
      <c r="AM112" s="60">
        <f t="shared" si="59"/>
        <v>920.28469042616484</v>
      </c>
      <c r="AN112" s="60">
        <f ca="1">AVERAGE(OFFSET($AM$3,0,0,'Données projet'!$E$10+1,1))-AVERAGE(OFFSET($H$3,0,0,'Données projet'!$E$10+1,1))</f>
        <v>455.50822833641354</v>
      </c>
      <c r="AO112" s="60">
        <f t="shared" si="90"/>
        <v>261.14722581688039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314.18711999999965</v>
      </c>
      <c r="BF112" s="14">
        <f t="shared" si="91"/>
        <v>74.14258351690674</v>
      </c>
      <c r="BG112" s="22">
        <f t="shared" si="61"/>
        <v>676.34090029194533</v>
      </c>
      <c r="BH112" s="60">
        <f t="shared" si="62"/>
        <v>969.6742336252787</v>
      </c>
      <c r="BI112" s="60">
        <f ca="1">AVERAGE(OFFSET($BH$3,0,0,'Données projet'!$E$11+1,1))-AVERAGE(OFFSET($H$3,0,0,'Données projet'!$E$11+1,1))</f>
        <v>488.7825919901664</v>
      </c>
      <c r="BJ112" s="60">
        <f t="shared" si="92"/>
        <v>278.78817181412438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304.80839999999961</v>
      </c>
      <c r="CA112" s="14">
        <f t="shared" si="93"/>
        <v>72.183554053972728</v>
      </c>
      <c r="CB112" s="22">
        <f t="shared" si="64"/>
        <v>656.59431997733509</v>
      </c>
      <c r="CC112" s="60">
        <f t="shared" si="65"/>
        <v>949.92765331066835</v>
      </c>
      <c r="CD112" s="60">
        <f ca="1">AVERAGE(OFFSET($CC$3,0,0,'Données projet'!$E$12+1,1))-AVERAGE(OFFSET($H$3,0,0,'Données projet'!$E$12+1,1))</f>
        <v>475.47920969424894</v>
      </c>
      <c r="CE112" s="60">
        <f t="shared" si="94"/>
        <v>271.73544012419364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271.98287999999962</v>
      </c>
      <c r="CV112" s="14">
        <f t="shared" si="95"/>
        <v>65.269907092018684</v>
      </c>
      <c r="CW112" s="22">
        <f t="shared" si="67"/>
        <v>587.38193751859842</v>
      </c>
      <c r="CX112" s="60">
        <f t="shared" si="68"/>
        <v>880.71527085193179</v>
      </c>
      <c r="CY112" s="60">
        <f ca="1">AVERAGE(OFFSET($CX$3,0,0,'Données projet'!$E$13+1,1))-AVERAGE(OFFSET($H$3,0,0,'Données projet'!$E$13+1,1))</f>
        <v>428.8489304403459</v>
      </c>
      <c r="CZ112" s="60">
        <f t="shared" si="96"/>
        <v>247.01165577562966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323.56583999999958</v>
      </c>
      <c r="DQ112" s="14">
        <f t="shared" si="97"/>
        <v>76.094816829044248</v>
      </c>
      <c r="DR112" s="22">
        <f t="shared" si="70"/>
        <v>696.07564397725127</v>
      </c>
      <c r="DS112" s="60">
        <f t="shared" si="71"/>
        <v>989.40897731058453</v>
      </c>
      <c r="DT112" s="60">
        <f ca="1">AVERAGE(OFFSET($DS$3,0,0,'Données projet'!$E$14+1,1))-AVERAGE(OFFSET($H$3,0,0,'Données projet'!$E$14+1,1))</f>
        <v>502.07782026233912</v>
      </c>
      <c r="DU112" s="60">
        <f t="shared" si="98"/>
        <v>285.83623046025156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-2.2737367544323206E-13</v>
      </c>
      <c r="EK112" s="18">
        <f>EJ112*VLOOKUP('Données projet'!$B$15,Paramètres!$A$1:$I$89,3,0)*VLOOKUP('Données projet'!$B$15,Paramètres!$A$1:$I$89,5,0)</f>
        <v>-1.3596945791505279E-13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392.62423122800357</v>
      </c>
      <c r="EP112" s="60">
        <f t="shared" si="100"/>
        <v>314.09619163968642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1.2693491654234093</v>
      </c>
      <c r="EX112" s="23">
        <f>EXP(-LN(2)/2)*EX111+(1-EXP(-LN(2)/2))/(LN(2)/2)*ER112*EU112*VLOOKUP('Données projet'!$B$15,Paramètres!$A$1:$I$89,3,0)*0.475*44/12</f>
        <v>2.2642545151252448E-11</v>
      </c>
      <c r="EY112" s="24">
        <f t="shared" si="75"/>
        <v>1.2693491654460518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>
        <f>FE112*VLOOKUP('Données projet'!$B$16,Paramètres!$A$1:$I$89,3,0)*VLOOKUP('Données projet'!$B$16,Paramètres!$A$1:$I$89,5,0)</f>
        <v>0</v>
      </c>
      <c r="FG112" s="14" t="e">
        <f t="shared" si="101"/>
        <v>#NUM!</v>
      </c>
      <c r="FH112" s="22" t="e">
        <f t="shared" si="76"/>
        <v>#NUM!</v>
      </c>
      <c r="FI112" s="60" t="e">
        <f t="shared" si="77"/>
        <v>#NUM!</v>
      </c>
      <c r="FJ112" s="60">
        <f ca="1">AVERAGE(OFFSET($FI$3,0,0,'Données projet'!$E$16+1,1))-AVERAGE(OFFSET($H$3,0,0,'Données projet'!$E$16+1,1))</f>
        <v>207.03241199974599</v>
      </c>
      <c r="FK112" s="60">
        <f t="shared" si="102"/>
        <v>314.188568589113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2.8242064406754088</v>
      </c>
      <c r="FR112" s="23">
        <f>EXP(-LN(2)/25)*FR111+(1-EXP(-LN(2)/25))/(LN(2)/25)*Calculateur!FM112*Calculateur!FO112*VLOOKUP('Données projet'!$B$16,Paramètres!$A$1:$I$89,3,0)*0.475*44/12</f>
        <v>1.0907462033754349</v>
      </c>
      <c r="FS112" s="23">
        <f>EXP(-LN(2)/2)*FS111+(1-EXP(-LN(2)/2))/(LN(2)/2)*FM112*FP112*VLOOKUP('Données projet'!$B$16,Paramètres!$A$1:$I$89,3,0)*0.475*44/12</f>
        <v>3.7614566382704748E-12</v>
      </c>
      <c r="FT112" s="24">
        <f t="shared" si="78"/>
        <v>3.9149526440546052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257.05128205128204</v>
      </c>
      <c r="L113" s="13">
        <f>VLOOKUP(A113,'Données projet'!$A$35:$I$55,9,0)</f>
        <v>3.0769230769230775</v>
      </c>
      <c r="M113" s="13">
        <f t="array" ref="M113">INDEX(L:L,MIN(IF(ISNUMBER(L113:L309),ROW(L113:L309),"")))</f>
        <v>3.0769230769230775</v>
      </c>
      <c r="N113" s="14">
        <f>IF('Données projet'!$A$36&gt;35,N112+M113-V112,IF(A113&lt;'Données projet'!$A$36,$K$205^A113,IF(A113='Données projet'!$A$36,'Données projet'!$B$36,N112+M113-V112)))</f>
        <v>257.05128205128193</v>
      </c>
      <c r="O113" s="14">
        <f>N113*VLOOKUP('Données projet'!$B$9,Paramètres!$A$1:$I$89,3,0)*VLOOKUP('Données projet'!$B$9,Paramètres!$A$1:$I$89,5,0)</f>
        <v>244.6099999999999</v>
      </c>
      <c r="P113" s="14">
        <f t="shared" si="87"/>
        <v>59.430293456197688</v>
      </c>
      <c r="Q113" s="22">
        <f t="shared" si="107"/>
        <v>529.5368444362108</v>
      </c>
      <c r="R113" s="60">
        <f t="shared" si="55"/>
        <v>822.87017776954417</v>
      </c>
      <c r="S113" s="60">
        <f ca="1">AVERAGE(OFFSET($R$3,0,0,'Données projet'!$E$9+1,1))-AVERAGE(OFFSET($H$3,0,0,'Données projet'!$E$9+1,1))</f>
        <v>353.61481736740694</v>
      </c>
      <c r="T113" s="60">
        <f t="shared" si="88"/>
        <v>244.7141066773861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33.333333333333336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294.99599999999958</v>
      </c>
      <c r="AK113" s="14">
        <f t="shared" si="89"/>
        <v>70.126408118585317</v>
      </c>
      <c r="AL113" s="22">
        <f t="shared" si="58"/>
        <v>635.92152747320199</v>
      </c>
      <c r="AM113" s="60">
        <f t="shared" si="59"/>
        <v>929.25486080653536</v>
      </c>
      <c r="AN113" s="60">
        <f ca="1">AVERAGE(OFFSET($AM$3,0,0,'Données projet'!$E$10+1,1))-AVERAGE(OFFSET($H$3,0,0,'Données projet'!$E$10+1,1))</f>
        <v>455.50822833641354</v>
      </c>
      <c r="AO113" s="60">
        <f t="shared" si="90"/>
        <v>261.14722581688039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318.7859999999996</v>
      </c>
      <c r="BF113" s="14">
        <f t="shared" si="91"/>
        <v>75.100701501983409</v>
      </c>
      <c r="BG113" s="22">
        <f t="shared" si="61"/>
        <v>686.01933844928715</v>
      </c>
      <c r="BH113" s="60">
        <f t="shared" si="62"/>
        <v>979.35267178262052</v>
      </c>
      <c r="BI113" s="60">
        <f ca="1">AVERAGE(OFFSET($BH$3,0,0,'Données projet'!$E$11+1,1))-AVERAGE(OFFSET($H$3,0,0,'Données projet'!$E$11+1,1))</f>
        <v>488.7825919901664</v>
      </c>
      <c r="BJ113" s="60">
        <f t="shared" si="92"/>
        <v>278.78817181412438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309.26999999999958</v>
      </c>
      <c r="CA113" s="14">
        <f t="shared" si="93"/>
        <v>73.116356204710968</v>
      </c>
      <c r="CB113" s="22">
        <f t="shared" si="64"/>
        <v>665.98957038987078</v>
      </c>
      <c r="CC113" s="60">
        <f t="shared" si="65"/>
        <v>959.32290372320404</v>
      </c>
      <c r="CD113" s="60">
        <f ca="1">AVERAGE(OFFSET($CC$3,0,0,'Données projet'!$E$12+1,1))-AVERAGE(OFFSET($H$3,0,0,'Données projet'!$E$12+1,1))</f>
        <v>475.47920969424894</v>
      </c>
      <c r="CE113" s="60">
        <f t="shared" si="94"/>
        <v>271.73544012419364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275.9639999999996</v>
      </c>
      <c r="CV113" s="14">
        <f t="shared" si="95"/>
        <v>66.113366665488797</v>
      </c>
      <c r="CW113" s="22">
        <f t="shared" si="67"/>
        <v>595.7847469423923</v>
      </c>
      <c r="CX113" s="60">
        <f t="shared" si="68"/>
        <v>889.11808027572556</v>
      </c>
      <c r="CY113" s="60">
        <f ca="1">AVERAGE(OFFSET($CX$3,0,0,'Données projet'!$E$13+1,1))-AVERAGE(OFFSET($H$3,0,0,'Données projet'!$E$13+1,1))</f>
        <v>428.8489304403459</v>
      </c>
      <c r="CZ113" s="60">
        <f t="shared" si="96"/>
        <v>247.01165577562966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328.30199999999957</v>
      </c>
      <c r="DQ113" s="14">
        <f t="shared" si="97"/>
        <v>77.078162824242781</v>
      </c>
      <c r="DR113" s="22">
        <f t="shared" si="70"/>
        <v>706.03711691888873</v>
      </c>
      <c r="DS113" s="60">
        <f t="shared" si="71"/>
        <v>999.3704502522221</v>
      </c>
      <c r="DT113" s="60">
        <f ca="1">AVERAGE(OFFSET($DS$3,0,0,'Données projet'!$E$14+1,1))-AVERAGE(OFFSET($H$3,0,0,'Données projet'!$E$14+1,1))</f>
        <v>502.07782026233912</v>
      </c>
      <c r="DU113" s="60">
        <f t="shared" si="98"/>
        <v>285.83623046025156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-2.2737367544323206E-13</v>
      </c>
      <c r="EK113" s="18">
        <f>EJ113*VLOOKUP('Données projet'!$B$15,Paramètres!$A$1:$I$89,3,0)*VLOOKUP('Données projet'!$B$15,Paramètres!$A$1:$I$89,5,0)</f>
        <v>-1.3596945791505279E-13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392.62423122800357</v>
      </c>
      <c r="EP113" s="60">
        <f t="shared" si="100"/>
        <v>314.09619163968642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1.2346387457427346</v>
      </c>
      <c r="EX113" s="23">
        <f>EXP(-LN(2)/2)*EX112+(1-EXP(-LN(2)/2))/(LN(2)/2)*ER113*EU113*VLOOKUP('Données projet'!$B$15,Paramètres!$A$1:$I$89,3,0)*0.475*44/12</f>
        <v>1.6010697219773187E-11</v>
      </c>
      <c r="EY113" s="24">
        <f t="shared" si="75"/>
        <v>1.2346387457587453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>
        <f>FE113*VLOOKUP('Données projet'!$B$16,Paramètres!$A$1:$I$89,3,0)*VLOOKUP('Données projet'!$B$16,Paramètres!$A$1:$I$89,5,0)</f>
        <v>0</v>
      </c>
      <c r="FG113" s="14" t="e">
        <f t="shared" si="101"/>
        <v>#NUM!</v>
      </c>
      <c r="FH113" s="22" t="e">
        <f t="shared" si="76"/>
        <v>#NUM!</v>
      </c>
      <c r="FI113" s="60" t="e">
        <f t="shared" si="77"/>
        <v>#NUM!</v>
      </c>
      <c r="FJ113" s="60">
        <f ca="1">AVERAGE(OFFSET($FI$3,0,0,'Données projet'!$E$16+1,1))-AVERAGE(OFFSET($H$3,0,0,'Données projet'!$E$16+1,1))</f>
        <v>207.03241199974599</v>
      </c>
      <c r="FK113" s="60">
        <f t="shared" si="102"/>
        <v>314.188568589113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2.7688254749696006</v>
      </c>
      <c r="FR113" s="23">
        <f>EXP(-LN(2)/25)*FR112+(1-EXP(-LN(2)/25))/(LN(2)/25)*Calculateur!FM113*Calculateur!FO113*VLOOKUP('Données projet'!$B$16,Paramètres!$A$1:$I$89,3,0)*0.475*44/12</f>
        <v>1.0609196910842837</v>
      </c>
      <c r="FS113" s="23">
        <f>EXP(-LN(2)/2)*FS112+(1-EXP(-LN(2)/2))/(LN(2)/2)*FM113*FP113*VLOOKUP('Données projet'!$B$16,Paramètres!$A$1:$I$89,3,0)*0.475*44/12</f>
        <v>2.6597514960602073E-12</v>
      </c>
      <c r="FT113" s="24">
        <f t="shared" si="78"/>
        <v>3.829745166056544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2.7564102564102568</v>
      </c>
      <c r="N114" s="14">
        <f>IF('Données projet'!$A$36&gt;35,N113+M114-V113,IF(A114&lt;'Données projet'!$A$36,$K$205^A114,IF(A114='Données projet'!$A$36,'Données projet'!$B$36,N113+M114-V113)))</f>
        <v>226.47435897435886</v>
      </c>
      <c r="O114" s="14">
        <f>N114*VLOOKUP('Données projet'!$B$9,Paramètres!$A$1:$I$89,3,0)*VLOOKUP('Données projet'!$B$9,Paramètres!$A$1:$I$89,5,0)</f>
        <v>215.51299999999989</v>
      </c>
      <c r="P114" s="14">
        <f t="shared" si="87"/>
        <v>53.138491948042898</v>
      </c>
      <c r="Q114" s="22">
        <f t="shared" si="107"/>
        <v>467.90134847617452</v>
      </c>
      <c r="R114" s="60">
        <f t="shared" si="55"/>
        <v>761.23468180950783</v>
      </c>
      <c r="S114" s="60">
        <f ca="1">AVERAGE(OFFSET($R$3,0,0,'Données projet'!$E$9+1,1))-AVERAGE(OFFSET($H$3,0,0,'Données projet'!$E$9+1,1))</f>
        <v>353.61481736740694</v>
      </c>
      <c r="T114" s="60">
        <f t="shared" si="88"/>
        <v>244.7141066773861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260.85383999999959</v>
      </c>
      <c r="AK114" s="14">
        <f t="shared" si="89"/>
        <v>62.904347395903649</v>
      </c>
      <c r="AL114" s="22">
        <f t="shared" si="58"/>
        <v>563.87884304786473</v>
      </c>
      <c r="AM114" s="60">
        <f t="shared" si="59"/>
        <v>857.21217638119811</v>
      </c>
      <c r="AN114" s="60">
        <f ca="1">AVERAGE(OFFSET($AM$3,0,0,'Données projet'!$E$10+1,1))-AVERAGE(OFFSET($H$3,0,0,'Données projet'!$E$10+1,1))</f>
        <v>455.50822833641354</v>
      </c>
      <c r="AO114" s="60">
        <f t="shared" si="90"/>
        <v>261.14722581688039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281.89043999999956</v>
      </c>
      <c r="BF114" s="14">
        <f t="shared" si="91"/>
        <v>67.366356608029406</v>
      </c>
      <c r="BG114" s="22">
        <f t="shared" si="61"/>
        <v>608.28892075898375</v>
      </c>
      <c r="BH114" s="60">
        <f t="shared" si="62"/>
        <v>901.62225409231701</v>
      </c>
      <c r="BI114" s="60">
        <f ca="1">AVERAGE(OFFSET($BH$3,0,0,'Données projet'!$E$11+1,1))-AVERAGE(OFFSET($H$3,0,0,'Données projet'!$E$11+1,1))</f>
        <v>488.7825919901664</v>
      </c>
      <c r="BJ114" s="60">
        <f t="shared" si="92"/>
        <v>278.78817181412438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273.47579999999959</v>
      </c>
      <c r="CA114" s="14">
        <f t="shared" si="93"/>
        <v>65.586371730977532</v>
      </c>
      <c r="CB114" s="22">
        <f t="shared" si="64"/>
        <v>590.53328243145177</v>
      </c>
      <c r="CC114" s="60">
        <f t="shared" si="65"/>
        <v>883.86661576478514</v>
      </c>
      <c r="CD114" s="60">
        <f ca="1">AVERAGE(OFFSET($CC$3,0,0,'Données projet'!$E$12+1,1))-AVERAGE(OFFSET($H$3,0,0,'Données projet'!$E$12+1,1))</f>
        <v>475.47920969424894</v>
      </c>
      <c r="CE114" s="60">
        <f t="shared" si="94"/>
        <v>271.73544012419364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244.02455999999964</v>
      </c>
      <c r="CV114" s="14">
        <f t="shared" si="95"/>
        <v>59.304594314969229</v>
      </c>
      <c r="CW114" s="22">
        <f t="shared" si="67"/>
        <v>528.29827709857079</v>
      </c>
      <c r="CX114" s="60">
        <f t="shared" si="68"/>
        <v>821.63161043190416</v>
      </c>
      <c r="CY114" s="60">
        <f ca="1">AVERAGE(OFFSET($CX$3,0,0,'Données projet'!$E$13+1,1))-AVERAGE(OFFSET($H$3,0,0,'Données projet'!$E$13+1,1))</f>
        <v>428.8489304403459</v>
      </c>
      <c r="CZ114" s="60">
        <f t="shared" si="96"/>
        <v>247.01165577562966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290.30507999999958</v>
      </c>
      <c r="DQ114" s="14">
        <f t="shared" si="97"/>
        <v>69.140166465323375</v>
      </c>
      <c r="DR114" s="22">
        <f t="shared" si="70"/>
        <v>626.03380426043748</v>
      </c>
      <c r="DS114" s="60">
        <f t="shared" si="71"/>
        <v>919.36713759377085</v>
      </c>
      <c r="DT114" s="60">
        <f ca="1">AVERAGE(OFFSET($DS$3,0,0,'Données projet'!$E$14+1,1))-AVERAGE(OFFSET($H$3,0,0,'Données projet'!$E$14+1,1))</f>
        <v>502.07782026233912</v>
      </c>
      <c r="DU114" s="60">
        <f t="shared" si="98"/>
        <v>285.83623046025156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-2.2737367544323206E-13</v>
      </c>
      <c r="EK114" s="18">
        <f>EJ114*VLOOKUP('Données projet'!$B$15,Paramètres!$A$1:$I$89,3,0)*VLOOKUP('Données projet'!$B$15,Paramètres!$A$1:$I$89,5,0)</f>
        <v>-1.3596945791505279E-13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392.62423122800357</v>
      </c>
      <c r="EP114" s="60">
        <f t="shared" si="100"/>
        <v>314.09619163968642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1.2008774843135697</v>
      </c>
      <c r="EX114" s="23">
        <f>EXP(-LN(2)/2)*EX113+(1-EXP(-LN(2)/2))/(LN(2)/2)*ER114*EU114*VLOOKUP('Données projet'!$B$15,Paramètres!$A$1:$I$89,3,0)*0.475*44/12</f>
        <v>1.1321272575626224E-11</v>
      </c>
      <c r="EY114" s="24">
        <f t="shared" si="75"/>
        <v>1.2008774843248908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>
        <f>FE114*VLOOKUP('Données projet'!$B$16,Paramètres!$A$1:$I$89,3,0)*VLOOKUP('Données projet'!$B$16,Paramètres!$A$1:$I$89,5,0)</f>
        <v>0</v>
      </c>
      <c r="FG114" s="14" t="e">
        <f t="shared" si="101"/>
        <v>#NUM!</v>
      </c>
      <c r="FH114" s="22" t="e">
        <f t="shared" si="76"/>
        <v>#NUM!</v>
      </c>
      <c r="FI114" s="60" t="e">
        <f t="shared" si="77"/>
        <v>#NUM!</v>
      </c>
      <c r="FJ114" s="60">
        <f ca="1">AVERAGE(OFFSET($FI$3,0,0,'Données projet'!$E$16+1,1))-AVERAGE(OFFSET($H$3,0,0,'Données projet'!$E$16+1,1))</f>
        <v>207.03241199974599</v>
      </c>
      <c r="FK114" s="60">
        <f t="shared" si="102"/>
        <v>314.188568589113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2.7145304962222299</v>
      </c>
      <c r="FR114" s="23">
        <f>EXP(-LN(2)/25)*FR113+(1-EXP(-LN(2)/25))/(LN(2)/25)*Calculateur!FM114*Calculateur!FO114*VLOOKUP('Données projet'!$B$16,Paramètres!$A$1:$I$89,3,0)*0.475*44/12</f>
        <v>1.0319087863402423</v>
      </c>
      <c r="FS114" s="23">
        <f>EXP(-LN(2)/2)*FS113+(1-EXP(-LN(2)/2))/(LN(2)/2)*FM114*FP114*VLOOKUP('Données projet'!$B$16,Paramètres!$A$1:$I$89,3,0)*0.475*44/12</f>
        <v>1.8807283191352374E-12</v>
      </c>
      <c r="FT114" s="24">
        <f t="shared" si="78"/>
        <v>3.7464392825643529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2.7564102564102568</v>
      </c>
      <c r="N115" s="14">
        <f>IF('Données projet'!$A$36&gt;35,N114+M115-V114,IF(A115&lt;'Données projet'!$A$36,$K$205^A115,IF(A115='Données projet'!$A$36,'Données projet'!$B$36,N114+M115-V114)))</f>
        <v>229.23076923076911</v>
      </c>
      <c r="O115" s="14">
        <f>N115*VLOOKUP('Données projet'!$B$9,Paramètres!$A$1:$I$89,3,0)*VLOOKUP('Données projet'!$B$9,Paramètres!$A$1:$I$89,5,0)</f>
        <v>218.13599999999991</v>
      </c>
      <c r="P115" s="14">
        <f t="shared" si="87"/>
        <v>53.709554122184592</v>
      </c>
      <c r="Q115" s="22">
        <f t="shared" si="107"/>
        <v>473.46434009613796</v>
      </c>
      <c r="R115" s="60">
        <f t="shared" si="55"/>
        <v>766.79767342947127</v>
      </c>
      <c r="S115" s="60">
        <f ca="1">AVERAGE(OFFSET($R$3,0,0,'Données projet'!$E$9+1,1))-AVERAGE(OFFSET($H$3,0,0,'Données projet'!$E$9+1,1))</f>
        <v>353.61481736740694</v>
      </c>
      <c r="T115" s="60">
        <f t="shared" si="88"/>
        <v>244.7141066773861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264.4324799999996</v>
      </c>
      <c r="AK115" s="14">
        <f t="shared" si="89"/>
        <v>63.666272015882292</v>
      </c>
      <c r="AL115" s="22">
        <f t="shared" si="58"/>
        <v>571.43865976099426</v>
      </c>
      <c r="AM115" s="60">
        <f t="shared" si="59"/>
        <v>864.77199309432763</v>
      </c>
      <c r="AN115" s="60">
        <f ca="1">AVERAGE(OFFSET($AM$3,0,0,'Données projet'!$E$10+1,1))-AVERAGE(OFFSET($H$3,0,0,'Données projet'!$E$10+1,1))</f>
        <v>455.50822833641354</v>
      </c>
      <c r="AO115" s="60">
        <f t="shared" si="90"/>
        <v>261.14722581688039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285.7576799999996</v>
      </c>
      <c r="BF115" s="14">
        <f t="shared" si="91"/>
        <v>68.18232701043847</v>
      </c>
      <c r="BG115" s="22">
        <f t="shared" si="61"/>
        <v>616.44551220984624</v>
      </c>
      <c r="BH115" s="60">
        <f t="shared" si="62"/>
        <v>909.77884554317961</v>
      </c>
      <c r="BI115" s="60">
        <f ca="1">AVERAGE(OFFSET($BH$3,0,0,'Données projet'!$E$11+1,1))-AVERAGE(OFFSET($H$3,0,0,'Données projet'!$E$11+1,1))</f>
        <v>488.7825919901664</v>
      </c>
      <c r="BJ115" s="60">
        <f t="shared" si="92"/>
        <v>278.78817181412438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277.2275999999996</v>
      </c>
      <c r="CA115" s="14">
        <f t="shared" si="93"/>
        <v>66.380782187895392</v>
      </c>
      <c r="CB115" s="22">
        <f t="shared" si="64"/>
        <v>598.45126564391705</v>
      </c>
      <c r="CC115" s="60">
        <f t="shared" si="65"/>
        <v>891.78459897725043</v>
      </c>
      <c r="CD115" s="60">
        <f ca="1">AVERAGE(OFFSET($CC$3,0,0,'Données projet'!$E$12+1,1))-AVERAGE(OFFSET($H$3,0,0,'Données projet'!$E$12+1,1))</f>
        <v>475.47920969424894</v>
      </c>
      <c r="CE115" s="60">
        <f t="shared" si="94"/>
        <v>271.73544012419364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247.3723199999996</v>
      </c>
      <c r="CV115" s="14">
        <f t="shared" si="95"/>
        <v>60.022917171130942</v>
      </c>
      <c r="CW115" s="22">
        <f t="shared" si="67"/>
        <v>535.38003807305233</v>
      </c>
      <c r="CX115" s="60">
        <f t="shared" si="68"/>
        <v>828.7133714063857</v>
      </c>
      <c r="CY115" s="60">
        <f ca="1">AVERAGE(OFFSET($CX$3,0,0,'Données projet'!$E$13+1,1))-AVERAGE(OFFSET($H$3,0,0,'Données projet'!$E$13+1,1))</f>
        <v>428.8489304403459</v>
      </c>
      <c r="CZ115" s="60">
        <f t="shared" si="96"/>
        <v>247.01165577562966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294.28775999999954</v>
      </c>
      <c r="DQ115" s="14">
        <f t="shared" si="97"/>
        <v>69.977622018717668</v>
      </c>
      <c r="DR115" s="22">
        <f t="shared" si="70"/>
        <v>634.42887368259915</v>
      </c>
      <c r="DS115" s="60">
        <f t="shared" si="71"/>
        <v>927.76220701593252</v>
      </c>
      <c r="DT115" s="60">
        <f ca="1">AVERAGE(OFFSET($DS$3,0,0,'Données projet'!$E$14+1,1))-AVERAGE(OFFSET($H$3,0,0,'Données projet'!$E$14+1,1))</f>
        <v>502.07782026233912</v>
      </c>
      <c r="DU115" s="60">
        <f t="shared" si="98"/>
        <v>285.83623046025156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-2.2737367544323206E-13</v>
      </c>
      <c r="EK115" s="18">
        <f>EJ115*VLOOKUP('Données projet'!$B$15,Paramètres!$A$1:$I$89,3,0)*VLOOKUP('Données projet'!$B$15,Paramètres!$A$1:$I$89,5,0)</f>
        <v>-1.3596945791505279E-13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392.62423122800357</v>
      </c>
      <c r="EP115" s="60">
        <f t="shared" si="100"/>
        <v>314.09619163968642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1.1680394263536129</v>
      </c>
      <c r="EX115" s="23">
        <f>EXP(-LN(2)/2)*EX114+(1-EXP(-LN(2)/2))/(LN(2)/2)*ER115*EU115*VLOOKUP('Données projet'!$B$15,Paramètres!$A$1:$I$89,3,0)*0.475*44/12</f>
        <v>8.0053486098865936E-12</v>
      </c>
      <c r="EY115" s="24">
        <f t="shared" si="75"/>
        <v>1.1680394263616183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>
        <f>FE115*VLOOKUP('Données projet'!$B$16,Paramètres!$A$1:$I$89,3,0)*VLOOKUP('Données projet'!$B$16,Paramètres!$A$1:$I$89,5,0)</f>
        <v>0</v>
      </c>
      <c r="FG115" s="14" t="e">
        <f t="shared" si="101"/>
        <v>#NUM!</v>
      </c>
      <c r="FH115" s="22" t="e">
        <f t="shared" si="76"/>
        <v>#NUM!</v>
      </c>
      <c r="FI115" s="60" t="e">
        <f t="shared" si="77"/>
        <v>#NUM!</v>
      </c>
      <c r="FJ115" s="60">
        <f ca="1">AVERAGE(OFFSET($FI$3,0,0,'Données projet'!$E$16+1,1))-AVERAGE(OFFSET($H$3,0,0,'Données projet'!$E$16+1,1))</f>
        <v>207.03241199974599</v>
      </c>
      <c r="FK115" s="60">
        <f t="shared" si="102"/>
        <v>314.188568589113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2.6613002088914279</v>
      </c>
      <c r="FR115" s="23">
        <f>EXP(-LN(2)/25)*FR114+(1-EXP(-LN(2)/25))/(LN(2)/25)*Calculateur!FM115*Calculateur!FO115*VLOOKUP('Données projet'!$B$16,Paramètres!$A$1:$I$89,3,0)*0.475*44/12</f>
        <v>1.0036911863120437</v>
      </c>
      <c r="FS115" s="23">
        <f>EXP(-LN(2)/2)*FS114+(1-EXP(-LN(2)/2))/(LN(2)/2)*FM115*FP115*VLOOKUP('Données projet'!$B$16,Paramètres!$A$1:$I$89,3,0)*0.475*44/12</f>
        <v>1.3298757480301037E-12</v>
      </c>
      <c r="FT115" s="24">
        <f t="shared" si="78"/>
        <v>3.6649913952048014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2.7564102564102568</v>
      </c>
      <c r="N116" s="14">
        <f>IF('Données projet'!$A$36&gt;35,N115+M116-V115,IF(A116&lt;'Données projet'!$A$36,$K$205^A116,IF(A116='Données projet'!$A$36,'Données projet'!$B$36,N115+M116-V115)))</f>
        <v>231.98717948717936</v>
      </c>
      <c r="O116" s="14">
        <f>N116*VLOOKUP('Données projet'!$B$9,Paramètres!$A$1:$I$89,3,0)*VLOOKUP('Données projet'!$B$9,Paramètres!$A$1:$I$89,5,0)</f>
        <v>220.75899999999987</v>
      </c>
      <c r="P116" s="14">
        <f t="shared" si="87"/>
        <v>54.279817539670319</v>
      </c>
      <c r="Q116" s="22">
        <f t="shared" si="107"/>
        <v>479.02594054825886</v>
      </c>
      <c r="R116" s="60">
        <f t="shared" si="55"/>
        <v>772.35927388159212</v>
      </c>
      <c r="S116" s="60">
        <f ca="1">AVERAGE(OFFSET($R$3,0,0,'Données projet'!$E$9+1,1))-AVERAGE(OFFSET($H$3,0,0,'Données projet'!$E$9+1,1))</f>
        <v>353.61481736740694</v>
      </c>
      <c r="T116" s="60">
        <f t="shared" si="88"/>
        <v>244.7141066773861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268.01111999999961</v>
      </c>
      <c r="AK116" s="14">
        <f t="shared" si="89"/>
        <v>64.426997301716796</v>
      </c>
      <c r="AL116" s="22">
        <f t="shared" si="58"/>
        <v>578.99638763382268</v>
      </c>
      <c r="AM116" s="60">
        <f t="shared" si="59"/>
        <v>872.32972096715594</v>
      </c>
      <c r="AN116" s="60">
        <f ca="1">AVERAGE(OFFSET($AM$3,0,0,'Données projet'!$E$10+1,1))-AVERAGE(OFFSET($H$3,0,0,'Données projet'!$E$10+1,1))</f>
        <v>455.50822833641354</v>
      </c>
      <c r="AO116" s="60">
        <f t="shared" si="90"/>
        <v>261.14722581688039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289.62491999999958</v>
      </c>
      <c r="BF116" s="14">
        <f t="shared" si="91"/>
        <v>68.997013006046032</v>
      </c>
      <c r="BG116" s="22">
        <f t="shared" si="61"/>
        <v>624.59986665219606</v>
      </c>
      <c r="BH116" s="60">
        <f t="shared" si="62"/>
        <v>917.93319998552943</v>
      </c>
      <c r="BI116" s="60">
        <f ca="1">AVERAGE(OFFSET($BH$3,0,0,'Données projet'!$E$11+1,1))-AVERAGE(OFFSET($H$3,0,0,'Données projet'!$E$11+1,1))</f>
        <v>488.7825919901664</v>
      </c>
      <c r="BJ116" s="60">
        <f t="shared" si="92"/>
        <v>278.78817181412438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280.9793999999996</v>
      </c>
      <c r="CA116" s="14">
        <f t="shared" si="93"/>
        <v>67.173942175199358</v>
      </c>
      <c r="CB116" s="22">
        <f t="shared" si="64"/>
        <v>606.36707095513827</v>
      </c>
      <c r="CC116" s="60">
        <f t="shared" si="65"/>
        <v>899.70040428847165</v>
      </c>
      <c r="CD116" s="60">
        <f ca="1">AVERAGE(OFFSET($CC$3,0,0,'Données projet'!$E$12+1,1))-AVERAGE(OFFSET($H$3,0,0,'Données projet'!$E$12+1,1))</f>
        <v>475.47920969424894</v>
      </c>
      <c r="CE116" s="60">
        <f t="shared" si="94"/>
        <v>271.73544012419364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250.7200799999996</v>
      </c>
      <c r="CV116" s="14">
        <f t="shared" si="95"/>
        <v>60.740109326032709</v>
      </c>
      <c r="CW116" s="22">
        <f t="shared" si="67"/>
        <v>542.45982974283959</v>
      </c>
      <c r="CX116" s="60">
        <f t="shared" si="68"/>
        <v>835.79316307617296</v>
      </c>
      <c r="CY116" s="60">
        <f ca="1">AVERAGE(OFFSET($CX$3,0,0,'Données projet'!$E$13+1,1))-AVERAGE(OFFSET($H$3,0,0,'Données projet'!$E$13+1,1))</f>
        <v>428.8489304403459</v>
      </c>
      <c r="CZ116" s="60">
        <f t="shared" si="96"/>
        <v>247.01165577562966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298.27043999999955</v>
      </c>
      <c r="DQ116" s="14">
        <f t="shared" si="97"/>
        <v>70.813759345855914</v>
      </c>
      <c r="DR116" s="22">
        <f t="shared" si="70"/>
        <v>642.82164719403158</v>
      </c>
      <c r="DS116" s="60">
        <f t="shared" si="71"/>
        <v>936.15498052736484</v>
      </c>
      <c r="DT116" s="60">
        <f ca="1">AVERAGE(OFFSET($DS$3,0,0,'Données projet'!$E$14+1,1))-AVERAGE(OFFSET($H$3,0,0,'Données projet'!$E$14+1,1))</f>
        <v>502.07782026233912</v>
      </c>
      <c r="DU116" s="60">
        <f t="shared" si="98"/>
        <v>285.83623046025156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-2.2737367544323206E-13</v>
      </c>
      <c r="EK116" s="18">
        <f>EJ116*VLOOKUP('Données projet'!$B$15,Paramètres!$A$1:$I$89,3,0)*VLOOKUP('Données projet'!$B$15,Paramètres!$A$1:$I$89,5,0)</f>
        <v>-1.3596945791505279E-13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392.62423122800357</v>
      </c>
      <c r="EP116" s="60">
        <f t="shared" si="100"/>
        <v>314.09619163968642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1.1360993268154496</v>
      </c>
      <c r="EX116" s="23">
        <f>EXP(-LN(2)/2)*EX115+(1-EXP(-LN(2)/2))/(LN(2)/2)*ER116*EU116*VLOOKUP('Données projet'!$B$15,Paramètres!$A$1:$I$89,3,0)*0.475*44/12</f>
        <v>5.660636287813112E-12</v>
      </c>
      <c r="EY116" s="24">
        <f t="shared" si="75"/>
        <v>1.1360993268211101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>
        <f>FE116*VLOOKUP('Données projet'!$B$16,Paramètres!$A$1:$I$89,3,0)*VLOOKUP('Données projet'!$B$16,Paramètres!$A$1:$I$89,5,0)</f>
        <v>0</v>
      </c>
      <c r="FG116" s="14" t="e">
        <f t="shared" si="101"/>
        <v>#NUM!</v>
      </c>
      <c r="FH116" s="22" t="e">
        <f t="shared" si="76"/>
        <v>#NUM!</v>
      </c>
      <c r="FI116" s="60" t="e">
        <f t="shared" si="77"/>
        <v>#NUM!</v>
      </c>
      <c r="FJ116" s="60">
        <f ca="1">AVERAGE(OFFSET($FI$3,0,0,'Données projet'!$E$16+1,1))-AVERAGE(OFFSET($H$3,0,0,'Données projet'!$E$16+1,1))</f>
        <v>207.03241199974599</v>
      </c>
      <c r="FK116" s="60">
        <f t="shared" si="102"/>
        <v>314.188568589113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2.6091137350279134</v>
      </c>
      <c r="FR116" s="23">
        <f>EXP(-LN(2)/25)*FR115+(1-EXP(-LN(2)/25))/(LN(2)/25)*Calculateur!FM116*Calculateur!FO116*VLOOKUP('Données projet'!$B$16,Paramètres!$A$1:$I$89,3,0)*0.475*44/12</f>
        <v>0.97624519804051535</v>
      </c>
      <c r="FS116" s="23">
        <f>EXP(-LN(2)/2)*FS115+(1-EXP(-LN(2)/2))/(LN(2)/2)*FM116*FP116*VLOOKUP('Données projet'!$B$16,Paramètres!$A$1:$I$89,3,0)*0.475*44/12</f>
        <v>9.403641595676187E-13</v>
      </c>
      <c r="FT116" s="24">
        <f t="shared" si="78"/>
        <v>3.5853589330693696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2.7564102564102568</v>
      </c>
      <c r="N117" s="14">
        <f>IF('Données projet'!$A$36&gt;35,N116+M117-V116,IF(A117&lt;'Données projet'!$A$36,$K$205^A117,IF(A117='Données projet'!$A$36,'Données projet'!$B$36,N116+M117-V116)))</f>
        <v>234.74358974358961</v>
      </c>
      <c r="O117" s="14">
        <f>N117*VLOOKUP('Données projet'!$B$9,Paramètres!$A$1:$I$89,3,0)*VLOOKUP('Données projet'!$B$9,Paramètres!$A$1:$I$89,5,0)</f>
        <v>223.38199999999986</v>
      </c>
      <c r="P117" s="14">
        <f t="shared" si="87"/>
        <v>54.849292789000252</v>
      </c>
      <c r="Q117" s="22">
        <f t="shared" si="107"/>
        <v>484.58616827417518</v>
      </c>
      <c r="R117" s="60">
        <f t="shared" si="55"/>
        <v>777.91950160750844</v>
      </c>
      <c r="S117" s="60">
        <f ca="1">AVERAGE(OFFSET($R$3,0,0,'Données projet'!$E$9+1,1))-AVERAGE(OFFSET($H$3,0,0,'Données projet'!$E$9+1,1))</f>
        <v>353.61481736740694</v>
      </c>
      <c r="T117" s="60">
        <f t="shared" si="88"/>
        <v>244.7141066773861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271.58975999999956</v>
      </c>
      <c r="AK117" s="14">
        <f t="shared" si="89"/>
        <v>65.186541118848012</v>
      </c>
      <c r="AL117" s="22">
        <f t="shared" si="58"/>
        <v>586.55205778199286</v>
      </c>
      <c r="AM117" s="60">
        <f t="shared" si="59"/>
        <v>879.88539111532623</v>
      </c>
      <c r="AN117" s="60">
        <f ca="1">AVERAGE(OFFSET($AM$3,0,0,'Données projet'!$E$10+1,1))-AVERAGE(OFFSET($H$3,0,0,'Données projet'!$E$10+1,1))</f>
        <v>455.50822833641354</v>
      </c>
      <c r="AO117" s="60">
        <f t="shared" si="90"/>
        <v>261.14722581688039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293.49215999999956</v>
      </c>
      <c r="BF117" s="14">
        <f t="shared" si="91"/>
        <v>69.810433727546396</v>
      </c>
      <c r="BG117" s="22">
        <f t="shared" si="61"/>
        <v>632.75201740880914</v>
      </c>
      <c r="BH117" s="60">
        <f t="shared" si="62"/>
        <v>926.08535074214251</v>
      </c>
      <c r="BI117" s="60">
        <f ca="1">AVERAGE(OFFSET($BH$3,0,0,'Données projet'!$E$11+1,1))-AVERAGE(OFFSET($H$3,0,0,'Données projet'!$E$11+1,1))</f>
        <v>488.7825919901664</v>
      </c>
      <c r="BJ117" s="60">
        <f t="shared" si="92"/>
        <v>278.78817181412438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284.7311999999996</v>
      </c>
      <c r="CA117" s="14">
        <f t="shared" si="93"/>
        <v>67.965870320050882</v>
      </c>
      <c r="CB117" s="22">
        <f t="shared" si="64"/>
        <v>614.28073080742126</v>
      </c>
      <c r="CC117" s="60">
        <f t="shared" si="65"/>
        <v>907.61406414075464</v>
      </c>
      <c r="CD117" s="60">
        <f ca="1">AVERAGE(OFFSET($CC$3,0,0,'Données projet'!$E$12+1,1))-AVERAGE(OFFSET($H$3,0,0,'Données projet'!$E$12+1,1))</f>
        <v>475.47920969424894</v>
      </c>
      <c r="CE117" s="60">
        <f t="shared" si="94"/>
        <v>271.73544012419364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254.06783999999956</v>
      </c>
      <c r="CV117" s="14">
        <f t="shared" si="95"/>
        <v>61.456187622750669</v>
      </c>
      <c r="CW117" s="22">
        <f t="shared" si="67"/>
        <v>549.53768144295657</v>
      </c>
      <c r="CX117" s="60">
        <f t="shared" si="68"/>
        <v>842.87101477628994</v>
      </c>
      <c r="CY117" s="60">
        <f ca="1">AVERAGE(OFFSET($CX$3,0,0,'Données projet'!$E$13+1,1))-AVERAGE(OFFSET($H$3,0,0,'Données projet'!$E$13+1,1))</f>
        <v>428.8489304403459</v>
      </c>
      <c r="CZ117" s="60">
        <f t="shared" si="96"/>
        <v>247.01165577562966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302.25311999999951</v>
      </c>
      <c r="DQ117" s="14">
        <f t="shared" si="97"/>
        <v>71.648598083211283</v>
      </c>
      <c r="DR117" s="22">
        <f t="shared" si="70"/>
        <v>651.21215899492529</v>
      </c>
      <c r="DS117" s="60">
        <f t="shared" si="71"/>
        <v>944.54549232825866</v>
      </c>
      <c r="DT117" s="60">
        <f ca="1">AVERAGE(OFFSET($DS$3,0,0,'Données projet'!$E$14+1,1))-AVERAGE(OFFSET($H$3,0,0,'Données projet'!$E$14+1,1))</f>
        <v>502.07782026233912</v>
      </c>
      <c r="DU117" s="60">
        <f t="shared" si="98"/>
        <v>285.83623046025156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-2.2737367544323206E-13</v>
      </c>
      <c r="EK117" s="18">
        <f>EJ117*VLOOKUP('Données projet'!$B$15,Paramètres!$A$1:$I$89,3,0)*VLOOKUP('Données projet'!$B$15,Paramètres!$A$1:$I$89,5,0)</f>
        <v>-1.3596945791505279E-13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392.62423122800357</v>
      </c>
      <c r="EP117" s="60">
        <f t="shared" si="100"/>
        <v>314.09619163968642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1.1050326309788141</v>
      </c>
      <c r="EX117" s="23">
        <f>EXP(-LN(2)/2)*EX116+(1-EXP(-LN(2)/2))/(LN(2)/2)*ER117*EU117*VLOOKUP('Données projet'!$B$15,Paramètres!$A$1:$I$89,3,0)*0.475*44/12</f>
        <v>4.0026743049432968E-12</v>
      </c>
      <c r="EY117" s="24">
        <f t="shared" si="75"/>
        <v>1.1050326309828167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>
        <f>FE117*VLOOKUP('Données projet'!$B$16,Paramètres!$A$1:$I$89,3,0)*VLOOKUP('Données projet'!$B$16,Paramètres!$A$1:$I$89,5,0)</f>
        <v>0</v>
      </c>
      <c r="FG117" s="14" t="e">
        <f t="shared" si="101"/>
        <v>#NUM!</v>
      </c>
      <c r="FH117" s="22" t="e">
        <f t="shared" si="76"/>
        <v>#NUM!</v>
      </c>
      <c r="FI117" s="60" t="e">
        <f t="shared" si="77"/>
        <v>#NUM!</v>
      </c>
      <c r="FJ117" s="60">
        <f ca="1">AVERAGE(OFFSET($FI$3,0,0,'Données projet'!$E$16+1,1))-AVERAGE(OFFSET($H$3,0,0,'Données projet'!$E$16+1,1))</f>
        <v>207.03241199974599</v>
      </c>
      <c r="FK117" s="60">
        <f t="shared" si="102"/>
        <v>314.188568589113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2.5579506060862567</v>
      </c>
      <c r="FR117" s="23">
        <f>EXP(-LN(2)/25)*FR116+(1-EXP(-LN(2)/25))/(LN(2)/25)*Calculateur!FM117*Calculateur!FO117*VLOOKUP('Données projet'!$B$16,Paramètres!$A$1:$I$89,3,0)*0.475*44/12</f>
        <v>0.94954972176159369</v>
      </c>
      <c r="FS117" s="23">
        <f>EXP(-LN(2)/2)*FS116+(1-EXP(-LN(2)/2))/(LN(2)/2)*FM117*FP117*VLOOKUP('Données projet'!$B$16,Paramètres!$A$1:$I$89,3,0)*0.475*44/12</f>
        <v>6.6493787401505183E-13</v>
      </c>
      <c r="FT117" s="24">
        <f t="shared" si="78"/>
        <v>3.5075003278485153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2.7564102564102568</v>
      </c>
      <c r="N118" s="14">
        <f>IF('Données projet'!$A$36&gt;35,N117+M118-V117,IF(A118&lt;'Données projet'!$A$36,$K$205^A118,IF(A118='Données projet'!$A$36,'Données projet'!$B$36,N117+M118-V117)))</f>
        <v>237.49999999999986</v>
      </c>
      <c r="O118" s="14">
        <f>N118*VLOOKUP('Données projet'!$B$9,Paramètres!$A$1:$I$89,3,0)*VLOOKUP('Données projet'!$B$9,Paramètres!$A$1:$I$89,5,0)</f>
        <v>226.00499999999988</v>
      </c>
      <c r="P118" s="14">
        <f t="shared" si="87"/>
        <v>55.417990195699112</v>
      </c>
      <c r="Q118" s="22">
        <f t="shared" si="107"/>
        <v>490.14504125750909</v>
      </c>
      <c r="R118" s="60">
        <f t="shared" si="55"/>
        <v>783.47837459084235</v>
      </c>
      <c r="S118" s="60">
        <f ca="1">AVERAGE(OFFSET($R$3,0,0,'Données projet'!$E$9+1,1))-AVERAGE(OFFSET($H$3,0,0,'Données projet'!$E$9+1,1))</f>
        <v>353.61481736740694</v>
      </c>
      <c r="T118" s="60">
        <f t="shared" si="88"/>
        <v>244.7141066773861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275.16839999999956</v>
      </c>
      <c r="AK118" s="14">
        <f t="shared" si="89"/>
        <v>65.944920834841554</v>
      </c>
      <c r="AL118" s="22">
        <f t="shared" si="58"/>
        <v>594.10570045401494</v>
      </c>
      <c r="AM118" s="60">
        <f t="shared" si="59"/>
        <v>887.43903378734831</v>
      </c>
      <c r="AN118" s="60">
        <f ca="1">AVERAGE(OFFSET($AM$3,0,0,'Données projet'!$E$10+1,1))-AVERAGE(OFFSET($H$3,0,0,'Données projet'!$E$10+1,1))</f>
        <v>455.50822833641354</v>
      </c>
      <c r="AO118" s="60">
        <f t="shared" si="90"/>
        <v>261.14722581688039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297.35939999999954</v>
      </c>
      <c r="BF118" s="14">
        <f t="shared" si="91"/>
        <v>70.622607774442869</v>
      </c>
      <c r="BG118" s="22">
        <f t="shared" si="61"/>
        <v>640.90199687382051</v>
      </c>
      <c r="BH118" s="60">
        <f t="shared" si="62"/>
        <v>934.23533020715377</v>
      </c>
      <c r="BI118" s="60">
        <f ca="1">AVERAGE(OFFSET($BH$3,0,0,'Données projet'!$E$11+1,1))-AVERAGE(OFFSET($H$3,0,0,'Données projet'!$E$11+1,1))</f>
        <v>488.7825919901664</v>
      </c>
      <c r="BJ118" s="60">
        <f t="shared" si="92"/>
        <v>278.78817181412438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288.48299999999955</v>
      </c>
      <c r="CA118" s="14">
        <f t="shared" si="93"/>
        <v>68.756584730508635</v>
      </c>
      <c r="CB118" s="22">
        <f t="shared" si="64"/>
        <v>622.19227673896842</v>
      </c>
      <c r="CC118" s="60">
        <f t="shared" si="65"/>
        <v>915.52561007230179</v>
      </c>
      <c r="CD118" s="60">
        <f ca="1">AVERAGE(OFFSET($CC$3,0,0,'Données projet'!$E$12+1,1))-AVERAGE(OFFSET($H$3,0,0,'Données projet'!$E$12+1,1))</f>
        <v>475.47920969424894</v>
      </c>
      <c r="CE118" s="60">
        <f t="shared" si="94"/>
        <v>271.73544012419364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257.41559999999959</v>
      </c>
      <c r="CV118" s="14">
        <f t="shared" si="95"/>
        <v>62.171168434977062</v>
      </c>
      <c r="CW118" s="22">
        <f t="shared" si="67"/>
        <v>556.61362169091774</v>
      </c>
      <c r="CX118" s="60">
        <f t="shared" si="68"/>
        <v>849.94695502425111</v>
      </c>
      <c r="CY118" s="60">
        <f ca="1">AVERAGE(OFFSET($CX$3,0,0,'Données projet'!$E$13+1,1))-AVERAGE(OFFSET($H$3,0,0,'Données projet'!$E$13+1,1))</f>
        <v>428.8489304403459</v>
      </c>
      <c r="CZ118" s="60">
        <f t="shared" si="96"/>
        <v>247.01165577562966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306.23579999999947</v>
      </c>
      <c r="DQ118" s="14">
        <f t="shared" si="97"/>
        <v>72.482157320026886</v>
      </c>
      <c r="DR118" s="22">
        <f t="shared" si="70"/>
        <v>659.6004423323792</v>
      </c>
      <c r="DS118" s="60">
        <f t="shared" si="71"/>
        <v>952.93377566571257</v>
      </c>
      <c r="DT118" s="60">
        <f ca="1">AVERAGE(OFFSET($DS$3,0,0,'Données projet'!$E$14+1,1))-AVERAGE(OFFSET($H$3,0,0,'Données projet'!$E$14+1,1))</f>
        <v>502.07782026233912</v>
      </c>
      <c r="DU118" s="60">
        <f t="shared" si="98"/>
        <v>285.83623046025156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-2.2737367544323206E-13</v>
      </c>
      <c r="EK118" s="18">
        <f>EJ118*VLOOKUP('Données projet'!$B$15,Paramètres!$A$1:$I$89,3,0)*VLOOKUP('Données projet'!$B$15,Paramètres!$A$1:$I$89,5,0)</f>
        <v>-1.3596945791505279E-13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392.62423122800357</v>
      </c>
      <c r="EP118" s="60">
        <f t="shared" si="100"/>
        <v>314.09619163968642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1.0748154555735578</v>
      </c>
      <c r="EX118" s="23">
        <f>EXP(-LN(2)/2)*EX117+(1-EXP(-LN(2)/2))/(LN(2)/2)*ER118*EU118*VLOOKUP('Données projet'!$B$15,Paramètres!$A$1:$I$89,3,0)*0.475*44/12</f>
        <v>2.830318143906556E-12</v>
      </c>
      <c r="EY118" s="24">
        <f t="shared" si="75"/>
        <v>1.0748154555763882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>
        <f>FE118*VLOOKUP('Données projet'!$B$16,Paramètres!$A$1:$I$89,3,0)*VLOOKUP('Données projet'!$B$16,Paramètres!$A$1:$I$89,5,0)</f>
        <v>0</v>
      </c>
      <c r="FG118" s="14" t="e">
        <f t="shared" si="101"/>
        <v>#NUM!</v>
      </c>
      <c r="FH118" s="22" t="e">
        <f t="shared" si="76"/>
        <v>#NUM!</v>
      </c>
      <c r="FI118" s="60" t="e">
        <f t="shared" si="77"/>
        <v>#NUM!</v>
      </c>
      <c r="FJ118" s="60">
        <f ca="1">AVERAGE(OFFSET($FI$3,0,0,'Données projet'!$E$16+1,1))-AVERAGE(OFFSET($H$3,0,0,'Données projet'!$E$16+1,1))</f>
        <v>207.03241199974599</v>
      </c>
      <c r="FK118" s="60">
        <f t="shared" si="102"/>
        <v>314.188568589113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2.5077907548967184</v>
      </c>
      <c r="FR118" s="23">
        <f>EXP(-LN(2)/25)*FR117+(1-EXP(-LN(2)/25))/(LN(2)/25)*Calculateur!FM118*Calculateur!FO118*VLOOKUP('Données projet'!$B$16,Paramètres!$A$1:$I$89,3,0)*0.475*44/12</f>
        <v>0.92358423468537332</v>
      </c>
      <c r="FS118" s="23">
        <f>EXP(-LN(2)/2)*FS117+(1-EXP(-LN(2)/2))/(LN(2)/2)*FM118*FP118*VLOOKUP('Données projet'!$B$16,Paramètres!$A$1:$I$89,3,0)*0.475*44/12</f>
        <v>4.7018207978380935E-13</v>
      </c>
      <c r="FT118" s="24">
        <f t="shared" si="78"/>
        <v>3.431374989582562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2.7564102564102568</v>
      </c>
      <c r="N119" s="14">
        <f>IF('Données projet'!$A$36&gt;35,N118+M119-V118,IF(A119&lt;'Données projet'!$A$36,$K$205^A119,IF(A119='Données projet'!$A$36,'Données projet'!$B$36,N118+M119-V118)))</f>
        <v>240.25641025641011</v>
      </c>
      <c r="O119" s="14">
        <f>N119*VLOOKUP('Données projet'!$B$9,Paramètres!$A$1:$I$89,3,0)*VLOOKUP('Données projet'!$B$9,Paramètres!$A$1:$I$89,5,0)</f>
        <v>228.62799999999987</v>
      </c>
      <c r="P119" s="14">
        <f t="shared" si="87"/>
        <v>55.98591983182213</v>
      </c>
      <c r="Q119" s="22">
        <f t="shared" si="107"/>
        <v>495.70257704042325</v>
      </c>
      <c r="R119" s="60">
        <f t="shared" si="55"/>
        <v>789.03591037375656</v>
      </c>
      <c r="S119" s="60">
        <f ca="1">AVERAGE(OFFSET($R$3,0,0,'Données projet'!$E$9+1,1))-AVERAGE(OFFSET($H$3,0,0,'Données projet'!$E$9+1,1))</f>
        <v>353.61481736740694</v>
      </c>
      <c r="T119" s="60">
        <f t="shared" si="88"/>
        <v>244.7141066773861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278.74703999999957</v>
      </c>
      <c r="AK119" s="14">
        <f t="shared" si="89"/>
        <v>66.702153339553135</v>
      </c>
      <c r="AL119" s="22">
        <f t="shared" si="58"/>
        <v>601.65734506638762</v>
      </c>
      <c r="AM119" s="60">
        <f t="shared" si="59"/>
        <v>894.99067839972099</v>
      </c>
      <c r="AN119" s="60">
        <f ca="1">AVERAGE(OFFSET($AM$3,0,0,'Données projet'!$E$10+1,1))-AVERAGE(OFFSET($H$3,0,0,'Données projet'!$E$10+1,1))</f>
        <v>455.50822833641354</v>
      </c>
      <c r="AO119" s="60">
        <f t="shared" si="90"/>
        <v>261.14722581688039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301.22663999999958</v>
      </c>
      <c r="BF119" s="14">
        <f t="shared" si="91"/>
        <v>71.433553234643583</v>
      </c>
      <c r="BG119" s="22">
        <f t="shared" si="61"/>
        <v>649.04983655033686</v>
      </c>
      <c r="BH119" s="60">
        <f t="shared" si="62"/>
        <v>942.38316988367023</v>
      </c>
      <c r="BI119" s="60">
        <f ca="1">AVERAGE(OFFSET($BH$3,0,0,'Données projet'!$E$11+1,1))-AVERAGE(OFFSET($H$3,0,0,'Données projet'!$E$11+1,1))</f>
        <v>488.7825919901664</v>
      </c>
      <c r="BJ119" s="60">
        <f t="shared" si="92"/>
        <v>278.78817181412438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292.23479999999955</v>
      </c>
      <c r="CA119" s="14">
        <f t="shared" si="93"/>
        <v>69.546103016553644</v>
      </c>
      <c r="CB119" s="22">
        <f t="shared" si="64"/>
        <v>630.10173942049676</v>
      </c>
      <c r="CC119" s="60">
        <f t="shared" si="65"/>
        <v>923.43507275383013</v>
      </c>
      <c r="CD119" s="60">
        <f ca="1">AVERAGE(OFFSET($CC$3,0,0,'Données projet'!$E$12+1,1))-AVERAGE(OFFSET($H$3,0,0,'Données projet'!$E$12+1,1))</f>
        <v>475.47920969424894</v>
      </c>
      <c r="CE119" s="60">
        <f t="shared" si="94"/>
        <v>271.73544012419364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260.76335999999958</v>
      </c>
      <c r="CV119" s="14">
        <f t="shared" si="95"/>
        <v>62.885067686031896</v>
      </c>
      <c r="CW119" s="22">
        <f t="shared" si="67"/>
        <v>563.68767821983818</v>
      </c>
      <c r="CX119" s="60">
        <f t="shared" si="68"/>
        <v>857.02101155317155</v>
      </c>
      <c r="CY119" s="60">
        <f ca="1">AVERAGE(OFFSET($CX$3,0,0,'Données projet'!$E$13+1,1))-AVERAGE(OFFSET($H$3,0,0,'Données projet'!$E$13+1,1))</f>
        <v>428.8489304403459</v>
      </c>
      <c r="CZ119" s="60">
        <f t="shared" si="96"/>
        <v>247.01165577562966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310.21847999999949</v>
      </c>
      <c r="DQ119" s="14">
        <f t="shared" si="97"/>
        <v>73.314455620479848</v>
      </c>
      <c r="DR119" s="22">
        <f t="shared" si="70"/>
        <v>667.98652953900148</v>
      </c>
      <c r="DS119" s="60">
        <f t="shared" si="71"/>
        <v>961.31986287233485</v>
      </c>
      <c r="DT119" s="60">
        <f ca="1">AVERAGE(OFFSET($DS$3,0,0,'Données projet'!$E$14+1,1))-AVERAGE(OFFSET($H$3,0,0,'Données projet'!$E$14+1,1))</f>
        <v>502.07782026233912</v>
      </c>
      <c r="DU119" s="60">
        <f t="shared" si="98"/>
        <v>285.83623046025156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-2.2737367544323206E-13</v>
      </c>
      <c r="EK119" s="18">
        <f>EJ119*VLOOKUP('Données projet'!$B$15,Paramètres!$A$1:$I$89,3,0)*VLOOKUP('Données projet'!$B$15,Paramètres!$A$1:$I$89,5,0)</f>
        <v>-1.3596945791505279E-13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392.62423122800357</v>
      </c>
      <c r="EP119" s="60">
        <f t="shared" si="100"/>
        <v>314.09619163968642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1.0454245704188105</v>
      </c>
      <c r="EX119" s="23">
        <f>EXP(-LN(2)/2)*EX118+(1-EXP(-LN(2)/2))/(LN(2)/2)*ER119*EU119*VLOOKUP('Données projet'!$B$15,Paramètres!$A$1:$I$89,3,0)*0.475*44/12</f>
        <v>2.0013371524716484E-12</v>
      </c>
      <c r="EY119" s="24">
        <f t="shared" si="75"/>
        <v>1.0454245704208118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0" t="e">
        <f t="shared" si="77"/>
        <v>#NUM!</v>
      </c>
      <c r="FJ119" s="60">
        <f ca="1">AVERAGE(OFFSET($FI$3,0,0,'Données projet'!$E$16+1,1))-AVERAGE(OFFSET($H$3,0,0,'Données projet'!$E$16+1,1))</f>
        <v>207.03241199974599</v>
      </c>
      <c r="FK119" s="60">
        <f t="shared" si="102"/>
        <v>314.188568589113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2.4586145077945187</v>
      </c>
      <c r="FR119" s="23">
        <f>EXP(-LN(2)/25)*FR118+(1-EXP(-LN(2)/25))/(LN(2)/25)*Calculateur!FM119*Calculateur!FO119*VLOOKUP('Données projet'!$B$16,Paramètres!$A$1:$I$89,3,0)*0.475*44/12</f>
        <v>0.89832877521871779</v>
      </c>
      <c r="FS119" s="23">
        <f>EXP(-LN(2)/2)*FS118+(1-EXP(-LN(2)/2))/(LN(2)/2)*FM119*FP119*VLOOKUP('Données projet'!$B$16,Paramètres!$A$1:$I$89,3,0)*0.475*44/12</f>
        <v>3.3246893700752591E-13</v>
      </c>
      <c r="FT119" s="24">
        <f t="shared" si="78"/>
        <v>3.3569432830135693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2.7564102564102568</v>
      </c>
      <c r="N120" s="14">
        <f>IF('Données projet'!$A$36&gt;35,N119+M120-V119,IF(A120&lt;'Données projet'!$A$36,$K$205^A120,IF(A120='Données projet'!$A$36,'Données projet'!$B$36,N119+M120-V119)))</f>
        <v>243.01282051282035</v>
      </c>
      <c r="O120" s="14">
        <f>N120*VLOOKUP('Données projet'!$B$9,Paramètres!$A$1:$I$89,3,0)*VLOOKUP('Données projet'!$B$9,Paramètres!$A$1:$I$89,5,0)</f>
        <v>231.25099999999983</v>
      </c>
      <c r="P120" s="14">
        <f t="shared" si="87"/>
        <v>56.553091525012086</v>
      </c>
      <c r="Q120" s="22">
        <f t="shared" si="107"/>
        <v>501.2587927393958</v>
      </c>
      <c r="R120" s="60">
        <f t="shared" si="55"/>
        <v>794.59212607272912</v>
      </c>
      <c r="S120" s="60">
        <f ca="1">AVERAGE(OFFSET($R$3,0,0,'Données projet'!$E$9+1,1))-AVERAGE(OFFSET($H$3,0,0,'Données projet'!$E$9+1,1))</f>
        <v>353.61481736740694</v>
      </c>
      <c r="T120" s="60">
        <f t="shared" si="88"/>
        <v>244.7141066773861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282.32567999999952</v>
      </c>
      <c r="AK120" s="14">
        <f t="shared" si="89"/>
        <v>67.458255064229917</v>
      </c>
      <c r="AL120" s="22">
        <f t="shared" si="58"/>
        <v>609.20702023686624</v>
      </c>
      <c r="AM120" s="60">
        <f t="shared" si="59"/>
        <v>902.54035357019961</v>
      </c>
      <c r="AN120" s="60">
        <f ca="1">AVERAGE(OFFSET($AM$3,0,0,'Données projet'!$E$10+1,1))-AVERAGE(OFFSET($H$3,0,0,'Données projet'!$E$10+1,1))</f>
        <v>455.50822833641354</v>
      </c>
      <c r="AO120" s="60">
        <f t="shared" si="90"/>
        <v>261.14722581688039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305.09387999999956</v>
      </c>
      <c r="BF120" s="14">
        <f t="shared" si="91"/>
        <v>72.24328770491708</v>
      </c>
      <c r="BG120" s="22">
        <f t="shared" si="61"/>
        <v>657.19556708606308</v>
      </c>
      <c r="BH120" s="60">
        <f t="shared" si="62"/>
        <v>950.52890041939645</v>
      </c>
      <c r="BI120" s="60">
        <f ca="1">AVERAGE(OFFSET($BH$3,0,0,'Données projet'!$E$11+1,1))-AVERAGE(OFFSET($H$3,0,0,'Données projet'!$E$11+1,1))</f>
        <v>488.7825919901664</v>
      </c>
      <c r="BJ120" s="60">
        <f t="shared" si="92"/>
        <v>278.78817181412438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295.98659999999956</v>
      </c>
      <c r="CA120" s="14">
        <f t="shared" si="93"/>
        <v>70.334442310004661</v>
      </c>
      <c r="CB120" s="22">
        <f t="shared" si="64"/>
        <v>638.00914868992402</v>
      </c>
      <c r="CC120" s="60">
        <f t="shared" si="65"/>
        <v>931.34248202325739</v>
      </c>
      <c r="CD120" s="60">
        <f ca="1">AVERAGE(OFFSET($CC$3,0,0,'Données projet'!$E$12+1,1))-AVERAGE(OFFSET($H$3,0,0,'Données projet'!$E$12+1,1))</f>
        <v>475.47920969424894</v>
      </c>
      <c r="CE120" s="60">
        <f t="shared" si="94"/>
        <v>271.73544012419364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264.11111999999957</v>
      </c>
      <c r="CV120" s="14">
        <f t="shared" si="95"/>
        <v>63.597900866870546</v>
      </c>
      <c r="CW120" s="22">
        <f t="shared" si="67"/>
        <v>570.75987800979885</v>
      </c>
      <c r="CX120" s="60">
        <f t="shared" si="68"/>
        <v>864.09321134313223</v>
      </c>
      <c r="CY120" s="60">
        <f ca="1">AVERAGE(OFFSET($CX$3,0,0,'Données projet'!$E$13+1,1))-AVERAGE(OFFSET($H$3,0,0,'Données projet'!$E$13+1,1))</f>
        <v>428.8489304403459</v>
      </c>
      <c r="CZ120" s="60">
        <f t="shared" si="96"/>
        <v>247.01165577562966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314.2011599999995</v>
      </c>
      <c r="DQ120" s="14">
        <f t="shared" si="97"/>
        <v>74.145511044675771</v>
      </c>
      <c r="DR120" s="22">
        <f t="shared" si="70"/>
        <v>676.37045206947607</v>
      </c>
      <c r="DS120" s="60">
        <f t="shared" si="71"/>
        <v>969.70378540280944</v>
      </c>
      <c r="DT120" s="60">
        <f ca="1">AVERAGE(OFFSET($DS$3,0,0,'Données projet'!$E$14+1,1))-AVERAGE(OFFSET($H$3,0,0,'Données projet'!$E$14+1,1))</f>
        <v>502.07782026233912</v>
      </c>
      <c r="DU120" s="60">
        <f t="shared" si="98"/>
        <v>285.83623046025156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-2.2737367544323206E-13</v>
      </c>
      <c r="EK120" s="18">
        <f>EJ120*VLOOKUP('Données projet'!$B$15,Paramètres!$A$1:$I$89,3,0)*VLOOKUP('Données projet'!$B$15,Paramètres!$A$1:$I$89,5,0)</f>
        <v>-1.3596945791505279E-13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392.62423122800357</v>
      </c>
      <c r="EP120" s="60">
        <f t="shared" si="100"/>
        <v>314.09619163968642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1.0168373805642195</v>
      </c>
      <c r="EX120" s="23">
        <f>EXP(-LN(2)/2)*EX119+(1-EXP(-LN(2)/2))/(LN(2)/2)*ER120*EU120*VLOOKUP('Données projet'!$B$15,Paramètres!$A$1:$I$89,3,0)*0.475*44/12</f>
        <v>1.415159071953278E-12</v>
      </c>
      <c r="EY120" s="24">
        <f t="shared" si="75"/>
        <v>1.0168373805656346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0" t="e">
        <f t="shared" si="77"/>
        <v>#NUM!</v>
      </c>
      <c r="FJ120" s="60">
        <f ca="1">AVERAGE(OFFSET($FI$3,0,0,'Données projet'!$E$16+1,1))-AVERAGE(OFFSET($H$3,0,0,'Données projet'!$E$16+1,1))</f>
        <v>207.03241199974599</v>
      </c>
      <c r="FK120" s="60">
        <f t="shared" si="102"/>
        <v>314.188568589113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2.4104025769034441</v>
      </c>
      <c r="FR120" s="23">
        <f>EXP(-LN(2)/25)*FR119+(1-EXP(-LN(2)/25))/(LN(2)/25)*Calculateur!FM120*Calculateur!FO120*VLOOKUP('Données projet'!$B$16,Paramètres!$A$1:$I$89,3,0)*0.475*44/12</f>
        <v>0.87376392761930477</v>
      </c>
      <c r="FS120" s="23">
        <f>EXP(-LN(2)/2)*FS119+(1-EXP(-LN(2)/2))/(LN(2)/2)*FM120*FP120*VLOOKUP('Données projet'!$B$16,Paramètres!$A$1:$I$89,3,0)*0.475*44/12</f>
        <v>2.3509103989190468E-13</v>
      </c>
      <c r="FT120" s="24">
        <f t="shared" si="78"/>
        <v>3.2841665045229838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2.7564102564102568</v>
      </c>
      <c r="N121" s="14">
        <f>IF('Données projet'!$A$36&gt;35,N120+M121-V120,IF(A121&lt;'Données projet'!$A$36,$K$205^A121,IF(A121='Données projet'!$A$36,'Données projet'!$B$36,N120+M121-V120)))</f>
        <v>245.7692307692306</v>
      </c>
      <c r="O121" s="14">
        <f>N121*VLOOKUP('Données projet'!$B$9,Paramètres!$A$1:$I$89,3,0)*VLOOKUP('Données projet'!$B$9,Paramètres!$A$1:$I$89,5,0)</f>
        <v>233.87399999999985</v>
      </c>
      <c r="P121" s="14">
        <f t="shared" si="87"/>
        <v>57.119514867134178</v>
      </c>
      <c r="Q121" s="22">
        <f t="shared" si="107"/>
        <v>506.81370506025837</v>
      </c>
      <c r="R121" s="60">
        <f t="shared" si="55"/>
        <v>800.14703839359163</v>
      </c>
      <c r="S121" s="60">
        <f ca="1">AVERAGE(OFFSET($R$3,0,0,'Données projet'!$E$9+1,1))-AVERAGE(OFFSET($H$3,0,0,'Données projet'!$E$9+1,1))</f>
        <v>353.61481736740694</v>
      </c>
      <c r="T121" s="60">
        <f t="shared" si="88"/>
        <v>244.7141066773861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285.90431999999953</v>
      </c>
      <c r="AK121" s="14">
        <f t="shared" si="89"/>
        <v>68.213241999614453</v>
      </c>
      <c r="AL121" s="22">
        <f t="shared" si="58"/>
        <v>616.75475381599438</v>
      </c>
      <c r="AM121" s="60">
        <f t="shared" si="59"/>
        <v>910.08808714932775</v>
      </c>
      <c r="AN121" s="60">
        <f ca="1">AVERAGE(OFFSET($AM$3,0,0,'Données projet'!$E$10+1,1))-AVERAGE(OFFSET($H$3,0,0,'Données projet'!$E$10+1,1))</f>
        <v>455.50822833641354</v>
      </c>
      <c r="AO121" s="60">
        <f t="shared" si="90"/>
        <v>261.14722581688039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308.96111999999954</v>
      </c>
      <c r="BF121" s="14">
        <f t="shared" si="91"/>
        <v>73.05182831028111</v>
      </c>
      <c r="BG121" s="22">
        <f t="shared" si="61"/>
        <v>665.33921830707209</v>
      </c>
      <c r="BH121" s="60">
        <f t="shared" si="62"/>
        <v>958.67255164040535</v>
      </c>
      <c r="BI121" s="60">
        <f ca="1">AVERAGE(OFFSET($BH$3,0,0,'Données projet'!$E$11+1,1))-AVERAGE(OFFSET($H$3,0,0,'Données projet'!$E$11+1,1))</f>
        <v>488.7825919901664</v>
      </c>
      <c r="BJ121" s="60">
        <f t="shared" si="92"/>
        <v>278.78817181412438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299.73839999999956</v>
      </c>
      <c r="CA121" s="14">
        <f t="shared" si="93"/>
        <v>71.121619283394352</v>
      </c>
      <c r="CB121" s="22">
        <f t="shared" si="64"/>
        <v>645.91453358524438</v>
      </c>
      <c r="CC121" s="60">
        <f t="shared" si="65"/>
        <v>939.24786691857776</v>
      </c>
      <c r="CD121" s="60">
        <f ca="1">AVERAGE(OFFSET($CC$3,0,0,'Données projet'!$E$12+1,1))-AVERAGE(OFFSET($H$3,0,0,'Données projet'!$E$12+1,1))</f>
        <v>475.47920969424894</v>
      </c>
      <c r="CE121" s="60">
        <f t="shared" si="94"/>
        <v>271.73544012419364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267.45887999999951</v>
      </c>
      <c r="CV121" s="14">
        <f t="shared" si="95"/>
        <v>64.309683053152327</v>
      </c>
      <c r="CW121" s="22">
        <f t="shared" si="67"/>
        <v>577.8302473175728</v>
      </c>
      <c r="CX121" s="60">
        <f t="shared" si="68"/>
        <v>871.16358065090617</v>
      </c>
      <c r="CY121" s="60">
        <f ca="1">AVERAGE(OFFSET($CX$3,0,0,'Données projet'!$E$13+1,1))-AVERAGE(OFFSET($H$3,0,0,'Données projet'!$E$13+1,1))</f>
        <v>428.8489304403459</v>
      </c>
      <c r="CZ121" s="60">
        <f t="shared" si="96"/>
        <v>247.01165577562966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318.18383999999946</v>
      </c>
      <c r="DQ121" s="14">
        <f t="shared" si="97"/>
        <v>74.975341168547786</v>
      </c>
      <c r="DR121" s="22">
        <f t="shared" si="70"/>
        <v>684.75224053521981</v>
      </c>
      <c r="DS121" s="60">
        <f t="shared" si="71"/>
        <v>978.08557386855318</v>
      </c>
      <c r="DT121" s="60">
        <f ca="1">AVERAGE(OFFSET($DS$3,0,0,'Données projet'!$E$14+1,1))-AVERAGE(OFFSET($H$3,0,0,'Données projet'!$E$14+1,1))</f>
        <v>502.07782026233912</v>
      </c>
      <c r="DU121" s="60">
        <f t="shared" si="98"/>
        <v>285.83623046025156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-2.2737367544323206E-13</v>
      </c>
      <c r="EK121" s="18">
        <f>EJ121*VLOOKUP('Données projet'!$B$15,Paramètres!$A$1:$I$89,3,0)*VLOOKUP('Données projet'!$B$15,Paramètres!$A$1:$I$89,5,0)</f>
        <v>-1.3596945791505279E-13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392.62423122800357</v>
      </c>
      <c r="EP121" s="60">
        <f t="shared" si="100"/>
        <v>314.09619163968642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0.98903190891953707</v>
      </c>
      <c r="EX121" s="23">
        <f>EXP(-LN(2)/2)*EX120+(1-EXP(-LN(2)/2))/(LN(2)/2)*ER121*EU121*VLOOKUP('Données projet'!$B$15,Paramètres!$A$1:$I$89,3,0)*0.475*44/12</f>
        <v>1.0006685762358242E-12</v>
      </c>
      <c r="EY121" s="24">
        <f t="shared" si="75"/>
        <v>0.98903190892053772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0" t="e">
        <f t="shared" si="77"/>
        <v>#NUM!</v>
      </c>
      <c r="FJ121" s="60">
        <f ca="1">AVERAGE(OFFSET($FI$3,0,0,'Données projet'!$E$16+1,1))-AVERAGE(OFFSET($H$3,0,0,'Données projet'!$E$16+1,1))</f>
        <v>207.03241199974599</v>
      </c>
      <c r="FK121" s="60">
        <f t="shared" si="102"/>
        <v>314.188568589113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2.3631360525707694</v>
      </c>
      <c r="FR121" s="23">
        <f>EXP(-LN(2)/25)*FR120+(1-EXP(-LN(2)/25))/(LN(2)/25)*Calculateur!FM121*Calculateur!FO121*VLOOKUP('Données projet'!$B$16,Paramètres!$A$1:$I$89,3,0)*0.475*44/12</f>
        <v>0.84987080706930695</v>
      </c>
      <c r="FS121" s="23">
        <f>EXP(-LN(2)/2)*FS120+(1-EXP(-LN(2)/2))/(LN(2)/2)*FM121*FP121*VLOOKUP('Données projet'!$B$16,Paramètres!$A$1:$I$89,3,0)*0.475*44/12</f>
        <v>1.6623446850376296E-13</v>
      </c>
      <c r="FT121" s="24">
        <f t="shared" si="78"/>
        <v>3.2130068596402426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2.7564102564102568</v>
      </c>
      <c r="N122" s="14">
        <f>IF('Données projet'!$A$36&gt;35,N121+M122-V121,IF(A122&lt;'Données projet'!$A$36,$K$205^A122,IF(A122='Données projet'!$A$36,'Données projet'!$B$36,N121+M122-V121)))</f>
        <v>248.52564102564085</v>
      </c>
      <c r="O122" s="14">
        <f>N122*VLOOKUP('Données projet'!$B$9,Paramètres!$A$1:$I$89,3,0)*VLOOKUP('Données projet'!$B$9,Paramètres!$A$1:$I$89,5,0)</f>
        <v>236.49699999999984</v>
      </c>
      <c r="P122" s="14">
        <f t="shared" si="87"/>
        <v>57.685199222511848</v>
      </c>
      <c r="Q122" s="22">
        <f t="shared" si="107"/>
        <v>512.36733031254118</v>
      </c>
      <c r="R122" s="60">
        <f t="shared" si="55"/>
        <v>805.70066364587456</v>
      </c>
      <c r="S122" s="60">
        <f ca="1">AVERAGE(OFFSET($R$3,0,0,'Données projet'!$E$9+1,1))-AVERAGE(OFFSET($H$3,0,0,'Données projet'!$E$9+1,1))</f>
        <v>353.61481736740694</v>
      </c>
      <c r="T122" s="60">
        <f t="shared" si="88"/>
        <v>244.7141066773861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289.48295999999954</v>
      </c>
      <c r="AK122" s="14">
        <f t="shared" si="89"/>
        <v>68.967129713117401</v>
      </c>
      <c r="AL122" s="22">
        <f t="shared" si="58"/>
        <v>624.300572917012</v>
      </c>
      <c r="AM122" s="60">
        <f t="shared" si="59"/>
        <v>917.63390625034526</v>
      </c>
      <c r="AN122" s="60">
        <f ca="1">AVERAGE(OFFSET($AM$3,0,0,'Données projet'!$E$10+1,1))-AVERAGE(OFFSET($H$3,0,0,'Données projet'!$E$10+1,1))</f>
        <v>455.50822833641354</v>
      </c>
      <c r="AO122" s="60">
        <f t="shared" si="90"/>
        <v>261.14722581688039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312.82835999999946</v>
      </c>
      <c r="BF122" s="14">
        <f t="shared" si="91"/>
        <v>73.859191722393433</v>
      </c>
      <c r="BG122" s="22">
        <f t="shared" si="61"/>
        <v>673.48081924983421</v>
      </c>
      <c r="BH122" s="60">
        <f t="shared" si="62"/>
        <v>966.81415258316747</v>
      </c>
      <c r="BI122" s="60">
        <f ca="1">AVERAGE(OFFSET($BH$3,0,0,'Données projet'!$E$11+1,1))-AVERAGE(OFFSET($H$3,0,0,'Données projet'!$E$11+1,1))</f>
        <v>488.7825919901664</v>
      </c>
      <c r="BJ122" s="60">
        <f t="shared" si="92"/>
        <v>278.78817181412438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303.4901999999995</v>
      </c>
      <c r="CA122" s="14">
        <f t="shared" si="93"/>
        <v>71.907650167874138</v>
      </c>
      <c r="CB122" s="22">
        <f t="shared" si="64"/>
        <v>653.81792237571324</v>
      </c>
      <c r="CC122" s="60">
        <f t="shared" si="65"/>
        <v>947.15125570904661</v>
      </c>
      <c r="CD122" s="60">
        <f ca="1">AVERAGE(OFFSET($CC$3,0,0,'Données projet'!$E$12+1,1))-AVERAGE(OFFSET($H$3,0,0,'Données projet'!$E$12+1,1))</f>
        <v>475.47920969424894</v>
      </c>
      <c r="CE122" s="60">
        <f t="shared" si="94"/>
        <v>271.73544012419364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270.80663999999956</v>
      </c>
      <c r="CV122" s="14">
        <f t="shared" si="95"/>
        <v>65.020428921429911</v>
      </c>
      <c r="CW122" s="22">
        <f t="shared" si="67"/>
        <v>584.89881170482306</v>
      </c>
      <c r="CX122" s="60">
        <f t="shared" si="68"/>
        <v>878.23214503815643</v>
      </c>
      <c r="CY122" s="60">
        <f ca="1">AVERAGE(OFFSET($CX$3,0,0,'Données projet'!$E$13+1,1))-AVERAGE(OFFSET($H$3,0,0,'Données projet'!$E$13+1,1))</f>
        <v>428.8489304403459</v>
      </c>
      <c r="CZ122" s="60">
        <f t="shared" si="96"/>
        <v>247.01165577562966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322.16651999999942</v>
      </c>
      <c r="DQ122" s="14">
        <f t="shared" si="97"/>
        <v>75.803963102731529</v>
      </c>
      <c r="DR122" s="22">
        <f t="shared" si="70"/>
        <v>693.13192473725633</v>
      </c>
      <c r="DS122" s="60">
        <f t="shared" si="71"/>
        <v>986.4652580705897</v>
      </c>
      <c r="DT122" s="60">
        <f ca="1">AVERAGE(OFFSET($DS$3,0,0,'Données projet'!$E$14+1,1))-AVERAGE(OFFSET($H$3,0,0,'Données projet'!$E$14+1,1))</f>
        <v>502.07782026233912</v>
      </c>
      <c r="DU122" s="60">
        <f t="shared" si="98"/>
        <v>285.83623046025156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-2.2737367544323206E-13</v>
      </c>
      <c r="EK122" s="18">
        <f>EJ122*VLOOKUP('Données projet'!$B$15,Paramètres!$A$1:$I$89,3,0)*VLOOKUP('Données projet'!$B$15,Paramètres!$A$1:$I$89,5,0)</f>
        <v>-1.3596945791505279E-13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392.62423122800357</v>
      </c>
      <c r="EP122" s="60">
        <f t="shared" si="100"/>
        <v>314.09619163968642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0.96198677935920474</v>
      </c>
      <c r="EX122" s="23">
        <f>EXP(-LN(2)/2)*EX121+(1-EXP(-LN(2)/2))/(LN(2)/2)*ER122*EU122*VLOOKUP('Données projet'!$B$15,Paramètres!$A$1:$I$89,3,0)*0.475*44/12</f>
        <v>7.07579535976639E-13</v>
      </c>
      <c r="EY122" s="24">
        <f t="shared" si="75"/>
        <v>0.96198677935991228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0" t="e">
        <f t="shared" si="77"/>
        <v>#NUM!</v>
      </c>
      <c r="FJ122" s="60">
        <f ca="1">AVERAGE(OFFSET($FI$3,0,0,'Données projet'!$E$16+1,1))-AVERAGE(OFFSET($H$3,0,0,'Données projet'!$E$16+1,1))</f>
        <v>207.03241199974599</v>
      </c>
      <c r="FK122" s="60">
        <f t="shared" si="102"/>
        <v>314.188568589113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2.3167963959505253</v>
      </c>
      <c r="FR122" s="23">
        <f>EXP(-LN(2)/25)*FR121+(1-EXP(-LN(2)/25))/(LN(2)/25)*Calculateur!FM122*Calculateur!FO122*VLOOKUP('Données projet'!$B$16,Paramètres!$A$1:$I$89,3,0)*0.475*44/12</f>
        <v>0.8266310451572334</v>
      </c>
      <c r="FS122" s="23">
        <f>EXP(-LN(2)/2)*FS121+(1-EXP(-LN(2)/2))/(LN(2)/2)*FM122*FP122*VLOOKUP('Données projet'!$B$16,Paramètres!$A$1:$I$89,3,0)*0.475*44/12</f>
        <v>1.1754551994595234E-13</v>
      </c>
      <c r="FT122" s="24">
        <f t="shared" si="78"/>
        <v>3.1434274411078764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251.28205128205127</v>
      </c>
      <c r="L123" s="13">
        <f>VLOOKUP(A123,'Données projet'!$A$35:$I$55,9,0)</f>
        <v>2.7564102564102568</v>
      </c>
      <c r="M123" s="13">
        <f t="array" ref="M123">INDEX(L:L,MIN(IF(ISNUMBER(L123:L319),ROW(L123:L319),"")))</f>
        <v>2.7564102564102568</v>
      </c>
      <c r="N123" s="14">
        <f>IF('Données projet'!$A$36&gt;35,N122+M123-V122,IF(A123&lt;'Données projet'!$A$36,$K$205^A123,IF(A123='Données projet'!$A$36,'Données projet'!$B$36,N122+M123-V122)))</f>
        <v>251.2820512820511</v>
      </c>
      <c r="O123" s="14">
        <f>N123*VLOOKUP('Données projet'!$B$9,Paramètres!$A$1:$I$89,3,0)*VLOOKUP('Données projet'!$B$9,Paramètres!$A$1:$I$89,5,0)</f>
        <v>239.11999999999981</v>
      </c>
      <c r="P123" s="14">
        <f t="shared" si="87"/>
        <v>58.2501537357874</v>
      </c>
      <c r="Q123" s="22">
        <f t="shared" si="107"/>
        <v>517.91968442316272</v>
      </c>
      <c r="R123" s="60">
        <f t="shared" si="55"/>
        <v>811.25301775649609</v>
      </c>
      <c r="S123" s="60">
        <f ca="1">AVERAGE(OFFSET($R$3,0,0,'Données projet'!$E$9+1,1))-AVERAGE(OFFSET($H$3,0,0,'Données projet'!$E$9+1,1))</f>
        <v>353.61481736740694</v>
      </c>
      <c r="T123" s="60">
        <f t="shared" si="88"/>
        <v>244.7141066773861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241.02564102564102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293.06159999999949</v>
      </c>
      <c r="AK123" s="14">
        <f t="shared" si="89"/>
        <v>69.719933365116432</v>
      </c>
      <c r="AL123" s="22">
        <f t="shared" si="58"/>
        <v>631.84450394424357</v>
      </c>
      <c r="AM123" s="60">
        <f t="shared" si="59"/>
        <v>925.17783727757683</v>
      </c>
      <c r="AN123" s="60">
        <f ca="1">AVERAGE(OFFSET($AM$3,0,0,'Données projet'!$E$10+1,1))-AVERAGE(OFFSET($H$3,0,0,'Données projet'!$E$10+1,1))</f>
        <v>455.50822833641354</v>
      </c>
      <c r="AO123" s="60">
        <f t="shared" si="90"/>
        <v>261.14722581688039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316.6955999999995</v>
      </c>
      <c r="BF123" s="14">
        <f t="shared" si="91"/>
        <v>74.66539417700622</v>
      </c>
      <c r="BG123" s="22">
        <f t="shared" si="61"/>
        <v>681.62039819161828</v>
      </c>
      <c r="BH123" s="60">
        <f t="shared" si="62"/>
        <v>974.95373152495154</v>
      </c>
      <c r="BI123" s="60">
        <f ca="1">AVERAGE(OFFSET($BH$3,0,0,'Données projet'!$E$11+1,1))-AVERAGE(OFFSET($H$3,0,0,'Données projet'!$E$11+1,1))</f>
        <v>488.7825919901664</v>
      </c>
      <c r="BJ123" s="60">
        <f t="shared" si="92"/>
        <v>278.78817181412438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307.24199999999951</v>
      </c>
      <c r="CA123" s="14">
        <f t="shared" si="93"/>
        <v>72.692550770207717</v>
      </c>
      <c r="CB123" s="22">
        <f t="shared" si="64"/>
        <v>661.71934259144427</v>
      </c>
      <c r="CC123" s="60">
        <f t="shared" si="65"/>
        <v>955.05267592477753</v>
      </c>
      <c r="CD123" s="60">
        <f ca="1">AVERAGE(OFFSET($CC$3,0,0,'Données projet'!$E$12+1,1))-AVERAGE(OFFSET($H$3,0,0,'Données projet'!$E$12+1,1))</f>
        <v>475.47920969424894</v>
      </c>
      <c r="CE123" s="60">
        <f t="shared" si="94"/>
        <v>271.73544012419364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274.15439999999955</v>
      </c>
      <c r="CV123" s="14">
        <f t="shared" si="95"/>
        <v>65.730152764515779</v>
      </c>
      <c r="CW123" s="22">
        <f t="shared" si="67"/>
        <v>591.96559606486414</v>
      </c>
      <c r="CX123" s="60">
        <f t="shared" si="68"/>
        <v>885.29892939819752</v>
      </c>
      <c r="CY123" s="60">
        <f ca="1">AVERAGE(OFFSET($CX$3,0,0,'Données projet'!$E$13+1,1))-AVERAGE(OFFSET($H$3,0,0,'Données projet'!$E$13+1,1))</f>
        <v>428.8489304403459</v>
      </c>
      <c r="CZ123" s="60">
        <f t="shared" si="96"/>
        <v>247.01165577562966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326.14919999999944</v>
      </c>
      <c r="DQ123" s="14">
        <f t="shared" si="97"/>
        <v>76.631393510479555</v>
      </c>
      <c r="DR123" s="22">
        <f t="shared" si="70"/>
        <v>701.50953369741762</v>
      </c>
      <c r="DS123" s="60">
        <f t="shared" si="71"/>
        <v>994.84286703075099</v>
      </c>
      <c r="DT123" s="60">
        <f ca="1">AVERAGE(OFFSET($DS$3,0,0,'Données projet'!$E$14+1,1))-AVERAGE(OFFSET($H$3,0,0,'Données projet'!$E$14+1,1))</f>
        <v>502.07782026233912</v>
      </c>
      <c r="DU123" s="60">
        <f t="shared" si="98"/>
        <v>285.83623046025156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-2.2737367544323206E-13</v>
      </c>
      <c r="EK123" s="18">
        <f>EJ123*VLOOKUP('Données projet'!$B$15,Paramètres!$A$1:$I$89,3,0)*VLOOKUP('Données projet'!$B$15,Paramètres!$A$1:$I$89,5,0)</f>
        <v>-1.3596945791505279E-13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392.62423122800357</v>
      </c>
      <c r="EP123" s="60">
        <f t="shared" si="100"/>
        <v>314.09619163968642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0.93568120028894119</v>
      </c>
      <c r="EX123" s="23">
        <f>EXP(-LN(2)/2)*EX122+(1-EXP(-LN(2)/2))/(LN(2)/2)*ER123*EU123*VLOOKUP('Données projet'!$B$15,Paramètres!$A$1:$I$89,3,0)*0.475*44/12</f>
        <v>5.003342881179121E-13</v>
      </c>
      <c r="EY123" s="24">
        <f t="shared" si="75"/>
        <v>0.93568120028944157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0" t="e">
        <f t="shared" si="77"/>
        <v>#NUM!</v>
      </c>
      <c r="FJ123" s="60">
        <f ca="1">AVERAGE(OFFSET($FI$3,0,0,'Données projet'!$E$16+1,1))-AVERAGE(OFFSET($H$3,0,0,'Données projet'!$E$16+1,1))</f>
        <v>207.03241199974599</v>
      </c>
      <c r="FK123" s="60">
        <f t="shared" si="102"/>
        <v>314.188568589113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2.2713654317322045</v>
      </c>
      <c r="FR123" s="23">
        <f>EXP(-LN(2)/25)*FR122+(1-EXP(-LN(2)/25))/(LN(2)/25)*Calculateur!FM123*Calculateur!FO123*VLOOKUP('Données projet'!$B$16,Paramètres!$A$1:$I$89,3,0)*0.475*44/12</f>
        <v>0.80402677575677151</v>
      </c>
      <c r="FS123" s="23">
        <f>EXP(-LN(2)/2)*FS122+(1-EXP(-LN(2)/2))/(LN(2)/2)*FM123*FP123*VLOOKUP('Données projet'!$B$16,Paramètres!$A$1:$I$89,3,0)*0.475*44/12</f>
        <v>8.3117234251881479E-14</v>
      </c>
      <c r="FT123" s="24">
        <f t="shared" si="78"/>
        <v>3.0753922074890592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10.256410256410078</v>
      </c>
      <c r="O124" s="14">
        <f>N124*VLOOKUP('Données projet'!$B$9,Paramètres!$A$1:$I$89,3,0)*VLOOKUP('Données projet'!$B$9,Paramètres!$A$1:$I$89,5,0)</f>
        <v>9.7599999999998293</v>
      </c>
      <c r="P124" s="14">
        <f t="shared" si="87"/>
        <v>3.4500860232767008</v>
      </c>
      <c r="Q124" s="22">
        <f t="shared" si="107"/>
        <v>23.007566490539954</v>
      </c>
      <c r="R124" s="60">
        <f t="shared" si="55"/>
        <v>316.34089982387326</v>
      </c>
      <c r="S124" s="60">
        <f ca="1">AVERAGE(OFFSET($R$3,0,0,'Données projet'!$E$9+1,1))-AVERAGE(OFFSET($H$3,0,0,'Données projet'!$E$9+1,1))</f>
        <v>353.61481736740694</v>
      </c>
      <c r="T124" s="60">
        <f t="shared" si="88"/>
        <v>244.7141066773861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262.30463999999949</v>
      </c>
      <c r="AK124" s="14">
        <f t="shared" si="89"/>
        <v>63.213381472055985</v>
      </c>
      <c r="AL124" s="22">
        <f t="shared" si="58"/>
        <v>566.94388739716328</v>
      </c>
      <c r="AM124" s="60">
        <f t="shared" si="59"/>
        <v>860.27722073049654</v>
      </c>
      <c r="AN124" s="60">
        <f ca="1">AVERAGE(OFFSET($AM$3,0,0,'Données projet'!$E$10+1,1))-AVERAGE(OFFSET($H$3,0,0,'Données projet'!$E$10+1,1))</f>
        <v>455.50822833641354</v>
      </c>
      <c r="AO124" s="60">
        <f t="shared" si="90"/>
        <v>261.14722581688039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283.45823999999948</v>
      </c>
      <c r="BF124" s="14">
        <f t="shared" si="91"/>
        <v>67.697311472676276</v>
      </c>
      <c r="BG124" s="22">
        <f t="shared" si="61"/>
        <v>611.59591881491031</v>
      </c>
      <c r="BH124" s="60">
        <f t="shared" si="62"/>
        <v>904.92925214824368</v>
      </c>
      <c r="BI124" s="60">
        <f ca="1">AVERAGE(OFFSET($BH$3,0,0,'Données projet'!$E$11+1,1))-AVERAGE(OFFSET($H$3,0,0,'Données projet'!$E$11+1,1))</f>
        <v>488.7825919901664</v>
      </c>
      <c r="BJ124" s="60">
        <f t="shared" si="92"/>
        <v>278.78817181412438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274.9967999999995</v>
      </c>
      <c r="CA124" s="14">
        <f t="shared" si="93"/>
        <v>65.908581953881495</v>
      </c>
      <c r="CB124" s="22">
        <f t="shared" si="64"/>
        <v>593.74354023634271</v>
      </c>
      <c r="CC124" s="60">
        <f t="shared" si="65"/>
        <v>887.07687356967608</v>
      </c>
      <c r="CD124" s="60">
        <f ca="1">AVERAGE(OFFSET($CC$3,0,0,'Données projet'!$E$12+1,1))-AVERAGE(OFFSET($H$3,0,0,'Données projet'!$E$12+1,1))</f>
        <v>475.47920969424894</v>
      </c>
      <c r="CE124" s="60">
        <f t="shared" si="94"/>
        <v>271.73544012419364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245.3817599999995</v>
      </c>
      <c r="CV124" s="14">
        <f t="shared" si="95"/>
        <v>59.595943661626663</v>
      </c>
      <c r="CW124" s="22">
        <f t="shared" si="67"/>
        <v>531.16950054399888</v>
      </c>
      <c r="CX124" s="60">
        <f t="shared" si="68"/>
        <v>824.50283387733225</v>
      </c>
      <c r="CY124" s="60">
        <f ca="1">AVERAGE(OFFSET($CX$3,0,0,'Données projet'!$E$13+1,1))-AVERAGE(OFFSET($H$3,0,0,'Données projet'!$E$13+1,1))</f>
        <v>428.8489304403459</v>
      </c>
      <c r="CZ124" s="60">
        <f t="shared" si="96"/>
        <v>247.01165577562966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291.9196799999994</v>
      </c>
      <c r="DQ124" s="14">
        <f t="shared" si="97"/>
        <v>69.47983563531173</v>
      </c>
      <c r="DR124" s="22">
        <f t="shared" si="70"/>
        <v>629.43748973150025</v>
      </c>
      <c r="DS124" s="60">
        <f t="shared" si="71"/>
        <v>922.77082306483362</v>
      </c>
      <c r="DT124" s="60">
        <f ca="1">AVERAGE(OFFSET($DS$3,0,0,'Données projet'!$E$14+1,1))-AVERAGE(OFFSET($H$3,0,0,'Données projet'!$E$14+1,1))</f>
        <v>502.07782026233912</v>
      </c>
      <c r="DU124" s="60">
        <f t="shared" si="98"/>
        <v>285.83623046025156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-2.2737367544323206E-13</v>
      </c>
      <c r="EK124" s="18">
        <f>EJ124*VLOOKUP('Données projet'!$B$15,Paramètres!$A$1:$I$89,3,0)*VLOOKUP('Données projet'!$B$15,Paramètres!$A$1:$I$89,5,0)</f>
        <v>-1.3596945791505279E-13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392.62423122800357</v>
      </c>
      <c r="EP124" s="60">
        <f t="shared" si="100"/>
        <v>314.09619163968642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0.91009494866170426</v>
      </c>
      <c r="EX124" s="23">
        <f>EXP(-LN(2)/2)*EX123+(1-EXP(-LN(2)/2))/(LN(2)/2)*ER124*EU124*VLOOKUP('Données projet'!$B$15,Paramètres!$A$1:$I$89,3,0)*0.475*44/12</f>
        <v>3.537897679883195E-13</v>
      </c>
      <c r="EY124" s="24">
        <f t="shared" si="75"/>
        <v>0.91009494866205809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0" t="e">
        <f t="shared" si="77"/>
        <v>#NUM!</v>
      </c>
      <c r="FJ124" s="60">
        <f ca="1">AVERAGE(OFFSET($FI$3,0,0,'Données projet'!$E$16+1,1))-AVERAGE(OFFSET($H$3,0,0,'Données projet'!$E$16+1,1))</f>
        <v>207.03241199974599</v>
      </c>
      <c r="FK124" s="60">
        <f t="shared" si="102"/>
        <v>314.188568589113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2.2268253410120527</v>
      </c>
      <c r="FR124" s="23">
        <f>EXP(-LN(2)/25)*FR123+(1-EXP(-LN(2)/25))/(LN(2)/25)*Calculateur!FM124*Calculateur!FO124*VLOOKUP('Données projet'!$B$16,Paramètres!$A$1:$I$89,3,0)*0.475*44/12</f>
        <v>0.7820406212917721</v>
      </c>
      <c r="FS124" s="23">
        <f>EXP(-LN(2)/2)*FS123+(1-EXP(-LN(2)/2))/(LN(2)/2)*FM124*FP124*VLOOKUP('Données projet'!$B$16,Paramètres!$A$1:$I$89,3,0)*0.475*44/12</f>
        <v>5.8772759972976169E-14</v>
      </c>
      <c r="FT124" s="24">
        <f t="shared" si="78"/>
        <v>3.0088659623038834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10.256410256410078</v>
      </c>
      <c r="O125" s="14">
        <f>N125*VLOOKUP('Données projet'!$B$9,Paramètres!$A$1:$I$89,3,0)*VLOOKUP('Données projet'!$B$9,Paramètres!$A$1:$I$89,5,0)</f>
        <v>9.7599999999998293</v>
      </c>
      <c r="P125" s="14">
        <f t="shared" si="87"/>
        <v>3.4500860232767008</v>
      </c>
      <c r="Q125" s="22">
        <f t="shared" si="107"/>
        <v>23.007566490539954</v>
      </c>
      <c r="R125" s="60">
        <f t="shared" si="55"/>
        <v>316.34089982387326</v>
      </c>
      <c r="S125" s="60">
        <f ca="1">AVERAGE(OFFSET($R$3,0,0,'Données projet'!$E$9+1,1))-AVERAGE(OFFSET($H$3,0,0,'Données projet'!$E$9+1,1))</f>
        <v>353.61481736740694</v>
      </c>
      <c r="T125" s="60">
        <f t="shared" si="88"/>
        <v>244.7141066773861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265.39967999999948</v>
      </c>
      <c r="AK125" s="14">
        <f t="shared" si="89"/>
        <v>63.87199095821434</v>
      </c>
      <c r="AL125" s="22">
        <f t="shared" si="58"/>
        <v>573.48149358555565</v>
      </c>
      <c r="AM125" s="60">
        <f t="shared" si="59"/>
        <v>866.81482691888891</v>
      </c>
      <c r="AN125" s="60">
        <f ca="1">AVERAGE(OFFSET($AM$3,0,0,'Données projet'!$E$10+1,1))-AVERAGE(OFFSET($H$3,0,0,'Données projet'!$E$10+1,1))</f>
        <v>455.50822833641354</v>
      </c>
      <c r="AO125" s="60">
        <f t="shared" si="90"/>
        <v>261.14722581688039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286.80287999999945</v>
      </c>
      <c r="BF125" s="14">
        <f t="shared" si="91"/>
        <v>68.402638264014456</v>
      </c>
      <c r="BG125" s="22">
        <f t="shared" si="61"/>
        <v>618.64961097649086</v>
      </c>
      <c r="BH125" s="60">
        <f t="shared" si="62"/>
        <v>911.98294430982423</v>
      </c>
      <c r="BI125" s="60">
        <f ca="1">AVERAGE(OFFSET($BH$3,0,0,'Données projet'!$E$11+1,1))-AVERAGE(OFFSET($H$3,0,0,'Données projet'!$E$11+1,1))</f>
        <v>488.7825919901664</v>
      </c>
      <c r="BJ125" s="60">
        <f t="shared" si="92"/>
        <v>278.78817181412438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278.24159999999949</v>
      </c>
      <c r="CA125" s="14">
        <f t="shared" si="93"/>
        <v>66.595272276139681</v>
      </c>
      <c r="CB125" s="22">
        <f t="shared" si="64"/>
        <v>600.59088588094244</v>
      </c>
      <c r="CC125" s="60">
        <f t="shared" si="65"/>
        <v>893.92421921427581</v>
      </c>
      <c r="CD125" s="60">
        <f ca="1">AVERAGE(OFFSET($CC$3,0,0,'Données projet'!$E$12+1,1))-AVERAGE(OFFSET($H$3,0,0,'Données projet'!$E$12+1,1))</f>
        <v>475.47920969424894</v>
      </c>
      <c r="CE125" s="60">
        <f t="shared" si="94"/>
        <v>271.73544012419364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248.27711999999951</v>
      </c>
      <c r="CV125" s="14">
        <f t="shared" si="95"/>
        <v>60.216863677580257</v>
      </c>
      <c r="CW125" s="22">
        <f t="shared" si="67"/>
        <v>537.29368823845141</v>
      </c>
      <c r="CX125" s="60">
        <f t="shared" si="68"/>
        <v>830.62702157178478</v>
      </c>
      <c r="CY125" s="60">
        <f ca="1">AVERAGE(OFFSET($CX$3,0,0,'Données projet'!$E$13+1,1))-AVERAGE(OFFSET($H$3,0,0,'Données projet'!$E$13+1,1))</f>
        <v>428.8489304403459</v>
      </c>
      <c r="CZ125" s="60">
        <f t="shared" si="96"/>
        <v>247.01165577562966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295.3641599999994</v>
      </c>
      <c r="DQ125" s="14">
        <f t="shared" si="97"/>
        <v>70.203734243178047</v>
      </c>
      <c r="DR125" s="22">
        <f t="shared" si="70"/>
        <v>636.6974158068673</v>
      </c>
      <c r="DS125" s="60">
        <f t="shared" si="71"/>
        <v>930.03074914020067</v>
      </c>
      <c r="DT125" s="60">
        <f ca="1">AVERAGE(OFFSET($DS$3,0,0,'Données projet'!$E$14+1,1))-AVERAGE(OFFSET($H$3,0,0,'Données projet'!$E$14+1,1))</f>
        <v>502.07782026233912</v>
      </c>
      <c r="DU125" s="60">
        <f t="shared" si="98"/>
        <v>285.83623046025156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-2.2737367544323206E-13</v>
      </c>
      <c r="EK125" s="18">
        <f>EJ125*VLOOKUP('Données projet'!$B$15,Paramètres!$A$1:$I$89,3,0)*VLOOKUP('Données projet'!$B$15,Paramètres!$A$1:$I$89,5,0)</f>
        <v>-1.3596945791505279E-13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392.62423122800357</v>
      </c>
      <c r="EP125" s="60">
        <f t="shared" si="100"/>
        <v>314.09619163968642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0.88520835443073664</v>
      </c>
      <c r="EX125" s="23">
        <f>EXP(-LN(2)/2)*EX124+(1-EXP(-LN(2)/2))/(LN(2)/2)*ER125*EU125*VLOOKUP('Données projet'!$B$15,Paramètres!$A$1:$I$89,3,0)*0.475*44/12</f>
        <v>2.5016714405895605E-13</v>
      </c>
      <c r="EY125" s="24">
        <f t="shared" si="75"/>
        <v>0.88520835443098678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0" t="e">
        <f t="shared" si="77"/>
        <v>#NUM!</v>
      </c>
      <c r="FJ125" s="60">
        <f ca="1">AVERAGE(OFFSET($FI$3,0,0,'Données projet'!$E$16+1,1))-AVERAGE(OFFSET($H$3,0,0,'Données projet'!$E$16+1,1))</f>
        <v>207.03241199974599</v>
      </c>
      <c r="FK125" s="60">
        <f t="shared" si="102"/>
        <v>314.188568589113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2.1831586543041501</v>
      </c>
      <c r="FR125" s="23">
        <f>EXP(-LN(2)/25)*FR124+(1-EXP(-LN(2)/25))/(LN(2)/25)*Calculateur!FM125*Calculateur!FO125*VLOOKUP('Données projet'!$B$16,Paramètres!$A$1:$I$89,3,0)*0.475*44/12</f>
        <v>0.76065567937681966</v>
      </c>
      <c r="FS125" s="23">
        <f>EXP(-LN(2)/2)*FS124+(1-EXP(-LN(2)/2))/(LN(2)/2)*FM125*FP125*VLOOKUP('Données projet'!$B$16,Paramètres!$A$1:$I$89,3,0)*0.475*44/12</f>
        <v>4.1558617125940739E-14</v>
      </c>
      <c r="FT125" s="24">
        <f t="shared" si="78"/>
        <v>2.9438143336810114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10.256410256410078</v>
      </c>
      <c r="O126" s="14">
        <f>N126*VLOOKUP('Données projet'!$B$9,Paramètres!$A$1:$I$89,3,0)*VLOOKUP('Données projet'!$B$9,Paramètres!$A$1:$I$89,5,0)</f>
        <v>9.7599999999998293</v>
      </c>
      <c r="P126" s="14">
        <f t="shared" si="87"/>
        <v>3.4500860232767008</v>
      </c>
      <c r="Q126" s="22">
        <f t="shared" si="107"/>
        <v>23.007566490539954</v>
      </c>
      <c r="R126" s="60">
        <f t="shared" si="55"/>
        <v>316.34089982387326</v>
      </c>
      <c r="S126" s="60">
        <f ca="1">AVERAGE(OFFSET($R$3,0,0,'Données projet'!$E$9+1,1))-AVERAGE(OFFSET($H$3,0,0,'Données projet'!$E$9+1,1))</f>
        <v>353.61481736740694</v>
      </c>
      <c r="T126" s="60">
        <f t="shared" si="88"/>
        <v>244.7141066773861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268.49471999999946</v>
      </c>
      <c r="AK126" s="14">
        <f t="shared" si="89"/>
        <v>64.529707010294615</v>
      </c>
      <c r="AL126" s="22">
        <f t="shared" si="58"/>
        <v>580.01754370959543</v>
      </c>
      <c r="AM126" s="60">
        <f t="shared" si="59"/>
        <v>873.35087704292869</v>
      </c>
      <c r="AN126" s="60">
        <f ca="1">AVERAGE(OFFSET($AM$3,0,0,'Données projet'!$E$10+1,1))-AVERAGE(OFFSET($H$3,0,0,'Données projet'!$E$10+1,1))</f>
        <v>455.50822833641354</v>
      </c>
      <c r="AO126" s="60">
        <f t="shared" si="90"/>
        <v>261.14722581688039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290.14751999999947</v>
      </c>
      <c r="BF126" s="14">
        <f t="shared" si="91"/>
        <v>69.107008247100097</v>
      </c>
      <c r="BG126" s="22">
        <f t="shared" si="61"/>
        <v>625.70163669703174</v>
      </c>
      <c r="BH126" s="60">
        <f t="shared" si="62"/>
        <v>919.034970030365</v>
      </c>
      <c r="BI126" s="60">
        <f ca="1">AVERAGE(OFFSET($BH$3,0,0,'Données projet'!$E$11+1,1))-AVERAGE(OFFSET($H$3,0,0,'Données projet'!$E$11+1,1))</f>
        <v>488.7825919901664</v>
      </c>
      <c r="BJ126" s="60">
        <f t="shared" si="92"/>
        <v>278.78817181412438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281.48639999999949</v>
      </c>
      <c r="CA126" s="14">
        <f t="shared" si="93"/>
        <v>67.281031071373235</v>
      </c>
      <c r="CB126" s="22">
        <f t="shared" si="64"/>
        <v>607.43660911597419</v>
      </c>
      <c r="CC126" s="60">
        <f t="shared" si="65"/>
        <v>900.76994244930756</v>
      </c>
      <c r="CD126" s="60">
        <f ca="1">AVERAGE(OFFSET($CC$3,0,0,'Données projet'!$E$12+1,1))-AVERAGE(OFFSET($H$3,0,0,'Données projet'!$E$12+1,1))</f>
        <v>475.47920969424894</v>
      </c>
      <c r="CE126" s="60">
        <f t="shared" si="94"/>
        <v>271.73544012419364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251.1724799999995</v>
      </c>
      <c r="CV126" s="14">
        <f t="shared" si="95"/>
        <v>60.836941386956575</v>
      </c>
      <c r="CW126" s="22">
        <f t="shared" si="67"/>
        <v>543.41640891561519</v>
      </c>
      <c r="CX126" s="60">
        <f t="shared" si="68"/>
        <v>836.74974224894845</v>
      </c>
      <c r="CY126" s="60">
        <f ca="1">AVERAGE(OFFSET($CX$3,0,0,'Données projet'!$E$13+1,1))-AVERAGE(OFFSET($H$3,0,0,'Données projet'!$E$13+1,1))</f>
        <v>428.8489304403459</v>
      </c>
      <c r="CZ126" s="60">
        <f t="shared" si="96"/>
        <v>247.01165577562966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298.8086399999994</v>
      </c>
      <c r="DQ126" s="14">
        <f t="shared" si="97"/>
        <v>70.926650849267929</v>
      </c>
      <c r="DR126" s="22">
        <f t="shared" si="70"/>
        <v>643.95563156247397</v>
      </c>
      <c r="DS126" s="60">
        <f t="shared" si="71"/>
        <v>937.28896489580734</v>
      </c>
      <c r="DT126" s="60">
        <f ca="1">AVERAGE(OFFSET($DS$3,0,0,'Données projet'!$E$14+1,1))-AVERAGE(OFFSET($H$3,0,0,'Données projet'!$E$14+1,1))</f>
        <v>502.07782026233912</v>
      </c>
      <c r="DU126" s="60">
        <f t="shared" si="98"/>
        <v>285.83623046025156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-2.2737367544323206E-13</v>
      </c>
      <c r="EK126" s="18">
        <f>EJ126*VLOOKUP('Données projet'!$B$15,Paramètres!$A$1:$I$89,3,0)*VLOOKUP('Données projet'!$B$15,Paramètres!$A$1:$I$89,5,0)</f>
        <v>-1.3596945791505279E-13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392.62423122800357</v>
      </c>
      <c r="EP126" s="60">
        <f t="shared" si="100"/>
        <v>314.09619163968642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0.86100228542774393</v>
      </c>
      <c r="EX126" s="23">
        <f>EXP(-LN(2)/2)*EX125+(1-EXP(-LN(2)/2))/(LN(2)/2)*ER126*EU126*VLOOKUP('Données projet'!$B$15,Paramètres!$A$1:$I$89,3,0)*0.475*44/12</f>
        <v>1.7689488399415975E-13</v>
      </c>
      <c r="EY126" s="24">
        <f t="shared" si="75"/>
        <v>0.86100228542792079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0" t="e">
        <f t="shared" si="77"/>
        <v>#NUM!</v>
      </c>
      <c r="FJ126" s="60">
        <f ca="1">AVERAGE(OFFSET($FI$3,0,0,'Données projet'!$E$16+1,1))-AVERAGE(OFFSET($H$3,0,0,'Données projet'!$E$16+1,1))</f>
        <v>207.03241199974599</v>
      </c>
      <c r="FK126" s="60">
        <f t="shared" si="102"/>
        <v>314.188568589113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2.1403482446885409</v>
      </c>
      <c r="FR126" s="23">
        <f>EXP(-LN(2)/25)*FR125+(1-EXP(-LN(2)/25))/(LN(2)/25)*Calculateur!FM126*Calculateur!FO126*VLOOKUP('Données projet'!$B$16,Paramètres!$A$1:$I$89,3,0)*0.475*44/12</f>
        <v>0.73985550982311687</v>
      </c>
      <c r="FS126" s="23">
        <f>EXP(-LN(2)/2)*FS125+(1-EXP(-LN(2)/2))/(LN(2)/2)*FM126*FP126*VLOOKUP('Données projet'!$B$16,Paramètres!$A$1:$I$89,3,0)*0.475*44/12</f>
        <v>2.9386379986488084E-14</v>
      </c>
      <c r="FT126" s="24">
        <f t="shared" si="78"/>
        <v>2.8802037545116872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10.256410256410078</v>
      </c>
      <c r="O127" s="14">
        <f>N127*VLOOKUP('Données projet'!$B$9,Paramètres!$A$1:$I$89,3,0)*VLOOKUP('Données projet'!$B$9,Paramètres!$A$1:$I$89,5,0)</f>
        <v>9.7599999999998293</v>
      </c>
      <c r="P127" s="14">
        <f t="shared" si="87"/>
        <v>3.4500860232767008</v>
      </c>
      <c r="Q127" s="22">
        <f t="shared" si="107"/>
        <v>23.007566490539954</v>
      </c>
      <c r="R127" s="60">
        <f t="shared" si="55"/>
        <v>316.34089982387326</v>
      </c>
      <c r="S127" s="60">
        <f ca="1">AVERAGE(OFFSET($R$3,0,0,'Données projet'!$E$9+1,1))-AVERAGE(OFFSET($H$3,0,0,'Données projet'!$E$9+1,1))</f>
        <v>353.61481736740694</v>
      </c>
      <c r="T127" s="60">
        <f t="shared" si="88"/>
        <v>244.7141066773861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271.5897599999995</v>
      </c>
      <c r="AK127" s="14">
        <f t="shared" si="89"/>
        <v>65.186541118848012</v>
      </c>
      <c r="AL127" s="22">
        <f t="shared" si="58"/>
        <v>586.55205778199274</v>
      </c>
      <c r="AM127" s="60">
        <f t="shared" si="59"/>
        <v>879.885391115326</v>
      </c>
      <c r="AN127" s="60">
        <f ca="1">AVERAGE(OFFSET($AM$3,0,0,'Données projet'!$E$10+1,1))-AVERAGE(OFFSET($H$3,0,0,'Données projet'!$E$10+1,1))</f>
        <v>455.50822833641354</v>
      </c>
      <c r="AO127" s="60">
        <f t="shared" si="90"/>
        <v>261.14722581688039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293.49215999999944</v>
      </c>
      <c r="BF127" s="14">
        <f t="shared" si="91"/>
        <v>69.810433727546396</v>
      </c>
      <c r="BG127" s="22">
        <f t="shared" si="61"/>
        <v>632.75201740880891</v>
      </c>
      <c r="BH127" s="60">
        <f t="shared" si="62"/>
        <v>926.08535074214228</v>
      </c>
      <c r="BI127" s="60">
        <f ca="1">AVERAGE(OFFSET($BH$3,0,0,'Données projet'!$E$11+1,1))-AVERAGE(OFFSET($H$3,0,0,'Données projet'!$E$11+1,1))</f>
        <v>488.7825919901664</v>
      </c>
      <c r="BJ127" s="60">
        <f t="shared" si="92"/>
        <v>278.78817181412438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284.73119999999943</v>
      </c>
      <c r="CA127" s="14">
        <f t="shared" si="93"/>
        <v>67.965870320050826</v>
      </c>
      <c r="CB127" s="22">
        <f t="shared" si="64"/>
        <v>614.28073080742081</v>
      </c>
      <c r="CC127" s="60">
        <f t="shared" si="65"/>
        <v>907.61406414075418</v>
      </c>
      <c r="CD127" s="60">
        <f ca="1">AVERAGE(OFFSET($CC$3,0,0,'Données projet'!$E$12+1,1))-AVERAGE(OFFSET($H$3,0,0,'Données projet'!$E$12+1,1))</f>
        <v>475.47920969424894</v>
      </c>
      <c r="CE127" s="60">
        <f t="shared" si="94"/>
        <v>271.73544012419364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254.06783999999948</v>
      </c>
      <c r="CV127" s="14">
        <f t="shared" si="95"/>
        <v>61.456187622750612</v>
      </c>
      <c r="CW127" s="22">
        <f t="shared" si="67"/>
        <v>549.53768144295634</v>
      </c>
      <c r="CX127" s="60">
        <f t="shared" si="68"/>
        <v>842.87101477628971</v>
      </c>
      <c r="CY127" s="60">
        <f ca="1">AVERAGE(OFFSET($CX$3,0,0,'Données projet'!$E$13+1,1))-AVERAGE(OFFSET($H$3,0,0,'Données projet'!$E$13+1,1))</f>
        <v>428.8489304403459</v>
      </c>
      <c r="CZ127" s="60">
        <f t="shared" si="96"/>
        <v>247.01165577562966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302.2531199999994</v>
      </c>
      <c r="DQ127" s="14">
        <f t="shared" si="97"/>
        <v>71.648598083211283</v>
      </c>
      <c r="DR127" s="22">
        <f t="shared" si="70"/>
        <v>651.21215899492529</v>
      </c>
      <c r="DS127" s="60">
        <f t="shared" si="71"/>
        <v>944.54549232825866</v>
      </c>
      <c r="DT127" s="60">
        <f ca="1">AVERAGE(OFFSET($DS$3,0,0,'Données projet'!$E$14+1,1))-AVERAGE(OFFSET($H$3,0,0,'Données projet'!$E$14+1,1))</f>
        <v>502.07782026233912</v>
      </c>
      <c r="DU127" s="60">
        <f t="shared" si="98"/>
        <v>285.83623046025156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-2.2737367544323206E-13</v>
      </c>
      <c r="EK127" s="18">
        <f>EJ127*VLOOKUP('Données projet'!$B$15,Paramètres!$A$1:$I$89,3,0)*VLOOKUP('Données projet'!$B$15,Paramètres!$A$1:$I$89,5,0)</f>
        <v>-1.3596945791505279E-13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392.62423122800357</v>
      </c>
      <c r="EP127" s="60">
        <f t="shared" si="100"/>
        <v>314.09619163968642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0.83745813265457991</v>
      </c>
      <c r="EX127" s="23">
        <f>EXP(-LN(2)/2)*EX126+(1-EXP(-LN(2)/2))/(LN(2)/2)*ER127*EU127*VLOOKUP('Données projet'!$B$15,Paramètres!$A$1:$I$89,3,0)*0.475*44/12</f>
        <v>1.2508357202947802E-13</v>
      </c>
      <c r="EY127" s="24">
        <f t="shared" si="75"/>
        <v>0.83745813265470503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0" t="e">
        <f t="shared" si="77"/>
        <v>#NUM!</v>
      </c>
      <c r="FJ127" s="60">
        <f ca="1">AVERAGE(OFFSET($FI$3,0,0,'Données projet'!$E$16+1,1))-AVERAGE(OFFSET($H$3,0,0,'Données projet'!$E$16+1,1))</f>
        <v>207.03241199974599</v>
      </c>
      <c r="FK127" s="60">
        <f t="shared" si="102"/>
        <v>314.188568589113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2.098377321093722</v>
      </c>
      <c r="FR127" s="23">
        <f>EXP(-LN(2)/25)*FR126+(1-EXP(-LN(2)/25))/(LN(2)/25)*Calculateur!FM127*Calculateur!FO127*VLOOKUP('Données projet'!$B$16,Paramètres!$A$1:$I$89,3,0)*0.475*44/12</f>
        <v>0.7196241219996935</v>
      </c>
      <c r="FS127" s="23">
        <f>EXP(-LN(2)/2)*FS126+(1-EXP(-LN(2)/2))/(LN(2)/2)*FM127*FP127*VLOOKUP('Données projet'!$B$16,Paramètres!$A$1:$I$89,3,0)*0.475*44/12</f>
        <v>2.077930856297037E-14</v>
      </c>
      <c r="FT127" s="24">
        <f t="shared" si="78"/>
        <v>2.8180014430934364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10.256410256410078</v>
      </c>
      <c r="O128" s="14">
        <f>N128*VLOOKUP('Données projet'!$B$9,Paramètres!$A$1:$I$89,3,0)*VLOOKUP('Données projet'!$B$9,Paramètres!$A$1:$I$89,5,0)</f>
        <v>9.7599999999998293</v>
      </c>
      <c r="P128" s="14">
        <f t="shared" si="87"/>
        <v>3.4500860232767008</v>
      </c>
      <c r="Q128" s="22">
        <f t="shared" si="107"/>
        <v>23.007566490539954</v>
      </c>
      <c r="R128" s="60">
        <f t="shared" si="55"/>
        <v>316.34089982387326</v>
      </c>
      <c r="S128" s="60">
        <f ca="1">AVERAGE(OFFSET($R$3,0,0,'Données projet'!$E$9+1,1))-AVERAGE(OFFSET($H$3,0,0,'Données projet'!$E$9+1,1))</f>
        <v>353.61481736740694</v>
      </c>
      <c r="T128" s="60">
        <f t="shared" si="88"/>
        <v>244.7141066773861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274.68479999999943</v>
      </c>
      <c r="AK128" s="14">
        <f t="shared" si="89"/>
        <v>65.842504497456545</v>
      </c>
      <c r="AL128" s="22">
        <f t="shared" si="58"/>
        <v>593.08505533306914</v>
      </c>
      <c r="AM128" s="60">
        <f t="shared" si="59"/>
        <v>886.41838866640251</v>
      </c>
      <c r="AN128" s="60">
        <f ca="1">AVERAGE(OFFSET($AM$3,0,0,'Données projet'!$E$10+1,1))-AVERAGE(OFFSET($H$3,0,0,'Données projet'!$E$10+1,1))</f>
        <v>455.50822833641354</v>
      </c>
      <c r="AO128" s="60">
        <f t="shared" si="90"/>
        <v>261.14722581688039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296.83679999999941</v>
      </c>
      <c r="BF128" s="14">
        <f t="shared" si="91"/>
        <v>70.512926714351124</v>
      </c>
      <c r="BG128" s="22">
        <f t="shared" si="61"/>
        <v>639.80077402749373</v>
      </c>
      <c r="BH128" s="60">
        <f t="shared" si="62"/>
        <v>933.1341073608271</v>
      </c>
      <c r="BI128" s="60">
        <f ca="1">AVERAGE(OFFSET($BH$3,0,0,'Données projet'!$E$11+1,1))-AVERAGE(OFFSET($H$3,0,0,'Données projet'!$E$11+1,1))</f>
        <v>488.7825919901664</v>
      </c>
      <c r="BJ128" s="60">
        <f t="shared" si="92"/>
        <v>278.78817181412438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287.97599999999943</v>
      </c>
      <c r="CA128" s="14">
        <f t="shared" si="93"/>
        <v>68.649801713863027</v>
      </c>
      <c r="CB128" s="22">
        <f t="shared" si="64"/>
        <v>621.12327131831046</v>
      </c>
      <c r="CC128" s="60">
        <f t="shared" si="65"/>
        <v>914.45660465164383</v>
      </c>
      <c r="CD128" s="60">
        <f ca="1">AVERAGE(OFFSET($CC$3,0,0,'Données projet'!$E$12+1,1))-AVERAGE(OFFSET($H$3,0,0,'Données projet'!$E$12+1,1))</f>
        <v>475.47920969424894</v>
      </c>
      <c r="CE128" s="60">
        <f t="shared" si="94"/>
        <v>271.73544012419364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256.96319999999946</v>
      </c>
      <c r="CV128" s="14">
        <f t="shared" si="95"/>
        <v>62.07461295683791</v>
      </c>
      <c r="CW128" s="22">
        <f t="shared" si="67"/>
        <v>555.65752423315837</v>
      </c>
      <c r="CX128" s="60">
        <f t="shared" si="68"/>
        <v>848.99085756649174</v>
      </c>
      <c r="CY128" s="60">
        <f ca="1">AVERAGE(OFFSET($CX$3,0,0,'Données projet'!$E$13+1,1))-AVERAGE(OFFSET($H$3,0,0,'Données projet'!$E$13+1,1))</f>
        <v>428.8489304403459</v>
      </c>
      <c r="CZ128" s="60">
        <f t="shared" si="96"/>
        <v>247.01165577562966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305.69759999999934</v>
      </c>
      <c r="DQ128" s="14">
        <f t="shared" si="97"/>
        <v>72.369588270212233</v>
      </c>
      <c r="DR128" s="22">
        <f t="shared" si="70"/>
        <v>658.46701957061839</v>
      </c>
      <c r="DS128" s="60">
        <f t="shared" si="71"/>
        <v>951.80035290395176</v>
      </c>
      <c r="DT128" s="60">
        <f ca="1">AVERAGE(OFFSET($DS$3,0,0,'Données projet'!$E$14+1,1))-AVERAGE(OFFSET($H$3,0,0,'Données projet'!$E$14+1,1))</f>
        <v>502.07782026233912</v>
      </c>
      <c r="DU128" s="60">
        <f t="shared" si="98"/>
        <v>285.83623046025156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-2.2737367544323206E-13</v>
      </c>
      <c r="EK128" s="18">
        <f>EJ128*VLOOKUP('Données projet'!$B$15,Paramètres!$A$1:$I$89,3,0)*VLOOKUP('Données projet'!$B$15,Paramètres!$A$1:$I$89,5,0)</f>
        <v>-1.3596945791505279E-13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392.62423122800357</v>
      </c>
      <c r="EP128" s="60">
        <f t="shared" si="100"/>
        <v>314.09619163968642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0.81455779597713129</v>
      </c>
      <c r="EX128" s="23">
        <f>EXP(-LN(2)/2)*EX127+(1-EXP(-LN(2)/2))/(LN(2)/2)*ER128*EU128*VLOOKUP('Données projet'!$B$15,Paramètres!$A$1:$I$89,3,0)*0.475*44/12</f>
        <v>8.8447441997079875E-14</v>
      </c>
      <c r="EY128" s="24">
        <f t="shared" si="75"/>
        <v>0.81455779597721978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0" t="e">
        <f t="shared" si="77"/>
        <v>#NUM!</v>
      </c>
      <c r="FJ128" s="60">
        <f ca="1">AVERAGE(OFFSET($FI$3,0,0,'Données projet'!$E$16+1,1))-AVERAGE(OFFSET($H$3,0,0,'Données projet'!$E$16+1,1))</f>
        <v>207.03241199974599</v>
      </c>
      <c r="FK128" s="60">
        <f t="shared" si="102"/>
        <v>314.188568589113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2.0572294217108618</v>
      </c>
      <c r="FR128" s="23">
        <f>EXP(-LN(2)/25)*FR127+(1-EXP(-LN(2)/25))/(LN(2)/25)*Calculateur!FM128*Calculateur!FO128*VLOOKUP('Données projet'!$B$16,Paramètres!$A$1:$I$89,3,0)*0.475*44/12</f>
        <v>0.69994596254022401</v>
      </c>
      <c r="FS128" s="23">
        <f>EXP(-LN(2)/2)*FS127+(1-EXP(-LN(2)/2))/(LN(2)/2)*FM128*FP128*VLOOKUP('Données projet'!$B$16,Paramètres!$A$1:$I$89,3,0)*0.475*44/12</f>
        <v>1.4693189993244042E-14</v>
      </c>
      <c r="FT128" s="24">
        <f t="shared" si="78"/>
        <v>2.7571753842511004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10.256410256410078</v>
      </c>
      <c r="O129" s="14">
        <f>N129*VLOOKUP('Données projet'!$B$9,Paramètres!$A$1:$I$89,3,0)*VLOOKUP('Données projet'!$B$9,Paramètres!$A$1:$I$89,5,0)</f>
        <v>9.7599999999998293</v>
      </c>
      <c r="P129" s="14">
        <f t="shared" si="87"/>
        <v>3.4500860232767008</v>
      </c>
      <c r="Q129" s="22">
        <f t="shared" si="107"/>
        <v>23.007566490539954</v>
      </c>
      <c r="R129" s="60">
        <f t="shared" si="55"/>
        <v>316.34089982387326</v>
      </c>
      <c r="S129" s="60">
        <f ca="1">AVERAGE(OFFSET($R$3,0,0,'Données projet'!$E$9+1,1))-AVERAGE(OFFSET($H$3,0,0,'Données projet'!$E$9+1,1))</f>
        <v>353.61481736740694</v>
      </c>
      <c r="T129" s="60">
        <f t="shared" si="88"/>
        <v>244.7141066773861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277.77983999999947</v>
      </c>
      <c r="AK129" s="14">
        <f t="shared" si="89"/>
        <v>66.497608092453063</v>
      </c>
      <c r="AL129" s="22">
        <f t="shared" si="58"/>
        <v>599.61655542768813</v>
      </c>
      <c r="AM129" s="60">
        <f t="shared" si="59"/>
        <v>892.94988876102138</v>
      </c>
      <c r="AN129" s="60">
        <f ca="1">AVERAGE(OFFSET($AM$3,0,0,'Données projet'!$E$10+1,1))-AVERAGE(OFFSET($H$3,0,0,'Données projet'!$E$10+1,1))</f>
        <v>455.50822833641354</v>
      </c>
      <c r="AO129" s="60">
        <f t="shared" si="90"/>
        <v>261.14722581688039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300.18143999999944</v>
      </c>
      <c r="BF129" s="14">
        <f t="shared" si="91"/>
        <v>71.214498930305894</v>
      </c>
      <c r="BG129" s="22">
        <f t="shared" si="61"/>
        <v>646.84792697028172</v>
      </c>
      <c r="BH129" s="60">
        <f t="shared" si="62"/>
        <v>940.18126030361509</v>
      </c>
      <c r="BI129" s="60">
        <f ca="1">AVERAGE(OFFSET($BH$3,0,0,'Données projet'!$E$11+1,1))-AVERAGE(OFFSET($H$3,0,0,'Données projet'!$E$11+1,1))</f>
        <v>488.7825919901664</v>
      </c>
      <c r="BJ129" s="60">
        <f t="shared" si="92"/>
        <v>278.78817181412438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291.22079999999943</v>
      </c>
      <c r="CA129" s="14">
        <f t="shared" si="93"/>
        <v>69.33283666585649</v>
      </c>
      <c r="CB129" s="22">
        <f t="shared" si="64"/>
        <v>627.96425052636573</v>
      </c>
      <c r="CC129" s="60">
        <f t="shared" si="65"/>
        <v>921.29758385969899</v>
      </c>
      <c r="CD129" s="60">
        <f ca="1">AVERAGE(OFFSET($CC$3,0,0,'Données projet'!$E$12+1,1))-AVERAGE(OFFSET($H$3,0,0,'Données projet'!$E$12+1,1))</f>
        <v>475.47920969424894</v>
      </c>
      <c r="CE129" s="60">
        <f t="shared" si="94"/>
        <v>271.73544012419364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259.85855999999944</v>
      </c>
      <c r="CV129" s="14">
        <f t="shared" si="95"/>
        <v>62.692227709138365</v>
      </c>
      <c r="CW129" s="22">
        <f t="shared" si="67"/>
        <v>561.77595526008167</v>
      </c>
      <c r="CX129" s="60">
        <f t="shared" si="68"/>
        <v>855.10928859341493</v>
      </c>
      <c r="CY129" s="60">
        <f ca="1">AVERAGE(OFFSET($CX$3,0,0,'Données projet'!$E$13+1,1))-AVERAGE(OFFSET($H$3,0,0,'Données projet'!$E$13+1,1))</f>
        <v>428.8489304403459</v>
      </c>
      <c r="CZ129" s="60">
        <f t="shared" si="96"/>
        <v>247.01165577562966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309.14207999999934</v>
      </c>
      <c r="DQ129" s="14">
        <f t="shared" si="97"/>
        <v>73.089633441733085</v>
      </c>
      <c r="DR129" s="22">
        <f t="shared" si="70"/>
        <v>665.72023424435065</v>
      </c>
      <c r="DS129" s="60">
        <f t="shared" si="71"/>
        <v>959.05356757768391</v>
      </c>
      <c r="DT129" s="60">
        <f ca="1">AVERAGE(OFFSET($DS$3,0,0,'Données projet'!$E$14+1,1))-AVERAGE(OFFSET($H$3,0,0,'Données projet'!$E$14+1,1))</f>
        <v>502.07782026233912</v>
      </c>
      <c r="DU129" s="60">
        <f t="shared" si="98"/>
        <v>285.83623046025156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-2.2737367544323206E-13</v>
      </c>
      <c r="EK129" s="18">
        <f>EJ129*VLOOKUP('Données projet'!$B$15,Paramètres!$A$1:$I$89,3,0)*VLOOKUP('Données projet'!$B$15,Paramètres!$A$1:$I$89,5,0)</f>
        <v>-1.3596945791505279E-13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392.62423122800357</v>
      </c>
      <c r="EP129" s="60">
        <f t="shared" si="100"/>
        <v>314.09619163968642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0.7922836702104038</v>
      </c>
      <c r="EX129" s="23">
        <f>EXP(-LN(2)/2)*EX128+(1-EXP(-LN(2)/2))/(LN(2)/2)*ER129*EU129*VLOOKUP('Données projet'!$B$15,Paramètres!$A$1:$I$89,3,0)*0.475*44/12</f>
        <v>6.2541786014739012E-14</v>
      </c>
      <c r="EY129" s="24">
        <f t="shared" si="75"/>
        <v>0.79228367021046631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0" t="e">
        <f t="shared" si="77"/>
        <v>#NUM!</v>
      </c>
      <c r="FJ129" s="60">
        <f ca="1">AVERAGE(OFFSET($FI$3,0,0,'Données projet'!$E$16+1,1))-AVERAGE(OFFSET($H$3,0,0,'Données projet'!$E$16+1,1))</f>
        <v>207.03241199974599</v>
      </c>
      <c r="FK129" s="60">
        <f t="shared" si="102"/>
        <v>314.188568589113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2.0168884075371594</v>
      </c>
      <c r="FR129" s="23">
        <f>EXP(-LN(2)/25)*FR128+(1-EXP(-LN(2)/25))/(LN(2)/25)*Calculateur!FM129*Calculateur!FO129*VLOOKUP('Données projet'!$B$16,Paramètres!$A$1:$I$89,3,0)*0.475*44/12</f>
        <v>0.68080590338600311</v>
      </c>
      <c r="FS129" s="23">
        <f>EXP(-LN(2)/2)*FS128+(1-EXP(-LN(2)/2))/(LN(2)/2)*FM129*FP129*VLOOKUP('Données projet'!$B$16,Paramètres!$A$1:$I$89,3,0)*0.475*44/12</f>
        <v>1.0389654281485185E-14</v>
      </c>
      <c r="FT129" s="24">
        <f t="shared" si="78"/>
        <v>2.6976943109231728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10.256410256410078</v>
      </c>
      <c r="O130" s="14">
        <f>N130*VLOOKUP('Données projet'!$B$9,Paramètres!$A$1:$I$89,3,0)*VLOOKUP('Données projet'!$B$9,Paramètres!$A$1:$I$89,5,0)</f>
        <v>9.7599999999998293</v>
      </c>
      <c r="P130" s="14">
        <f t="shared" si="87"/>
        <v>3.4500860232767008</v>
      </c>
      <c r="Q130" s="22">
        <f t="shared" si="107"/>
        <v>23.007566490539954</v>
      </c>
      <c r="R130" s="60">
        <f t="shared" si="55"/>
        <v>316.34089982387326</v>
      </c>
      <c r="S130" s="60">
        <f ca="1">AVERAGE(OFFSET($R$3,0,0,'Données projet'!$E$9+1,1))-AVERAGE(OFFSET($H$3,0,0,'Données projet'!$E$9+1,1))</f>
        <v>353.61481736740694</v>
      </c>
      <c r="T130" s="60">
        <f t="shared" si="88"/>
        <v>244.7141066773861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280.87487999999945</v>
      </c>
      <c r="AK130" s="14">
        <f t="shared" si="89"/>
        <v>67.151862592195727</v>
      </c>
      <c r="AL130" s="22">
        <f t="shared" si="58"/>
        <v>606.1465766814066</v>
      </c>
      <c r="AM130" s="60">
        <f t="shared" si="59"/>
        <v>899.47991001473997</v>
      </c>
      <c r="AN130" s="60">
        <f ca="1">AVERAGE(OFFSET($AM$3,0,0,'Données projet'!$E$10+1,1))-AVERAGE(OFFSET($H$3,0,0,'Données projet'!$E$10+1,1))</f>
        <v>455.50822833641354</v>
      </c>
      <c r="AO130" s="60">
        <f t="shared" si="90"/>
        <v>261.14722581688039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303.52607999999941</v>
      </c>
      <c r="BF130" s="14">
        <f t="shared" si="91"/>
        <v>71.915161821928919</v>
      </c>
      <c r="BG130" s="22">
        <f t="shared" si="61"/>
        <v>653.89349617319181</v>
      </c>
      <c r="BH130" s="60">
        <f t="shared" si="62"/>
        <v>947.22682950652506</v>
      </c>
      <c r="BI130" s="60">
        <f ca="1">AVERAGE(OFFSET($BH$3,0,0,'Données projet'!$E$11+1,1))-AVERAGE(OFFSET($H$3,0,0,'Données projet'!$E$11+1,1))</f>
        <v>488.7825919901664</v>
      </c>
      <c r="BJ130" s="60">
        <f t="shared" si="92"/>
        <v>278.78817181412438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294.46559999999943</v>
      </c>
      <c r="CA130" s="14">
        <f t="shared" si="93"/>
        <v>70.0149863201041</v>
      </c>
      <c r="CB130" s="22">
        <f t="shared" si="64"/>
        <v>634.80368784084692</v>
      </c>
      <c r="CC130" s="60">
        <f t="shared" si="65"/>
        <v>928.13702117418029</v>
      </c>
      <c r="CD130" s="60">
        <f ca="1">AVERAGE(OFFSET($CC$3,0,0,'Données projet'!$E$12+1,1))-AVERAGE(OFFSET($H$3,0,0,'Données projet'!$E$12+1,1))</f>
        <v>475.47920969424894</v>
      </c>
      <c r="CE130" s="60">
        <f t="shared" si="94"/>
        <v>271.73544012419364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262.75391999999948</v>
      </c>
      <c r="CV130" s="14">
        <f t="shared" si="95"/>
        <v>63.309041956360211</v>
      </c>
      <c r="CW130" s="22">
        <f t="shared" si="67"/>
        <v>567.89299207399313</v>
      </c>
      <c r="CX130" s="60">
        <f t="shared" si="68"/>
        <v>861.22632540732639</v>
      </c>
      <c r="CY130" s="60">
        <f ca="1">AVERAGE(OFFSET($CX$3,0,0,'Données projet'!$E$13+1,1))-AVERAGE(OFFSET($H$3,0,0,'Données projet'!$E$13+1,1))</f>
        <v>428.8489304403459</v>
      </c>
      <c r="CZ130" s="60">
        <f t="shared" si="96"/>
        <v>247.01165577562966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312.58655999999934</v>
      </c>
      <c r="DQ130" s="14">
        <f t="shared" si="97"/>
        <v>73.808745345687839</v>
      </c>
      <c r="DR130" s="22">
        <f t="shared" si="70"/>
        <v>672.97182347707178</v>
      </c>
      <c r="DS130" s="60">
        <f t="shared" si="71"/>
        <v>966.30515681040515</v>
      </c>
      <c r="DT130" s="60">
        <f ca="1">AVERAGE(OFFSET($DS$3,0,0,'Données projet'!$E$14+1,1))-AVERAGE(OFFSET($H$3,0,0,'Données projet'!$E$14+1,1))</f>
        <v>502.07782026233912</v>
      </c>
      <c r="DU130" s="60">
        <f t="shared" si="98"/>
        <v>285.83623046025156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-2.2737367544323206E-13</v>
      </c>
      <c r="EK130" s="18">
        <f>EJ130*VLOOKUP('Données projet'!$B$15,Paramètres!$A$1:$I$89,3,0)*VLOOKUP('Données projet'!$B$15,Paramètres!$A$1:$I$89,5,0)</f>
        <v>-1.3596945791505279E-13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392.62423122800357</v>
      </c>
      <c r="EP130" s="60">
        <f t="shared" si="100"/>
        <v>314.09619163968642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0.77061863158411292</v>
      </c>
      <c r="EX130" s="23">
        <f>EXP(-LN(2)/2)*EX129+(1-EXP(-LN(2)/2))/(LN(2)/2)*ER130*EU130*VLOOKUP('Données projet'!$B$15,Paramètres!$A$1:$I$89,3,0)*0.475*44/12</f>
        <v>4.4223720998539937E-14</v>
      </c>
      <c r="EY130" s="24">
        <f t="shared" si="75"/>
        <v>0.77061863158415711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0" t="e">
        <f t="shared" si="77"/>
        <v>#NUM!</v>
      </c>
      <c r="FJ130" s="60">
        <f ca="1">AVERAGE(OFFSET($FI$3,0,0,'Données projet'!$E$16+1,1))-AVERAGE(OFFSET($H$3,0,0,'Données projet'!$E$16+1,1))</f>
        <v>207.03241199974599</v>
      </c>
      <c r="FK130" s="60">
        <f t="shared" si="102"/>
        <v>314.188568589113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1.977338456045814</v>
      </c>
      <c r="FR130" s="23">
        <f>EXP(-LN(2)/25)*FR129+(1-EXP(-LN(2)/25))/(LN(2)/25)*Calculateur!FM130*Calculateur!FO130*VLOOKUP('Données projet'!$B$16,Paramètres!$A$1:$I$89,3,0)*0.475*44/12</f>
        <v>0.66218923015588638</v>
      </c>
      <c r="FS130" s="23">
        <f>EXP(-LN(2)/2)*FS129+(1-EXP(-LN(2)/2))/(LN(2)/2)*FM130*FP130*VLOOKUP('Données projet'!$B$16,Paramètres!$A$1:$I$89,3,0)*0.475*44/12</f>
        <v>7.3465949966220211E-15</v>
      </c>
      <c r="FT130" s="24">
        <f t="shared" si="78"/>
        <v>2.6395276862017081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10.256410256410078</v>
      </c>
      <c r="O131" s="14">
        <f>N131*VLOOKUP('Données projet'!$B$9,Paramètres!$A$1:$I$89,3,0)*VLOOKUP('Données projet'!$B$9,Paramètres!$A$1:$I$89,5,0)</f>
        <v>9.7599999999998293</v>
      </c>
      <c r="P131" s="14">
        <f t="shared" si="87"/>
        <v>3.4500860232767008</v>
      </c>
      <c r="Q131" s="22">
        <f t="shared" ref="Q131:Q153" si="108">(O131+P131)*0.475*44/12</f>
        <v>23.007566490539954</v>
      </c>
      <c r="R131" s="60">
        <f t="shared" ref="R131:R194" si="109">Q131+(I131+J131)*44/12</f>
        <v>316.34089982387326</v>
      </c>
      <c r="S131" s="60">
        <f ca="1">AVERAGE(OFFSET($R$3,0,0,'Données projet'!$E$9+1,1))-AVERAGE(OFFSET($H$3,0,0,'Données projet'!$E$9+1,1))</f>
        <v>353.61481736740694</v>
      </c>
      <c r="T131" s="60">
        <f t="shared" si="88"/>
        <v>244.7141066773861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283.96991999999943</v>
      </c>
      <c r="AK131" s="14">
        <f t="shared" si="89"/>
        <v>67.805278435922148</v>
      </c>
      <c r="AL131" s="22">
        <f t="shared" si="58"/>
        <v>612.67513727589676</v>
      </c>
      <c r="AM131" s="60">
        <f t="shared" si="59"/>
        <v>906.00847060923002</v>
      </c>
      <c r="AN131" s="60">
        <f ca="1">AVERAGE(OFFSET($AM$3,0,0,'Données projet'!$E$10+1,1))-AVERAGE(OFFSET($H$3,0,0,'Données projet'!$E$10+1,1))</f>
        <v>455.50822833641354</v>
      </c>
      <c r="AO131" s="60">
        <f t="shared" si="90"/>
        <v>261.14722581688039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306.87071999999944</v>
      </c>
      <c r="BF131" s="14">
        <f t="shared" si="91"/>
        <v>72.614926568946714</v>
      </c>
      <c r="BG131" s="22">
        <f t="shared" si="61"/>
        <v>660.93750110758117</v>
      </c>
      <c r="BH131" s="60">
        <f t="shared" si="62"/>
        <v>954.27083444091454</v>
      </c>
      <c r="BI131" s="60">
        <f ca="1">AVERAGE(OFFSET($BH$3,0,0,'Données projet'!$E$11+1,1))-AVERAGE(OFFSET($H$3,0,0,'Données projet'!$E$11+1,1))</f>
        <v>488.7825919901664</v>
      </c>
      <c r="BJ131" s="60">
        <f t="shared" si="92"/>
        <v>278.78817181412438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297.71039999999937</v>
      </c>
      <c r="CA131" s="14">
        <f t="shared" si="93"/>
        <v>70.696261560936534</v>
      </c>
      <c r="CB131" s="22">
        <f t="shared" si="64"/>
        <v>641.64160221862994</v>
      </c>
      <c r="CC131" s="60">
        <f t="shared" si="65"/>
        <v>934.9749355519632</v>
      </c>
      <c r="CD131" s="60">
        <f ca="1">AVERAGE(OFFSET($CC$3,0,0,'Données projet'!$E$12+1,1))-AVERAGE(OFFSET($H$3,0,0,'Données projet'!$E$12+1,1))</f>
        <v>475.47920969424894</v>
      </c>
      <c r="CE131" s="60">
        <f t="shared" si="94"/>
        <v>271.73544012419364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265.64927999999946</v>
      </c>
      <c r="CV131" s="14">
        <f t="shared" si="95"/>
        <v>63.925065540346907</v>
      </c>
      <c r="CW131" s="22">
        <f t="shared" si="67"/>
        <v>574.00865181610322</v>
      </c>
      <c r="CX131" s="60">
        <f t="shared" si="68"/>
        <v>867.3419851494366</v>
      </c>
      <c r="CY131" s="60">
        <f ca="1">AVERAGE(OFFSET($CX$3,0,0,'Données projet'!$E$13+1,1))-AVERAGE(OFFSET($H$3,0,0,'Données projet'!$E$13+1,1))</f>
        <v>428.8489304403459</v>
      </c>
      <c r="CZ131" s="60">
        <f t="shared" si="96"/>
        <v>247.01165577562966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316.03103999999934</v>
      </c>
      <c r="DQ131" s="14">
        <f t="shared" si="97"/>
        <v>74.526935456174002</v>
      </c>
      <c r="DR131" s="22">
        <f t="shared" si="70"/>
        <v>680.22180725283522</v>
      </c>
      <c r="DS131" s="60">
        <f t="shared" si="71"/>
        <v>973.55514058616859</v>
      </c>
      <c r="DT131" s="60">
        <f ca="1">AVERAGE(OFFSET($DS$3,0,0,'Données projet'!$E$14+1,1))-AVERAGE(OFFSET($H$3,0,0,'Données projet'!$E$14+1,1))</f>
        <v>502.07782026233912</v>
      </c>
      <c r="DU131" s="60">
        <f t="shared" si="98"/>
        <v>285.83623046025156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-2.2737367544323206E-13</v>
      </c>
      <c r="EK131" s="18">
        <f>EJ131*VLOOKUP('Données projet'!$B$15,Paramètres!$A$1:$I$89,3,0)*VLOOKUP('Données projet'!$B$15,Paramètres!$A$1:$I$89,5,0)</f>
        <v>-1.3596945791505279E-13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392.62423122800357</v>
      </c>
      <c r="EP131" s="60">
        <f t="shared" si="100"/>
        <v>314.09619163968642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0.74954602457837283</v>
      </c>
      <c r="EX131" s="23">
        <f>EXP(-LN(2)/2)*EX130+(1-EXP(-LN(2)/2))/(LN(2)/2)*ER131*EU131*VLOOKUP('Données projet'!$B$15,Paramètres!$A$1:$I$89,3,0)*0.475*44/12</f>
        <v>3.1270893007369506E-14</v>
      </c>
      <c r="EY131" s="24">
        <f t="shared" si="75"/>
        <v>0.74954602457840414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0" t="e">
        <f t="shared" si="77"/>
        <v>#NUM!</v>
      </c>
      <c r="FJ131" s="60">
        <f ca="1">AVERAGE(OFFSET($FI$3,0,0,'Données projet'!$E$16+1,1))-AVERAGE(OFFSET($H$3,0,0,'Données projet'!$E$16+1,1))</f>
        <v>207.03241199974599</v>
      </c>
      <c r="FK131" s="60">
        <f t="shared" si="102"/>
        <v>314.188568589113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1.9385640549801255</v>
      </c>
      <c r="FR131" s="23">
        <f>EXP(-LN(2)/25)*FR130+(1-EXP(-LN(2)/25))/(LN(2)/25)*Calculateur!FM131*Calculateur!FO131*VLOOKUP('Données projet'!$B$16,Paramètres!$A$1:$I$89,3,0)*0.475*44/12</f>
        <v>0.64408163083425551</v>
      </c>
      <c r="FS131" s="23">
        <f>EXP(-LN(2)/2)*FS130+(1-EXP(-LN(2)/2))/(LN(2)/2)*FM131*FP131*VLOOKUP('Données projet'!$B$16,Paramètres!$A$1:$I$89,3,0)*0.475*44/12</f>
        <v>5.1948271407425924E-15</v>
      </c>
      <c r="FT131" s="24">
        <f t="shared" si="78"/>
        <v>2.5826456858143865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10.256410256410078</v>
      </c>
      <c r="O132" s="14">
        <f>N132*VLOOKUP('Données projet'!$B$9,Paramètres!$A$1:$I$89,3,0)*VLOOKUP('Données projet'!$B$9,Paramètres!$A$1:$I$89,5,0)</f>
        <v>9.7599999999998293</v>
      </c>
      <c r="P132" s="14">
        <f t="shared" si="87"/>
        <v>3.4500860232767008</v>
      </c>
      <c r="Q132" s="22">
        <f t="shared" si="108"/>
        <v>23.007566490539954</v>
      </c>
      <c r="R132" s="60">
        <f t="shared" si="109"/>
        <v>316.34089982387326</v>
      </c>
      <c r="S132" s="60">
        <f ca="1">AVERAGE(OFFSET($R$3,0,0,'Données projet'!$E$9+1,1))-AVERAGE(OFFSET($H$3,0,0,'Données projet'!$E$9+1,1))</f>
        <v>353.61481736740694</v>
      </c>
      <c r="T132" s="60">
        <f t="shared" si="88"/>
        <v>244.7141066773861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287.06495999999942</v>
      </c>
      <c r="AK132" s="14">
        <f t="shared" si="89"/>
        <v>68.457865822206202</v>
      </c>
      <c r="AL132" s="22">
        <f t="shared" ref="AL132:AL153" si="112">(AJ132+AK132)*0.475*44/12</f>
        <v>619.20225497367471</v>
      </c>
      <c r="AM132" s="60">
        <f t="shared" ref="AM132:AM195" si="113">AL132+(AD132+AE132)*44/12</f>
        <v>912.53558830700808</v>
      </c>
      <c r="AN132" s="60">
        <f ca="1">AVERAGE(OFFSET($AM$3,0,0,'Données projet'!$E$10+1,1))-AVERAGE(OFFSET($H$3,0,0,'Données projet'!$E$10+1,1))</f>
        <v>455.50822833641354</v>
      </c>
      <c r="AO132" s="60">
        <f t="shared" si="90"/>
        <v>261.14722581688039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310.21535999999941</v>
      </c>
      <c r="BF132" s="14">
        <f t="shared" si="91"/>
        <v>73.313804093350882</v>
      </c>
      <c r="BG132" s="22">
        <f t="shared" ref="BG132:BG153" si="115">(BE132+BF132)*0.475*44/12</f>
        <v>667.97996079591837</v>
      </c>
      <c r="BH132" s="60">
        <f t="shared" ref="BH132:BH195" si="116">BG132+(AY132+AZ132)*44/12</f>
        <v>961.31329412925174</v>
      </c>
      <c r="BI132" s="60">
        <f ca="1">AVERAGE(OFFSET($BH$3,0,0,'Données projet'!$E$11+1,1))-AVERAGE(OFFSET($H$3,0,0,'Données projet'!$E$11+1,1))</f>
        <v>488.7825919901664</v>
      </c>
      <c r="BJ132" s="60">
        <f t="shared" si="92"/>
        <v>278.78817181412438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300.95519999999942</v>
      </c>
      <c r="CA132" s="14">
        <f t="shared" si="93"/>
        <v>71.376673021759657</v>
      </c>
      <c r="CB132" s="22">
        <f t="shared" ref="CB132:CB153" si="118">(BZ132+CA132)*0.475*44/12</f>
        <v>648.47801217956373</v>
      </c>
      <c r="CC132" s="60">
        <f t="shared" ref="CC132:CC195" si="119">CB132+(BT132+BU132)*44/12</f>
        <v>941.81134551289711</v>
      </c>
      <c r="CD132" s="60">
        <f ca="1">AVERAGE(OFFSET($CC$3,0,0,'Données projet'!$E$12+1,1))-AVERAGE(OFFSET($H$3,0,0,'Données projet'!$E$12+1,1))</f>
        <v>475.47920969424894</v>
      </c>
      <c r="CE132" s="60">
        <f t="shared" si="94"/>
        <v>271.73544012419364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268.54463999999945</v>
      </c>
      <c r="CV132" s="14">
        <f t="shared" si="95"/>
        <v>64.540308076050593</v>
      </c>
      <c r="CW132" s="22">
        <f t="shared" ref="CW132:CW153" si="121">(CU132+CV132)*0.475*44/12</f>
        <v>580.12295123245383</v>
      </c>
      <c r="CX132" s="60">
        <f t="shared" ref="CX132:CX195" si="122">CW132+(CO132+CP132)*44/12</f>
        <v>873.4562845657872</v>
      </c>
      <c r="CY132" s="60">
        <f ca="1">AVERAGE(OFFSET($CX$3,0,0,'Données projet'!$E$13+1,1))-AVERAGE(OFFSET($H$3,0,0,'Données projet'!$E$13+1,1))</f>
        <v>428.8489304403459</v>
      </c>
      <c r="CZ132" s="60">
        <f t="shared" si="96"/>
        <v>247.01165577562966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319.47551999999928</v>
      </c>
      <c r="DQ132" s="14">
        <f t="shared" si="97"/>
        <v>75.244214982768113</v>
      </c>
      <c r="DR132" s="22">
        <f t="shared" ref="DR132:DR153" si="124">(DP132+DQ132)*0.475*44/12</f>
        <v>687.47020509498645</v>
      </c>
      <c r="DS132" s="60">
        <f t="shared" ref="DS132:DS195" si="125">DR132+(DJ132+DK132)*44/12</f>
        <v>980.80353842831983</v>
      </c>
      <c r="DT132" s="60">
        <f ca="1">AVERAGE(OFFSET($DS$3,0,0,'Données projet'!$E$14+1,1))-AVERAGE(OFFSET($H$3,0,0,'Données projet'!$E$14+1,1))</f>
        <v>502.07782026233912</v>
      </c>
      <c r="DU132" s="60">
        <f t="shared" si="98"/>
        <v>285.83623046025156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-2.2737367544323206E-13</v>
      </c>
      <c r="EK132" s="18">
        <f>EJ132*VLOOKUP('Données projet'!$B$15,Paramètres!$A$1:$I$89,3,0)*VLOOKUP('Données projet'!$B$15,Paramètres!$A$1:$I$89,5,0)</f>
        <v>-1.3596945791505279E-13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392.62423122800357</v>
      </c>
      <c r="EP132" s="60">
        <f t="shared" si="100"/>
        <v>314.09619163968642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0.72904964911936487</v>
      </c>
      <c r="EX132" s="23">
        <f>EXP(-LN(2)/2)*EX131+(1-EXP(-LN(2)/2))/(LN(2)/2)*ER132*EU132*VLOOKUP('Données projet'!$B$15,Paramètres!$A$1:$I$89,3,0)*0.475*44/12</f>
        <v>2.2111860499269969E-14</v>
      </c>
      <c r="EY132" s="24">
        <f t="shared" ref="EY132:EY153" si="129">SUM(EV132:EX132)</f>
        <v>0.72904964911938697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0" t="e">
        <f t="shared" ref="FI132:FI195" si="131">FH132+(EZ132+FA132)*44/12</f>
        <v>#NUM!</v>
      </c>
      <c r="FJ132" s="60">
        <f ca="1">AVERAGE(OFFSET($FI$3,0,0,'Données projet'!$E$16+1,1))-AVERAGE(OFFSET($H$3,0,0,'Données projet'!$E$16+1,1))</f>
        <v>207.03241199974599</v>
      </c>
      <c r="FK132" s="60">
        <f t="shared" si="102"/>
        <v>314.188568589113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1.9005499962692858</v>
      </c>
      <c r="FR132" s="23">
        <f>EXP(-LN(2)/25)*FR131+(1-EXP(-LN(2)/25))/(LN(2)/25)*Calculateur!FM132*Calculateur!FO132*VLOOKUP('Données projet'!$B$16,Paramètres!$A$1:$I$89,3,0)*0.475*44/12</f>
        <v>0.62646918476831193</v>
      </c>
      <c r="FS132" s="23">
        <f>EXP(-LN(2)/2)*FS131+(1-EXP(-LN(2)/2))/(LN(2)/2)*FM132*FP132*VLOOKUP('Données projet'!$B$16,Paramètres!$A$1:$I$89,3,0)*0.475*44/12</f>
        <v>3.6732974983110106E-15</v>
      </c>
      <c r="FT132" s="24">
        <f t="shared" ref="FT132:FT153" si="132">SUM(FQ132:FS132)</f>
        <v>2.527019181037601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10.256410256410078</v>
      </c>
      <c r="O133" s="14">
        <f>N133*VLOOKUP('Données projet'!$B$9,Paramètres!$A$1:$I$89,3,0)*VLOOKUP('Données projet'!$B$9,Paramètres!$A$1:$I$89,5,0)</f>
        <v>9.7599999999998293</v>
      </c>
      <c r="P133" s="14">
        <f t="shared" ref="P133:P196" si="141">EXP(-1.0587+0.8836*LN(O133)+0.284)</f>
        <v>3.4500860232767008</v>
      </c>
      <c r="Q133" s="22">
        <f t="shared" si="108"/>
        <v>23.007566490539954</v>
      </c>
      <c r="R133" s="60">
        <f t="shared" si="109"/>
        <v>316.34089982387326</v>
      </c>
      <c r="S133" s="60">
        <f ca="1">AVERAGE(OFFSET($R$3,0,0,'Données projet'!$E$9+1,1))-AVERAGE(OFFSET($H$3,0,0,'Données projet'!$E$9+1,1))</f>
        <v>353.61481736740694</v>
      </c>
      <c r="T133" s="60">
        <f t="shared" ref="T133:T196" si="142">$T$3</f>
        <v>244.7141066773861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290.1599999999994</v>
      </c>
      <c r="AK133" s="14">
        <f t="shared" ref="AK133:AK153" si="143">EXP(-1.0587+0.8836*LN(AJ133)+0.284)</f>
        <v>69.10963471703981</v>
      </c>
      <c r="AL133" s="22">
        <f t="shared" si="112"/>
        <v>625.72794713217661</v>
      </c>
      <c r="AM133" s="60">
        <f t="shared" si="113"/>
        <v>919.06128046550998</v>
      </c>
      <c r="AN133" s="60">
        <f ca="1">AVERAGE(OFFSET($AM$3,0,0,'Données projet'!$E$10+1,1))-AVERAGE(OFFSET($H$3,0,0,'Données projet'!$E$10+1,1))</f>
        <v>455.50822833641354</v>
      </c>
      <c r="AO133" s="60">
        <f t="shared" ref="AO133:AO196" si="144">$AO$3</f>
        <v>261.14722581688039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313.55999999999938</v>
      </c>
      <c r="BF133" s="14">
        <f t="shared" ref="BF133:BF153" si="145">EXP(-1.0587+0.8836*LN(BE133)+0.284)</f>
        <v>74.011805068053661</v>
      </c>
      <c r="BG133" s="22">
        <f t="shared" si="115"/>
        <v>675.02089382685904</v>
      </c>
      <c r="BH133" s="60">
        <f t="shared" si="116"/>
        <v>968.35422716019229</v>
      </c>
      <c r="BI133" s="60">
        <f ca="1">AVERAGE(OFFSET($BH$3,0,0,'Données projet'!$E$11+1,1))-AVERAGE(OFFSET($H$3,0,0,'Données projet'!$E$11+1,1))</f>
        <v>488.7825919901664</v>
      </c>
      <c r="BJ133" s="60">
        <f t="shared" ref="BJ133:BJ196" si="146">$BJ$3</f>
        <v>278.78817181412438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304.19999999999936</v>
      </c>
      <c r="CA133" s="14">
        <f t="shared" ref="CA133:CA153" si="147">EXP(-1.0587+0.8836*LN(BZ133)+0.284)</f>
        <v>72.056231093480946</v>
      </c>
      <c r="CB133" s="22">
        <f t="shared" si="118"/>
        <v>655.31293582114483</v>
      </c>
      <c r="CC133" s="60">
        <f t="shared" si="119"/>
        <v>948.6462691544782</v>
      </c>
      <c r="CD133" s="60">
        <f ca="1">AVERAGE(OFFSET($CC$3,0,0,'Données projet'!$E$12+1,1))-AVERAGE(OFFSET($H$3,0,0,'Données projet'!$E$12+1,1))</f>
        <v>475.47920969424894</v>
      </c>
      <c r="CE133" s="60">
        <f t="shared" ref="CE133:CE196" si="148">$CE$3</f>
        <v>271.73544012419364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271.43999999999943</v>
      </c>
      <c r="CV133" s="14">
        <f t="shared" ref="CV133:CV153" si="149">EXP(-1.0587+0.8836*LN(CU133)+0.284)</f>
        <v>65.154778959151116</v>
      </c>
      <c r="CW133" s="22">
        <f t="shared" si="121"/>
        <v>586.23590668718714</v>
      </c>
      <c r="CX133" s="60">
        <f t="shared" si="122"/>
        <v>879.56924002052051</v>
      </c>
      <c r="CY133" s="60">
        <f ca="1">AVERAGE(OFFSET($CX$3,0,0,'Données projet'!$E$13+1,1))-AVERAGE(OFFSET($H$3,0,0,'Données projet'!$E$13+1,1))</f>
        <v>428.8489304403459</v>
      </c>
      <c r="CZ133" s="60">
        <f t="shared" ref="CZ133:CZ196" si="150">$CZ$3</f>
        <v>247.01165577562966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322.91999999999928</v>
      </c>
      <c r="DQ133" s="14">
        <f t="shared" ref="DQ133:DQ153" si="151">EXP(-1.0587+0.8836*LN(DP133)+0.284)</f>
        <v>75.960594879408617</v>
      </c>
      <c r="DR133" s="22">
        <f t="shared" si="124"/>
        <v>694.71703608163534</v>
      </c>
      <c r="DS133" s="60">
        <f t="shared" si="125"/>
        <v>988.0503694149686</v>
      </c>
      <c r="DT133" s="60">
        <f ca="1">AVERAGE(OFFSET($DS$3,0,0,'Données projet'!$E$14+1,1))-AVERAGE(OFFSET($H$3,0,0,'Données projet'!$E$14+1,1))</f>
        <v>502.07782026233912</v>
      </c>
      <c r="DU133" s="60">
        <f t="shared" ref="DU133:DU196" si="152">$DU$3</f>
        <v>285.83623046025156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-2.2737367544323206E-13</v>
      </c>
      <c r="EK133" s="18">
        <f>EJ133*VLOOKUP('Données projet'!$B$15,Paramètres!$A$1:$I$89,3,0)*VLOOKUP('Données projet'!$B$15,Paramètres!$A$1:$I$89,5,0)</f>
        <v>-1.3596945791505279E-13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392.62423122800357</v>
      </c>
      <c r="EP133" s="60">
        <f t="shared" ref="EP133:EP196" si="154">$EP$3</f>
        <v>314.09619163968642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0.70911374812514105</v>
      </c>
      <c r="EX133" s="23">
        <f>EXP(-LN(2)/2)*EX132+(1-EXP(-LN(2)/2))/(LN(2)/2)*ER133*EU133*VLOOKUP('Données projet'!$B$15,Paramètres!$A$1:$I$89,3,0)*0.475*44/12</f>
        <v>1.5635446503684753E-14</v>
      </c>
      <c r="EY133" s="24">
        <f t="shared" si="129"/>
        <v>0.70911374812515671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0" t="e">
        <f t="shared" si="131"/>
        <v>#NUM!</v>
      </c>
      <c r="FJ133" s="60">
        <f ca="1">AVERAGE(OFFSET($FI$3,0,0,'Données projet'!$E$16+1,1))-AVERAGE(OFFSET($H$3,0,0,'Données projet'!$E$16+1,1))</f>
        <v>207.03241199974599</v>
      </c>
      <c r="FK133" s="60">
        <f t="shared" ref="FK133:FK196" si="156">$FK$3</f>
        <v>314.188568589113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1.8632813700634792</v>
      </c>
      <c r="FR133" s="23">
        <f>EXP(-LN(2)/25)*FR132+(1-EXP(-LN(2)/25))/(LN(2)/25)*Calculateur!FM133*Calculateur!FO133*VLOOKUP('Données projet'!$B$16,Paramètres!$A$1:$I$89,3,0)*0.475*44/12</f>
        <v>0.60933835196623987</v>
      </c>
      <c r="FS133" s="23">
        <f>EXP(-LN(2)/2)*FS132+(1-EXP(-LN(2)/2))/(LN(2)/2)*FM133*FP133*VLOOKUP('Données projet'!$B$16,Paramètres!$A$1:$I$89,3,0)*0.475*44/12</f>
        <v>2.5974135703712962E-15</v>
      </c>
      <c r="FT133" s="24">
        <f t="shared" si="132"/>
        <v>2.4726197220297217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10.256410256410078</v>
      </c>
      <c r="O134" s="14">
        <f>N134*VLOOKUP('Données projet'!$B$9,Paramètres!$A$1:$I$89,3,0)*VLOOKUP('Données projet'!$B$9,Paramètres!$A$1:$I$89,5,0)</f>
        <v>9.7599999999998293</v>
      </c>
      <c r="P134" s="14">
        <f t="shared" si="141"/>
        <v>3.4500860232767008</v>
      </c>
      <c r="Q134" s="22">
        <f t="shared" si="108"/>
        <v>23.007566490539954</v>
      </c>
      <c r="R134" s="60">
        <f t="shared" si="109"/>
        <v>316.34089982387326</v>
      </c>
      <c r="S134" s="60">
        <f ca="1">AVERAGE(OFFSET($R$3,0,0,'Données projet'!$E$9+1,1))-AVERAGE(OFFSET($H$3,0,0,'Données projet'!$E$9+1,1))</f>
        <v>353.61481736740694</v>
      </c>
      <c r="T134" s="60">
        <f t="shared" si="142"/>
        <v>244.7141066773861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262.7882399999994</v>
      </c>
      <c r="AK134" s="14">
        <f t="shared" si="143"/>
        <v>63.316348571334714</v>
      </c>
      <c r="AL134" s="22">
        <f t="shared" si="112"/>
        <v>567.96549176174028</v>
      </c>
      <c r="AM134" s="60">
        <f t="shared" si="113"/>
        <v>861.29882509507365</v>
      </c>
      <c r="AN134" s="60">
        <f ca="1">AVERAGE(OFFSET($AM$3,0,0,'Données projet'!$E$10+1,1))-AVERAGE(OFFSET($H$3,0,0,'Données projet'!$E$10+1,1))</f>
        <v>455.50822833641354</v>
      </c>
      <c r="AO134" s="60">
        <f t="shared" si="144"/>
        <v>261.14722581688039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283.98083999999938</v>
      </c>
      <c r="BF134" s="14">
        <f t="shared" si="145"/>
        <v>67.80758236198777</v>
      </c>
      <c r="BG134" s="22">
        <f t="shared" si="115"/>
        <v>612.69816894712756</v>
      </c>
      <c r="BH134" s="60">
        <f t="shared" si="116"/>
        <v>906.03150228046093</v>
      </c>
      <c r="BI134" s="60">
        <f ca="1">AVERAGE(OFFSET($BH$3,0,0,'Données projet'!$E$11+1,1))-AVERAGE(OFFSET($H$3,0,0,'Données projet'!$E$11+1,1))</f>
        <v>488.7825919901664</v>
      </c>
      <c r="BJ134" s="60">
        <f t="shared" si="146"/>
        <v>278.78817181412438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275.50379999999939</v>
      </c>
      <c r="CA134" s="14">
        <f t="shared" si="147"/>
        <v>66.015939215007748</v>
      </c>
      <c r="CB134" s="22">
        <f t="shared" si="118"/>
        <v>594.81354579947072</v>
      </c>
      <c r="CC134" s="60">
        <f t="shared" si="119"/>
        <v>888.14687913280409</v>
      </c>
      <c r="CD134" s="60">
        <f ca="1">AVERAGE(OFFSET($CC$3,0,0,'Données projet'!$E$12+1,1))-AVERAGE(OFFSET($H$3,0,0,'Données projet'!$E$12+1,1))</f>
        <v>475.47920969424894</v>
      </c>
      <c r="CE134" s="60">
        <f t="shared" si="148"/>
        <v>271.73544012419364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245.8341599999994</v>
      </c>
      <c r="CV134" s="14">
        <f t="shared" si="149"/>
        <v>59.693018383856675</v>
      </c>
      <c r="CW134" s="22">
        <f t="shared" si="121"/>
        <v>532.12650235188266</v>
      </c>
      <c r="CX134" s="60">
        <f t="shared" si="122"/>
        <v>825.45983568521592</v>
      </c>
      <c r="CY134" s="60">
        <f ca="1">AVERAGE(OFFSET($CX$3,0,0,'Données projet'!$E$13+1,1))-AVERAGE(OFFSET($H$3,0,0,'Données projet'!$E$13+1,1))</f>
        <v>428.8489304403459</v>
      </c>
      <c r="CZ134" s="60">
        <f t="shared" si="150"/>
        <v>247.01165577562966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292.45787999999931</v>
      </c>
      <c r="DQ134" s="14">
        <f t="shared" si="151"/>
        <v>69.59301004501954</v>
      </c>
      <c r="DR134" s="22">
        <f t="shared" si="124"/>
        <v>630.57196682840777</v>
      </c>
      <c r="DS134" s="60">
        <f t="shared" si="125"/>
        <v>923.90530016174102</v>
      </c>
      <c r="DT134" s="60">
        <f ca="1">AVERAGE(OFFSET($DS$3,0,0,'Données projet'!$E$14+1,1))-AVERAGE(OFFSET($H$3,0,0,'Données projet'!$E$14+1,1))</f>
        <v>502.07782026233912</v>
      </c>
      <c r="DU134" s="60">
        <f t="shared" si="152"/>
        <v>285.83623046025156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-2.2737367544323206E-13</v>
      </c>
      <c r="EK134" s="18">
        <f>EJ134*VLOOKUP('Données projet'!$B$15,Paramètres!$A$1:$I$89,3,0)*VLOOKUP('Données projet'!$B$15,Paramètres!$A$1:$I$89,5,0)</f>
        <v>-1.3596945791505279E-13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392.62423122800357</v>
      </c>
      <c r="EP134" s="60">
        <f t="shared" si="154"/>
        <v>314.09619163968642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0.68972299539198778</v>
      </c>
      <c r="EX134" s="23">
        <f>EXP(-LN(2)/2)*EX133+(1-EXP(-LN(2)/2))/(LN(2)/2)*ER134*EU134*VLOOKUP('Données projet'!$B$15,Paramètres!$A$1:$I$89,3,0)*0.475*44/12</f>
        <v>1.1055930249634984E-14</v>
      </c>
      <c r="EY134" s="24">
        <f t="shared" si="129"/>
        <v>0.68972299539199888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0" t="e">
        <f t="shared" si="131"/>
        <v>#NUM!</v>
      </c>
      <c r="FJ134" s="60">
        <f ca="1">AVERAGE(OFFSET($FI$3,0,0,'Données projet'!$E$16+1,1))-AVERAGE(OFFSET($H$3,0,0,'Données projet'!$E$16+1,1))</f>
        <v>207.03241199974599</v>
      </c>
      <c r="FK134" s="60">
        <f t="shared" si="156"/>
        <v>314.188568589113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1.8267435588859511</v>
      </c>
      <c r="FR134" s="23">
        <f>EXP(-LN(2)/25)*FR133+(1-EXP(-LN(2)/25))/(LN(2)/25)*Calculateur!FM134*Calculateur!FO134*VLOOKUP('Données projet'!$B$16,Paramètres!$A$1:$I$89,3,0)*0.475*44/12</f>
        <v>0.59267596268801181</v>
      </c>
      <c r="FS134" s="23">
        <f>EXP(-LN(2)/2)*FS133+(1-EXP(-LN(2)/2))/(LN(2)/2)*FM134*FP134*VLOOKUP('Données projet'!$B$16,Paramètres!$A$1:$I$89,3,0)*0.475*44/12</f>
        <v>1.8366487491555053E-15</v>
      </c>
      <c r="FT134" s="24">
        <f t="shared" si="132"/>
        <v>2.4194195215739649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10.256410256410078</v>
      </c>
      <c r="O135" s="14">
        <f>N135*VLOOKUP('Données projet'!$B$9,Paramètres!$A$1:$I$89,3,0)*VLOOKUP('Données projet'!$B$9,Paramètres!$A$1:$I$89,5,0)</f>
        <v>9.7599999999998293</v>
      </c>
      <c r="P135" s="14">
        <f t="shared" si="141"/>
        <v>3.4500860232767008</v>
      </c>
      <c r="Q135" s="22">
        <f t="shared" si="108"/>
        <v>23.007566490539954</v>
      </c>
      <c r="R135" s="60">
        <f t="shared" si="109"/>
        <v>316.34089982387326</v>
      </c>
      <c r="S135" s="60">
        <f ca="1">AVERAGE(OFFSET($R$3,0,0,'Données projet'!$E$9+1,1))-AVERAGE(OFFSET($H$3,0,0,'Données projet'!$E$9+1,1))</f>
        <v>353.61481736740694</v>
      </c>
      <c r="T135" s="60">
        <f t="shared" si="142"/>
        <v>244.7141066773861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265.39967999999936</v>
      </c>
      <c r="AK135" s="14">
        <f t="shared" si="143"/>
        <v>63.87199095821434</v>
      </c>
      <c r="AL135" s="22">
        <f t="shared" si="112"/>
        <v>573.48149358555554</v>
      </c>
      <c r="AM135" s="60">
        <f t="shared" si="113"/>
        <v>866.81482691888891</v>
      </c>
      <c r="AN135" s="60">
        <f ca="1">AVERAGE(OFFSET($AM$3,0,0,'Données projet'!$E$10+1,1))-AVERAGE(OFFSET($H$3,0,0,'Données projet'!$E$10+1,1))</f>
        <v>455.50822833641354</v>
      </c>
      <c r="AO135" s="60">
        <f t="shared" si="144"/>
        <v>261.14722581688039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286.80287999999939</v>
      </c>
      <c r="BF135" s="14">
        <f t="shared" si="145"/>
        <v>68.402638264014399</v>
      </c>
      <c r="BG135" s="22">
        <f t="shared" si="115"/>
        <v>618.64961097649064</v>
      </c>
      <c r="BH135" s="60">
        <f t="shared" si="116"/>
        <v>911.98294430982401</v>
      </c>
      <c r="BI135" s="60">
        <f ca="1">AVERAGE(OFFSET($BH$3,0,0,'Données projet'!$E$11+1,1))-AVERAGE(OFFSET($H$3,0,0,'Données projet'!$E$11+1,1))</f>
        <v>488.7825919901664</v>
      </c>
      <c r="BJ135" s="60">
        <f t="shared" si="146"/>
        <v>278.78817181412438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278.24159999999938</v>
      </c>
      <c r="CA135" s="14">
        <f t="shared" si="147"/>
        <v>66.595272276139625</v>
      </c>
      <c r="CB135" s="22">
        <f t="shared" si="118"/>
        <v>600.59088588094198</v>
      </c>
      <c r="CC135" s="60">
        <f t="shared" si="119"/>
        <v>893.92421921427535</v>
      </c>
      <c r="CD135" s="60">
        <f ca="1">AVERAGE(OFFSET($CC$3,0,0,'Données projet'!$E$12+1,1))-AVERAGE(OFFSET($H$3,0,0,'Données projet'!$E$12+1,1))</f>
        <v>475.47920969424894</v>
      </c>
      <c r="CE135" s="60">
        <f t="shared" si="148"/>
        <v>271.73544012419364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248.2771199999994</v>
      </c>
      <c r="CV135" s="14">
        <f t="shared" si="149"/>
        <v>60.216863677580257</v>
      </c>
      <c r="CW135" s="22">
        <f t="shared" si="121"/>
        <v>537.29368823845118</v>
      </c>
      <c r="CX135" s="60">
        <f t="shared" si="122"/>
        <v>830.62702157178455</v>
      </c>
      <c r="CY135" s="60">
        <f ca="1">AVERAGE(OFFSET($CX$3,0,0,'Données projet'!$E$13+1,1))-AVERAGE(OFFSET($H$3,0,0,'Données projet'!$E$13+1,1))</f>
        <v>428.8489304403459</v>
      </c>
      <c r="CZ135" s="60">
        <f t="shared" si="150"/>
        <v>247.01165577562966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295.36415999999929</v>
      </c>
      <c r="DQ135" s="14">
        <f t="shared" si="151"/>
        <v>70.203734243177976</v>
      </c>
      <c r="DR135" s="22">
        <f t="shared" si="124"/>
        <v>636.69741580686696</v>
      </c>
      <c r="DS135" s="60">
        <f t="shared" si="125"/>
        <v>930.03074914020021</v>
      </c>
      <c r="DT135" s="60">
        <f ca="1">AVERAGE(OFFSET($DS$3,0,0,'Données projet'!$E$14+1,1))-AVERAGE(OFFSET($H$3,0,0,'Données projet'!$E$14+1,1))</f>
        <v>502.07782026233912</v>
      </c>
      <c r="DU135" s="60">
        <f t="shared" si="152"/>
        <v>285.83623046025156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-2.2737367544323206E-13</v>
      </c>
      <c r="EK135" s="18">
        <f>EJ135*VLOOKUP('Données projet'!$B$15,Paramètres!$A$1:$I$89,3,0)*VLOOKUP('Données projet'!$B$15,Paramètres!$A$1:$I$89,5,0)</f>
        <v>-1.3596945791505279E-13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392.62423122800357</v>
      </c>
      <c r="EP135" s="60">
        <f t="shared" si="154"/>
        <v>314.09619163968642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0.67086248381203795</v>
      </c>
      <c r="EX135" s="23">
        <f>EXP(-LN(2)/2)*EX134+(1-EXP(-LN(2)/2))/(LN(2)/2)*ER135*EU135*VLOOKUP('Données projet'!$B$15,Paramètres!$A$1:$I$89,3,0)*0.475*44/12</f>
        <v>7.8177232518423765E-15</v>
      </c>
      <c r="EY135" s="24">
        <f t="shared" si="129"/>
        <v>0.67086248381204572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0" t="e">
        <f t="shared" si="131"/>
        <v>#NUM!</v>
      </c>
      <c r="FJ135" s="60">
        <f ca="1">AVERAGE(OFFSET($FI$3,0,0,'Données projet'!$E$16+1,1))-AVERAGE(OFFSET($H$3,0,0,'Données projet'!$E$16+1,1))</f>
        <v>207.03241199974599</v>
      </c>
      <c r="FK135" s="60">
        <f t="shared" si="156"/>
        <v>314.188568589113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1.79092223189975</v>
      </c>
      <c r="FR135" s="23">
        <f>EXP(-LN(2)/25)*FR134+(1-EXP(-LN(2)/25))/(LN(2)/25)*Calculateur!FM135*Calculateur!FO135*VLOOKUP('Données projet'!$B$16,Paramètres!$A$1:$I$89,3,0)*0.475*44/12</f>
        <v>0.57646920732083384</v>
      </c>
      <c r="FS135" s="23">
        <f>EXP(-LN(2)/2)*FS134+(1-EXP(-LN(2)/2))/(LN(2)/2)*FM135*FP135*VLOOKUP('Données projet'!$B$16,Paramètres!$A$1:$I$89,3,0)*0.475*44/12</f>
        <v>1.2987067851856481E-15</v>
      </c>
      <c r="FT135" s="24">
        <f t="shared" si="132"/>
        <v>2.3673914392205853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10.256410256410078</v>
      </c>
      <c r="O136" s="14">
        <f>N136*VLOOKUP('Données projet'!$B$9,Paramètres!$A$1:$I$89,3,0)*VLOOKUP('Données projet'!$B$9,Paramètres!$A$1:$I$89,5,0)</f>
        <v>9.7599999999998293</v>
      </c>
      <c r="P136" s="14">
        <f t="shared" si="141"/>
        <v>3.4500860232767008</v>
      </c>
      <c r="Q136" s="22">
        <f t="shared" si="108"/>
        <v>23.007566490539954</v>
      </c>
      <c r="R136" s="60">
        <f t="shared" si="109"/>
        <v>316.34089982387326</v>
      </c>
      <c r="S136" s="60">
        <f ca="1">AVERAGE(OFFSET($R$3,0,0,'Données projet'!$E$9+1,1))-AVERAGE(OFFSET($H$3,0,0,'Données projet'!$E$9+1,1))</f>
        <v>353.61481736740694</v>
      </c>
      <c r="T136" s="60">
        <f t="shared" si="142"/>
        <v>244.7141066773861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268.01111999999938</v>
      </c>
      <c r="AK136" s="14">
        <f t="shared" si="143"/>
        <v>64.426997301716739</v>
      </c>
      <c r="AL136" s="22">
        <f t="shared" si="112"/>
        <v>578.99638763382234</v>
      </c>
      <c r="AM136" s="60">
        <f t="shared" si="113"/>
        <v>872.32972096715571</v>
      </c>
      <c r="AN136" s="60">
        <f ca="1">AVERAGE(OFFSET($AM$3,0,0,'Données projet'!$E$10+1,1))-AVERAGE(OFFSET($H$3,0,0,'Données projet'!$E$10+1,1))</f>
        <v>455.50822833641354</v>
      </c>
      <c r="AO136" s="60">
        <f t="shared" si="144"/>
        <v>261.14722581688039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289.62491999999929</v>
      </c>
      <c r="BF136" s="14">
        <f t="shared" si="145"/>
        <v>68.997013006045975</v>
      </c>
      <c r="BG136" s="22">
        <f t="shared" si="115"/>
        <v>624.59986665219549</v>
      </c>
      <c r="BH136" s="60">
        <f t="shared" si="116"/>
        <v>917.93319998552874</v>
      </c>
      <c r="BI136" s="60">
        <f ca="1">AVERAGE(OFFSET($BH$3,0,0,'Données projet'!$E$11+1,1))-AVERAGE(OFFSET($H$3,0,0,'Données projet'!$E$11+1,1))</f>
        <v>488.7825919901664</v>
      </c>
      <c r="BJ136" s="60">
        <f t="shared" si="146"/>
        <v>278.78817181412438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280.97939999999937</v>
      </c>
      <c r="CA136" s="14">
        <f t="shared" si="147"/>
        <v>67.173942175199301</v>
      </c>
      <c r="CB136" s="22">
        <f t="shared" si="118"/>
        <v>606.36707095513759</v>
      </c>
      <c r="CC136" s="60">
        <f t="shared" si="119"/>
        <v>899.70040428847096</v>
      </c>
      <c r="CD136" s="60">
        <f ca="1">AVERAGE(OFFSET($CC$3,0,0,'Données projet'!$E$12+1,1))-AVERAGE(OFFSET($H$3,0,0,'Données projet'!$E$12+1,1))</f>
        <v>475.47920969424894</v>
      </c>
      <c r="CE136" s="60">
        <f t="shared" si="148"/>
        <v>271.73544012419364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250.72007999999943</v>
      </c>
      <c r="CV136" s="14">
        <f t="shared" si="149"/>
        <v>60.740109326032709</v>
      </c>
      <c r="CW136" s="22">
        <f t="shared" si="121"/>
        <v>542.45982974283925</v>
      </c>
      <c r="CX136" s="60">
        <f t="shared" si="122"/>
        <v>835.7931630761725</v>
      </c>
      <c r="CY136" s="60">
        <f ca="1">AVERAGE(OFFSET($CX$3,0,0,'Données projet'!$E$13+1,1))-AVERAGE(OFFSET($H$3,0,0,'Données projet'!$E$13+1,1))</f>
        <v>428.8489304403459</v>
      </c>
      <c r="CZ136" s="60">
        <f t="shared" si="150"/>
        <v>247.01165577562966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298.27043999999927</v>
      </c>
      <c r="DQ136" s="14">
        <f t="shared" si="151"/>
        <v>70.813759345855843</v>
      </c>
      <c r="DR136" s="22">
        <f t="shared" si="124"/>
        <v>642.8216471940309</v>
      </c>
      <c r="DS136" s="60">
        <f t="shared" si="125"/>
        <v>936.15498052736416</v>
      </c>
      <c r="DT136" s="60">
        <f ca="1">AVERAGE(OFFSET($DS$3,0,0,'Données projet'!$E$14+1,1))-AVERAGE(OFFSET($H$3,0,0,'Données projet'!$E$14+1,1))</f>
        <v>502.07782026233912</v>
      </c>
      <c r="DU136" s="60">
        <f t="shared" si="152"/>
        <v>285.83623046025156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-2.2737367544323206E-13</v>
      </c>
      <c r="EK136" s="18">
        <f>EJ136*VLOOKUP('Données projet'!$B$15,Paramètres!$A$1:$I$89,3,0)*VLOOKUP('Données projet'!$B$15,Paramètres!$A$1:$I$89,5,0)</f>
        <v>-1.3596945791505279E-13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392.62423122800357</v>
      </c>
      <c r="EP136" s="60">
        <f t="shared" si="154"/>
        <v>314.09619163968642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0.65251771391307301</v>
      </c>
      <c r="EX136" s="23">
        <f>EXP(-LN(2)/2)*EX135+(1-EXP(-LN(2)/2))/(LN(2)/2)*ER136*EU136*VLOOKUP('Données projet'!$B$15,Paramètres!$A$1:$I$89,3,0)*0.475*44/12</f>
        <v>5.5279651248174922E-15</v>
      </c>
      <c r="EY136" s="24">
        <f t="shared" si="129"/>
        <v>0.65251771391307856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0" t="e">
        <f t="shared" si="131"/>
        <v>#NUM!</v>
      </c>
      <c r="FJ136" s="60">
        <f ca="1">AVERAGE(OFFSET($FI$3,0,0,'Données projet'!$E$16+1,1))-AVERAGE(OFFSET($H$3,0,0,'Données projet'!$E$16+1,1))</f>
        <v>207.03241199974599</v>
      </c>
      <c r="FK136" s="60">
        <f t="shared" si="156"/>
        <v>314.188568589113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1.7558033392868964</v>
      </c>
      <c r="FR136" s="23">
        <f>EXP(-LN(2)/25)*FR135+(1-EXP(-LN(2)/25))/(LN(2)/25)*Calculateur!FM136*Calculateur!FO136*VLOOKUP('Données projet'!$B$16,Paramètres!$A$1:$I$89,3,0)*0.475*44/12</f>
        <v>0.56070562653144762</v>
      </c>
      <c r="FS136" s="23">
        <f>EXP(-LN(2)/2)*FS135+(1-EXP(-LN(2)/2))/(LN(2)/2)*FM136*FP136*VLOOKUP('Données projet'!$B$16,Paramètres!$A$1:$I$89,3,0)*0.475*44/12</f>
        <v>9.1832437457775264E-16</v>
      </c>
      <c r="FT136" s="24">
        <f t="shared" si="132"/>
        <v>2.3165089658183451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10.256410256410078</v>
      </c>
      <c r="O137" s="14">
        <f>N137*VLOOKUP('Données projet'!$B$9,Paramètres!$A$1:$I$89,3,0)*VLOOKUP('Données projet'!$B$9,Paramètres!$A$1:$I$89,5,0)</f>
        <v>9.7599999999998293</v>
      </c>
      <c r="P137" s="14">
        <f t="shared" si="141"/>
        <v>3.4500860232767008</v>
      </c>
      <c r="Q137" s="22">
        <f t="shared" si="108"/>
        <v>23.007566490539954</v>
      </c>
      <c r="R137" s="60">
        <f t="shared" si="109"/>
        <v>316.34089982387326</v>
      </c>
      <c r="S137" s="60">
        <f ca="1">AVERAGE(OFFSET($R$3,0,0,'Données projet'!$E$9+1,1))-AVERAGE(OFFSET($H$3,0,0,'Données projet'!$E$9+1,1))</f>
        <v>353.61481736740694</v>
      </c>
      <c r="T137" s="60">
        <f t="shared" si="142"/>
        <v>244.7141066773861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270.62255999999934</v>
      </c>
      <c r="AK137" s="14">
        <f t="shared" si="143"/>
        <v>64.981374516987898</v>
      </c>
      <c r="AL137" s="22">
        <f t="shared" si="112"/>
        <v>584.51018595041944</v>
      </c>
      <c r="AM137" s="60">
        <f t="shared" si="113"/>
        <v>877.84351928375281</v>
      </c>
      <c r="AN137" s="60">
        <f ca="1">AVERAGE(OFFSET($AM$3,0,0,'Données projet'!$E$10+1,1))-AVERAGE(OFFSET($H$3,0,0,'Données projet'!$E$10+1,1))</f>
        <v>455.50822833641354</v>
      </c>
      <c r="AO137" s="60">
        <f t="shared" si="144"/>
        <v>261.14722581688039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292.44695999999931</v>
      </c>
      <c r="BF137" s="14">
        <f t="shared" si="145"/>
        <v>69.590713993741971</v>
      </c>
      <c r="BG137" s="22">
        <f t="shared" si="115"/>
        <v>630.54894887243267</v>
      </c>
      <c r="BH137" s="60">
        <f t="shared" si="116"/>
        <v>923.88228220576593</v>
      </c>
      <c r="BI137" s="60">
        <f ca="1">AVERAGE(OFFSET($BH$3,0,0,'Données projet'!$E$11+1,1))-AVERAGE(OFFSET($H$3,0,0,'Données projet'!$E$11+1,1))</f>
        <v>488.7825919901664</v>
      </c>
      <c r="BJ137" s="60">
        <f t="shared" si="146"/>
        <v>278.78817181412438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283.71719999999937</v>
      </c>
      <c r="CA137" s="14">
        <f t="shared" si="147"/>
        <v>67.751956122170526</v>
      </c>
      <c r="CB137" s="22">
        <f t="shared" si="118"/>
        <v>612.14211357944589</v>
      </c>
      <c r="CC137" s="60">
        <f t="shared" si="119"/>
        <v>905.47544691277926</v>
      </c>
      <c r="CD137" s="60">
        <f ca="1">AVERAGE(OFFSET($CC$3,0,0,'Données projet'!$E$12+1,1))-AVERAGE(OFFSET($H$3,0,0,'Données projet'!$E$12+1,1))</f>
        <v>475.47920969424894</v>
      </c>
      <c r="CE137" s="60">
        <f t="shared" si="148"/>
        <v>271.73544012419364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253.16303999999937</v>
      </c>
      <c r="CV137" s="14">
        <f t="shared" si="149"/>
        <v>61.262761848634923</v>
      </c>
      <c r="CW137" s="22">
        <f t="shared" si="121"/>
        <v>547.62493821970475</v>
      </c>
      <c r="CX137" s="60">
        <f t="shared" si="122"/>
        <v>840.958271553038</v>
      </c>
      <c r="CY137" s="60">
        <f ca="1">AVERAGE(OFFSET($CX$3,0,0,'Données projet'!$E$13+1,1))-AVERAGE(OFFSET($H$3,0,0,'Données projet'!$E$13+1,1))</f>
        <v>428.8489304403459</v>
      </c>
      <c r="CZ137" s="60">
        <f t="shared" si="150"/>
        <v>247.01165577562966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301.17671999999925</v>
      </c>
      <c r="DQ137" s="14">
        <f t="shared" si="151"/>
        <v>71.423092953709514</v>
      </c>
      <c r="DR137" s="22">
        <f t="shared" si="124"/>
        <v>648.94467422770936</v>
      </c>
      <c r="DS137" s="60">
        <f t="shared" si="125"/>
        <v>942.27800756104261</v>
      </c>
      <c r="DT137" s="60">
        <f ca="1">AVERAGE(OFFSET($DS$3,0,0,'Données projet'!$E$14+1,1))-AVERAGE(OFFSET($H$3,0,0,'Données projet'!$E$14+1,1))</f>
        <v>502.07782026233912</v>
      </c>
      <c r="DU137" s="60">
        <f t="shared" si="152"/>
        <v>285.83623046025156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-2.2737367544323206E-13</v>
      </c>
      <c r="EK137" s="18">
        <f>EJ137*VLOOKUP('Données projet'!$B$15,Paramètres!$A$1:$I$89,3,0)*VLOOKUP('Données projet'!$B$15,Paramètres!$A$1:$I$89,5,0)</f>
        <v>-1.3596945791505279E-13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392.62423122800357</v>
      </c>
      <c r="EP137" s="60">
        <f t="shared" si="154"/>
        <v>314.09619163968642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0.63467458271170485</v>
      </c>
      <c r="EX137" s="23">
        <f>EXP(-LN(2)/2)*EX136+(1-EXP(-LN(2)/2))/(LN(2)/2)*ER137*EU137*VLOOKUP('Données projet'!$B$15,Paramètres!$A$1:$I$89,3,0)*0.475*44/12</f>
        <v>3.9088616259211883E-15</v>
      </c>
      <c r="EY137" s="24">
        <f t="shared" si="129"/>
        <v>0.63467458271170873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0" t="e">
        <f t="shared" si="131"/>
        <v>#NUM!</v>
      </c>
      <c r="FJ137" s="60">
        <f ca="1">AVERAGE(OFFSET($FI$3,0,0,'Données projet'!$E$16+1,1))-AVERAGE(OFFSET($H$3,0,0,'Données projet'!$E$16+1,1))</f>
        <v>207.03241199974599</v>
      </c>
      <c r="FK137" s="60">
        <f t="shared" si="156"/>
        <v>314.188568589113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1.7213731067377713</v>
      </c>
      <c r="FR137" s="23">
        <f>EXP(-LN(2)/25)*FR136+(1-EXP(-LN(2)/25))/(LN(2)/25)*Calculateur!FM137*Calculateur!FO137*VLOOKUP('Données projet'!$B$16,Paramètres!$A$1:$I$89,3,0)*0.475*44/12</f>
        <v>0.5453731016877178</v>
      </c>
      <c r="FS137" s="23">
        <f>EXP(-LN(2)/2)*FS136+(1-EXP(-LN(2)/2))/(LN(2)/2)*FM137*FP137*VLOOKUP('Données projet'!$B$16,Paramètres!$A$1:$I$89,3,0)*0.475*44/12</f>
        <v>6.4935339259282405E-16</v>
      </c>
      <c r="FT137" s="24">
        <f t="shared" si="132"/>
        <v>2.2667462084254897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10.256410256410078</v>
      </c>
      <c r="O138" s="14">
        <f>N138*VLOOKUP('Données projet'!$B$9,Paramètres!$A$1:$I$89,3,0)*VLOOKUP('Données projet'!$B$9,Paramètres!$A$1:$I$89,5,0)</f>
        <v>9.7599999999998293</v>
      </c>
      <c r="P138" s="14">
        <f t="shared" si="141"/>
        <v>3.4500860232767008</v>
      </c>
      <c r="Q138" s="22">
        <f t="shared" si="108"/>
        <v>23.007566490539954</v>
      </c>
      <c r="R138" s="60">
        <f t="shared" si="109"/>
        <v>316.34089982387326</v>
      </c>
      <c r="S138" s="60">
        <f ca="1">AVERAGE(OFFSET($R$3,0,0,'Données projet'!$E$9+1,1))-AVERAGE(OFFSET($H$3,0,0,'Données projet'!$E$9+1,1))</f>
        <v>353.61481736740694</v>
      </c>
      <c r="T138" s="60">
        <f t="shared" si="142"/>
        <v>244.7141066773861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273.23399999999936</v>
      </c>
      <c r="AK138" s="14">
        <f t="shared" si="143"/>
        <v>65.535129378020301</v>
      </c>
      <c r="AL138" s="22">
        <f t="shared" si="112"/>
        <v>590.0229003333842</v>
      </c>
      <c r="AM138" s="60">
        <f t="shared" si="113"/>
        <v>883.35623366671757</v>
      </c>
      <c r="AN138" s="60">
        <f ca="1">AVERAGE(OFFSET($AM$3,0,0,'Données projet'!$E$10+1,1))-AVERAGE(OFFSET($H$3,0,0,'Données projet'!$E$10+1,1))</f>
        <v>455.50822833641354</v>
      </c>
      <c r="AO138" s="60">
        <f t="shared" si="144"/>
        <v>261.14722581688039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295.26899999999932</v>
      </c>
      <c r="BF138" s="14">
        <f t="shared" si="145"/>
        <v>70.183748481596197</v>
      </c>
      <c r="BG138" s="22">
        <f t="shared" si="115"/>
        <v>636.49687027211212</v>
      </c>
      <c r="BH138" s="60">
        <f t="shared" si="116"/>
        <v>929.83020360544538</v>
      </c>
      <c r="BI138" s="60">
        <f ca="1">AVERAGE(OFFSET($BH$3,0,0,'Données projet'!$E$11+1,1))-AVERAGE(OFFSET($H$3,0,0,'Données projet'!$E$11+1,1))</f>
        <v>488.7825919901664</v>
      </c>
      <c r="BJ138" s="60">
        <f t="shared" si="146"/>
        <v>278.78817181412438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286.45499999999936</v>
      </c>
      <c r="CA138" s="14">
        <f t="shared" si="147"/>
        <v>68.329321179865531</v>
      </c>
      <c r="CB138" s="22">
        <f t="shared" si="118"/>
        <v>617.91602605493142</v>
      </c>
      <c r="CC138" s="60">
        <f t="shared" si="119"/>
        <v>911.24935938826479</v>
      </c>
      <c r="CD138" s="60">
        <f ca="1">AVERAGE(OFFSET($CC$3,0,0,'Données projet'!$E$12+1,1))-AVERAGE(OFFSET($H$3,0,0,'Données projet'!$E$12+1,1))</f>
        <v>475.47920969424894</v>
      </c>
      <c r="CE138" s="60">
        <f t="shared" si="148"/>
        <v>271.73544012419364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255.60599999999937</v>
      </c>
      <c r="CV138" s="14">
        <f t="shared" si="149"/>
        <v>61.784827631732192</v>
      </c>
      <c r="CW138" s="22">
        <f t="shared" si="121"/>
        <v>552.78902479193243</v>
      </c>
      <c r="CX138" s="60">
        <f t="shared" si="122"/>
        <v>846.12235812526569</v>
      </c>
      <c r="CY138" s="60">
        <f ca="1">AVERAGE(OFFSET($CX$3,0,0,'Données projet'!$E$13+1,1))-AVERAGE(OFFSET($H$3,0,0,'Données projet'!$E$13+1,1))</f>
        <v>428.8489304403459</v>
      </c>
      <c r="CZ138" s="60">
        <f t="shared" si="150"/>
        <v>247.01165577562966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304.08299999999929</v>
      </c>
      <c r="DQ138" s="14">
        <f t="shared" si="151"/>
        <v>72.031742512249494</v>
      </c>
      <c r="DR138" s="22">
        <f t="shared" si="124"/>
        <v>655.06650987549995</v>
      </c>
      <c r="DS138" s="60">
        <f t="shared" si="125"/>
        <v>948.39984320883332</v>
      </c>
      <c r="DT138" s="60">
        <f ca="1">AVERAGE(OFFSET($DS$3,0,0,'Données projet'!$E$14+1,1))-AVERAGE(OFFSET($H$3,0,0,'Données projet'!$E$14+1,1))</f>
        <v>502.07782026233912</v>
      </c>
      <c r="DU138" s="60">
        <f t="shared" si="152"/>
        <v>285.83623046025156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-2.2737367544323206E-13</v>
      </c>
      <c r="EK138" s="18">
        <f>EJ138*VLOOKUP('Données projet'!$B$15,Paramètres!$A$1:$I$89,3,0)*VLOOKUP('Données projet'!$B$15,Paramètres!$A$1:$I$89,5,0)</f>
        <v>-1.3596945791505279E-13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392.62423122800357</v>
      </c>
      <c r="EP138" s="60">
        <f t="shared" si="154"/>
        <v>314.09619163968642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0.61731937287136751</v>
      </c>
      <c r="EX138" s="23">
        <f>EXP(-LN(2)/2)*EX137+(1-EXP(-LN(2)/2))/(LN(2)/2)*ER138*EU138*VLOOKUP('Données projet'!$B$15,Paramètres!$A$1:$I$89,3,0)*0.475*44/12</f>
        <v>2.7639825624087461E-15</v>
      </c>
      <c r="EY138" s="24">
        <f t="shared" si="129"/>
        <v>0.61731937287137029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0" t="e">
        <f t="shared" si="131"/>
        <v>#NUM!</v>
      </c>
      <c r="FJ138" s="60">
        <f ca="1">AVERAGE(OFFSET($FI$3,0,0,'Données projet'!$E$16+1,1))-AVERAGE(OFFSET($H$3,0,0,'Données projet'!$E$16+1,1))</f>
        <v>207.03241199974599</v>
      </c>
      <c r="FK138" s="60">
        <f t="shared" si="156"/>
        <v>314.188568589113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1.6876180300485664</v>
      </c>
      <c r="FR138" s="23">
        <f>EXP(-LN(2)/25)*FR137+(1-EXP(-LN(2)/25))/(LN(2)/25)*Calculateur!FM138*Calculateur!FO138*VLOOKUP('Données projet'!$B$16,Paramètres!$A$1:$I$89,3,0)*0.475*44/12</f>
        <v>0.53045984554214221</v>
      </c>
      <c r="FS138" s="23">
        <f>EXP(-LN(2)/2)*FS137+(1-EXP(-LN(2)/2))/(LN(2)/2)*FM138*FP138*VLOOKUP('Données projet'!$B$16,Paramètres!$A$1:$I$89,3,0)*0.475*44/12</f>
        <v>4.5916218728887632E-16</v>
      </c>
      <c r="FT138" s="24">
        <f t="shared" si="132"/>
        <v>2.2180778755907089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10.256410256410078</v>
      </c>
      <c r="O139" s="14">
        <f>N139*VLOOKUP('Données projet'!$B$9,Paramètres!$A$1:$I$89,3,0)*VLOOKUP('Données projet'!$B$9,Paramètres!$A$1:$I$89,5,0)</f>
        <v>9.7599999999998293</v>
      </c>
      <c r="P139" s="14">
        <f t="shared" si="141"/>
        <v>3.4500860232767008</v>
      </c>
      <c r="Q139" s="22">
        <f t="shared" si="108"/>
        <v>23.007566490539954</v>
      </c>
      <c r="R139" s="60">
        <f t="shared" si="109"/>
        <v>316.34089982387326</v>
      </c>
      <c r="S139" s="60">
        <f ca="1">AVERAGE(OFFSET($R$3,0,0,'Données projet'!$E$9+1,1))-AVERAGE(OFFSET($H$3,0,0,'Données projet'!$E$9+1,1))</f>
        <v>353.61481736740694</v>
      </c>
      <c r="T139" s="60">
        <f t="shared" si="142"/>
        <v>244.7141066773861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275.84543999999931</v>
      </c>
      <c r="AK139" s="14">
        <f t="shared" si="143"/>
        <v>66.088268521855113</v>
      </c>
      <c r="AL139" s="22">
        <f t="shared" si="112"/>
        <v>595.53454234222977</v>
      </c>
      <c r="AM139" s="60">
        <f t="shared" si="113"/>
        <v>888.86787567556303</v>
      </c>
      <c r="AN139" s="60">
        <f ca="1">AVERAGE(OFFSET($AM$3,0,0,'Données projet'!$E$10+1,1))-AVERAGE(OFFSET($H$3,0,0,'Données projet'!$E$10+1,1))</f>
        <v>455.50822833641354</v>
      </c>
      <c r="AO139" s="60">
        <f t="shared" si="144"/>
        <v>261.14722581688039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298.09103999999928</v>
      </c>
      <c r="BF139" s="14">
        <f t="shared" si="145"/>
        <v>70.776123577436877</v>
      </c>
      <c r="BG139" s="22">
        <f t="shared" si="115"/>
        <v>642.44364323070124</v>
      </c>
      <c r="BH139" s="60">
        <f t="shared" si="116"/>
        <v>935.77697656403461</v>
      </c>
      <c r="BI139" s="60">
        <f ca="1">AVERAGE(OFFSET($BH$3,0,0,'Données projet'!$E$11+1,1))-AVERAGE(OFFSET($H$3,0,0,'Données projet'!$E$11+1,1))</f>
        <v>488.7825919901664</v>
      </c>
      <c r="BJ139" s="60">
        <f t="shared" si="146"/>
        <v>278.78817181412438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289.19279999999935</v>
      </c>
      <c r="CA139" s="14">
        <f t="shared" si="147"/>
        <v>68.906044268306161</v>
      </c>
      <c r="CB139" s="22">
        <f t="shared" si="118"/>
        <v>623.68882043396547</v>
      </c>
      <c r="CC139" s="60">
        <f t="shared" si="119"/>
        <v>917.02215376729873</v>
      </c>
      <c r="CD139" s="60">
        <f ca="1">AVERAGE(OFFSET($CC$3,0,0,'Données projet'!$E$12+1,1))-AVERAGE(OFFSET($H$3,0,0,'Données projet'!$E$12+1,1))</f>
        <v>475.47920969424894</v>
      </c>
      <c r="CE139" s="60">
        <f t="shared" si="148"/>
        <v>271.73544012419364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258.0489599999994</v>
      </c>
      <c r="CV139" s="14">
        <f t="shared" si="149"/>
        <v>62.306312932555649</v>
      </c>
      <c r="CW139" s="22">
        <f t="shared" si="121"/>
        <v>557.95210035753337</v>
      </c>
      <c r="CX139" s="60">
        <f t="shared" si="122"/>
        <v>851.28543369086674</v>
      </c>
      <c r="CY139" s="60">
        <f ca="1">AVERAGE(OFFSET($CX$3,0,0,'Données projet'!$E$13+1,1))-AVERAGE(OFFSET($H$3,0,0,'Données projet'!$E$13+1,1))</f>
        <v>428.8489304403459</v>
      </c>
      <c r="CZ139" s="60">
        <f t="shared" si="150"/>
        <v>247.01165577562966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306.98927999999921</v>
      </c>
      <c r="DQ139" s="14">
        <f t="shared" si="151"/>
        <v>72.639715316458506</v>
      </c>
      <c r="DR139" s="22">
        <f t="shared" si="124"/>
        <v>661.18716684283038</v>
      </c>
      <c r="DS139" s="60">
        <f t="shared" si="125"/>
        <v>954.52050017616375</v>
      </c>
      <c r="DT139" s="60">
        <f ca="1">AVERAGE(OFFSET($DS$3,0,0,'Données projet'!$E$14+1,1))-AVERAGE(OFFSET($H$3,0,0,'Données projet'!$E$14+1,1))</f>
        <v>502.07782026233912</v>
      </c>
      <c r="DU139" s="60">
        <f t="shared" si="152"/>
        <v>285.83623046025156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-2.2737367544323206E-13</v>
      </c>
      <c r="EK139" s="18">
        <f>EJ139*VLOOKUP('Données projet'!$B$15,Paramètres!$A$1:$I$89,3,0)*VLOOKUP('Données projet'!$B$15,Paramètres!$A$1:$I$89,5,0)</f>
        <v>-1.3596945791505279E-13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392.62423122800357</v>
      </c>
      <c r="EP139" s="60">
        <f t="shared" si="154"/>
        <v>314.09619163968642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0.60043874215678505</v>
      </c>
      <c r="EX139" s="23">
        <f>EXP(-LN(2)/2)*EX138+(1-EXP(-LN(2)/2))/(LN(2)/2)*ER139*EU139*VLOOKUP('Données projet'!$B$15,Paramètres!$A$1:$I$89,3,0)*0.475*44/12</f>
        <v>1.9544308129605941E-15</v>
      </c>
      <c r="EY139" s="24">
        <f t="shared" si="129"/>
        <v>0.60043874215678705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0" t="e">
        <f t="shared" si="131"/>
        <v>#NUM!</v>
      </c>
      <c r="FJ139" s="60">
        <f ca="1">AVERAGE(OFFSET($FI$3,0,0,'Données projet'!$E$16+1,1))-AVERAGE(OFFSET($H$3,0,0,'Données projet'!$E$16+1,1))</f>
        <v>207.03241199974599</v>
      </c>
      <c r="FK139" s="60">
        <f t="shared" si="156"/>
        <v>314.188568589113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1.6545248698246728</v>
      </c>
      <c r="FR139" s="23">
        <f>EXP(-LN(2)/25)*FR138+(1-EXP(-LN(2)/25))/(LN(2)/25)*Calculateur!FM139*Calculateur!FO139*VLOOKUP('Données projet'!$B$16,Paramètres!$A$1:$I$89,3,0)*0.475*44/12</f>
        <v>0.51595439317012148</v>
      </c>
      <c r="FS139" s="23">
        <f>EXP(-LN(2)/2)*FS138+(1-EXP(-LN(2)/2))/(LN(2)/2)*FM139*FP139*VLOOKUP('Données projet'!$B$16,Paramètres!$A$1:$I$89,3,0)*0.475*44/12</f>
        <v>3.2467669629641203E-16</v>
      </c>
      <c r="FT139" s="24">
        <f t="shared" si="132"/>
        <v>2.1704792629947947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10.256410256410078</v>
      </c>
      <c r="O140" s="14">
        <f>N140*VLOOKUP('Données projet'!$B$9,Paramètres!$A$1:$I$89,3,0)*VLOOKUP('Données projet'!$B$9,Paramètres!$A$1:$I$89,5,0)</f>
        <v>9.7599999999998293</v>
      </c>
      <c r="P140" s="14">
        <f t="shared" si="141"/>
        <v>3.4500860232767008</v>
      </c>
      <c r="Q140" s="22">
        <f t="shared" si="108"/>
        <v>23.007566490539954</v>
      </c>
      <c r="R140" s="60">
        <f t="shared" si="109"/>
        <v>316.34089982387326</v>
      </c>
      <c r="S140" s="60">
        <f ca="1">AVERAGE(OFFSET($R$3,0,0,'Données projet'!$E$9+1,1))-AVERAGE(OFFSET($H$3,0,0,'Données projet'!$E$9+1,1))</f>
        <v>353.61481736740694</v>
      </c>
      <c r="T140" s="60">
        <f t="shared" si="142"/>
        <v>244.7141066773861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278.45687999999933</v>
      </c>
      <c r="AK140" s="14">
        <f t="shared" si="143"/>
        <v>66.640798452620999</v>
      </c>
      <c r="AL140" s="22">
        <f t="shared" si="112"/>
        <v>601.04512330498039</v>
      </c>
      <c r="AM140" s="60">
        <f t="shared" si="113"/>
        <v>894.37845663831376</v>
      </c>
      <c r="AN140" s="60">
        <f ca="1">AVERAGE(OFFSET($AM$3,0,0,'Données projet'!$E$10+1,1))-AVERAGE(OFFSET($H$3,0,0,'Données projet'!$E$10+1,1))</f>
        <v>455.50822833641354</v>
      </c>
      <c r="AO140" s="60">
        <f t="shared" si="144"/>
        <v>261.14722581688039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300.9130799999993</v>
      </c>
      <c r="BF140" s="14">
        <f t="shared" si="145"/>
        <v>71.36784624675127</v>
      </c>
      <c r="BG140" s="22">
        <f t="shared" si="115"/>
        <v>648.38927987975728</v>
      </c>
      <c r="BH140" s="60">
        <f t="shared" si="116"/>
        <v>941.72261321309065</v>
      </c>
      <c r="BI140" s="60">
        <f ca="1">AVERAGE(OFFSET($BH$3,0,0,'Données projet'!$E$11+1,1))-AVERAGE(OFFSET($H$3,0,0,'Données projet'!$E$11+1,1))</f>
        <v>488.7825919901664</v>
      </c>
      <c r="BJ140" s="60">
        <f t="shared" si="146"/>
        <v>278.78817181412438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291.93059999999929</v>
      </c>
      <c r="CA140" s="14">
        <f t="shared" si="147"/>
        <v>69.482132168934584</v>
      </c>
      <c r="CB140" s="22">
        <f t="shared" si="118"/>
        <v>629.4605085275598</v>
      </c>
      <c r="CC140" s="60">
        <f t="shared" si="119"/>
        <v>922.79384186089305</v>
      </c>
      <c r="CD140" s="60">
        <f ca="1">AVERAGE(OFFSET($CC$3,0,0,'Données projet'!$E$12+1,1))-AVERAGE(OFFSET($H$3,0,0,'Données projet'!$E$12+1,1))</f>
        <v>475.47920969424894</v>
      </c>
      <c r="CE140" s="60">
        <f t="shared" si="148"/>
        <v>271.73544012419364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260.49191999999937</v>
      </c>
      <c r="CV140" s="14">
        <f t="shared" si="149"/>
        <v>62.827223883029681</v>
      </c>
      <c r="CW140" s="22">
        <f t="shared" si="121"/>
        <v>563.11417559627546</v>
      </c>
      <c r="CX140" s="60">
        <f t="shared" si="122"/>
        <v>856.44750892960883</v>
      </c>
      <c r="CY140" s="60">
        <f ca="1">AVERAGE(OFFSET($CX$3,0,0,'Données projet'!$E$13+1,1))-AVERAGE(OFFSET($H$3,0,0,'Données projet'!$E$13+1,1))</f>
        <v>428.8489304403459</v>
      </c>
      <c r="CZ140" s="60">
        <f t="shared" si="150"/>
        <v>247.01165577562966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309.89555999999925</v>
      </c>
      <c r="DQ140" s="14">
        <f t="shared" si="151"/>
        <v>73.247018515231034</v>
      </c>
      <c r="DR140" s="22">
        <f t="shared" si="124"/>
        <v>667.30665758069279</v>
      </c>
      <c r="DS140" s="60">
        <f t="shared" si="125"/>
        <v>960.63999091402616</v>
      </c>
      <c r="DT140" s="60">
        <f ca="1">AVERAGE(OFFSET($DS$3,0,0,'Données projet'!$E$14+1,1))-AVERAGE(OFFSET($H$3,0,0,'Données projet'!$E$14+1,1))</f>
        <v>502.07782026233912</v>
      </c>
      <c r="DU140" s="60">
        <f t="shared" si="152"/>
        <v>285.83623046025156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-2.2737367544323206E-13</v>
      </c>
      <c r="EK140" s="18">
        <f>EJ140*VLOOKUP('Données projet'!$B$15,Paramètres!$A$1:$I$89,3,0)*VLOOKUP('Données projet'!$B$15,Paramètres!$A$1:$I$89,5,0)</f>
        <v>-1.3596945791505279E-13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392.62423122800357</v>
      </c>
      <c r="EP140" s="60">
        <f t="shared" si="154"/>
        <v>314.09619163968642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0.58401971317680668</v>
      </c>
      <c r="EX140" s="23">
        <f>EXP(-LN(2)/2)*EX139+(1-EXP(-LN(2)/2))/(LN(2)/2)*ER140*EU140*VLOOKUP('Données projet'!$B$15,Paramètres!$A$1:$I$89,3,0)*0.475*44/12</f>
        <v>1.381991281204373E-15</v>
      </c>
      <c r="EY140" s="24">
        <f t="shared" si="129"/>
        <v>0.58401971317680801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0" t="e">
        <f t="shared" si="131"/>
        <v>#NUM!</v>
      </c>
      <c r="FJ140" s="60">
        <f ca="1">AVERAGE(OFFSET($FI$3,0,0,'Données projet'!$E$16+1,1))-AVERAGE(OFFSET($H$3,0,0,'Données projet'!$E$16+1,1))</f>
        <v>207.03241199974599</v>
      </c>
      <c r="FK140" s="60">
        <f t="shared" si="156"/>
        <v>314.188568589113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1.6220806462879354</v>
      </c>
      <c r="FR140" s="23">
        <f>EXP(-LN(2)/25)*FR139+(1-EXP(-LN(2)/25))/(LN(2)/25)*Calculateur!FM140*Calculateur!FO140*VLOOKUP('Données projet'!$B$16,Paramètres!$A$1:$I$89,3,0)*0.475*44/12</f>
        <v>0.50184559315602217</v>
      </c>
      <c r="FS140" s="23">
        <f>EXP(-LN(2)/2)*FS139+(1-EXP(-LN(2)/2))/(LN(2)/2)*FM140*FP140*VLOOKUP('Données projet'!$B$16,Paramètres!$A$1:$I$89,3,0)*0.475*44/12</f>
        <v>2.2958109364443816E-16</v>
      </c>
      <c r="FT140" s="24">
        <f t="shared" si="132"/>
        <v>2.123926239443958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10.256410256410078</v>
      </c>
      <c r="O141" s="14">
        <f>N141*VLOOKUP('Données projet'!$B$9,Paramètres!$A$1:$I$89,3,0)*VLOOKUP('Données projet'!$B$9,Paramètres!$A$1:$I$89,5,0)</f>
        <v>9.7599999999998293</v>
      </c>
      <c r="P141" s="14">
        <f t="shared" si="141"/>
        <v>3.4500860232767008</v>
      </c>
      <c r="Q141" s="22">
        <f t="shared" si="108"/>
        <v>23.007566490539954</v>
      </c>
      <c r="R141" s="60">
        <f t="shared" si="109"/>
        <v>316.34089982387326</v>
      </c>
      <c r="S141" s="60">
        <f ca="1">AVERAGE(OFFSET($R$3,0,0,'Données projet'!$E$9+1,1))-AVERAGE(OFFSET($H$3,0,0,'Données projet'!$E$9+1,1))</f>
        <v>353.61481736740694</v>
      </c>
      <c r="T141" s="60">
        <f t="shared" si="142"/>
        <v>244.7141066773861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281.06831999999929</v>
      </c>
      <c r="AK141" s="14">
        <f t="shared" si="143"/>
        <v>67.192725545416536</v>
      </c>
      <c r="AL141" s="22">
        <f t="shared" si="112"/>
        <v>606.55465432493247</v>
      </c>
      <c r="AM141" s="60">
        <f t="shared" si="113"/>
        <v>899.88798765826573</v>
      </c>
      <c r="AN141" s="60">
        <f ca="1">AVERAGE(OFFSET($AM$3,0,0,'Données projet'!$E$10+1,1))-AVERAGE(OFFSET($H$3,0,0,'Données projet'!$E$10+1,1))</f>
        <v>455.50822833641354</v>
      </c>
      <c r="AO141" s="60">
        <f t="shared" si="144"/>
        <v>261.14722581688039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303.73511999999931</v>
      </c>
      <c r="BF141" s="14">
        <f t="shared" si="145"/>
        <v>71.958923316844434</v>
      </c>
      <c r="BG141" s="22">
        <f t="shared" si="115"/>
        <v>654.33379211016961</v>
      </c>
      <c r="BH141" s="60">
        <f t="shared" si="116"/>
        <v>947.66712544350298</v>
      </c>
      <c r="BI141" s="60">
        <f ca="1">AVERAGE(OFFSET($BH$3,0,0,'Données projet'!$E$11+1,1))-AVERAGE(OFFSET($H$3,0,0,'Données projet'!$E$11+1,1))</f>
        <v>488.7825919901664</v>
      </c>
      <c r="BJ141" s="60">
        <f t="shared" si="146"/>
        <v>278.78817181412438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294.66839999999928</v>
      </c>
      <c r="CA141" s="14">
        <f t="shared" si="147"/>
        <v>70.057591528661433</v>
      </c>
      <c r="CB141" s="22">
        <f t="shared" si="118"/>
        <v>635.23110191241733</v>
      </c>
      <c r="CC141" s="60">
        <f t="shared" si="119"/>
        <v>928.5644352457507</v>
      </c>
      <c r="CD141" s="60">
        <f ca="1">AVERAGE(OFFSET($CC$3,0,0,'Données projet'!$E$12+1,1))-AVERAGE(OFFSET($H$3,0,0,'Données projet'!$E$12+1,1))</f>
        <v>475.47920969424894</v>
      </c>
      <c r="CE141" s="60">
        <f t="shared" si="148"/>
        <v>271.73544012419364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262.93487999999934</v>
      </c>
      <c r="CV141" s="14">
        <f t="shared" si="149"/>
        <v>63.347566493432652</v>
      </c>
      <c r="CW141" s="22">
        <f t="shared" si="121"/>
        <v>568.27526097606062</v>
      </c>
      <c r="CX141" s="60">
        <f t="shared" si="122"/>
        <v>861.60859430939399</v>
      </c>
      <c r="CY141" s="60">
        <f ca="1">AVERAGE(OFFSET($CX$3,0,0,'Données projet'!$E$13+1,1))-AVERAGE(OFFSET($H$3,0,0,'Données projet'!$E$13+1,1))</f>
        <v>428.8489304403459</v>
      </c>
      <c r="CZ141" s="60">
        <f t="shared" si="150"/>
        <v>247.01165577562966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312.80183999999923</v>
      </c>
      <c r="DQ141" s="14">
        <f t="shared" si="151"/>
        <v>73.853659115640255</v>
      </c>
      <c r="DR141" s="22">
        <f t="shared" si="124"/>
        <v>673.42499429307202</v>
      </c>
      <c r="DS141" s="60">
        <f t="shared" si="125"/>
        <v>966.75832762640539</v>
      </c>
      <c r="DT141" s="60">
        <f ca="1">AVERAGE(OFFSET($DS$3,0,0,'Données projet'!$E$14+1,1))-AVERAGE(OFFSET($H$3,0,0,'Données projet'!$E$14+1,1))</f>
        <v>502.07782026233912</v>
      </c>
      <c r="DU141" s="60">
        <f t="shared" si="152"/>
        <v>285.83623046025156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-2.2737367544323206E-13</v>
      </c>
      <c r="EK141" s="18">
        <f>EJ141*VLOOKUP('Données projet'!$B$15,Paramètres!$A$1:$I$89,3,0)*VLOOKUP('Données projet'!$B$15,Paramètres!$A$1:$I$89,5,0)</f>
        <v>-1.3596945791505279E-13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392.62423122800357</v>
      </c>
      <c r="EP141" s="60">
        <f t="shared" si="154"/>
        <v>314.09619163968642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0.568049663407725</v>
      </c>
      <c r="EX141" s="23">
        <f>EXP(-LN(2)/2)*EX140+(1-EXP(-LN(2)/2))/(LN(2)/2)*ER141*EU141*VLOOKUP('Données projet'!$B$15,Paramètres!$A$1:$I$89,3,0)*0.475*44/12</f>
        <v>9.7721540648029707E-16</v>
      </c>
      <c r="EY141" s="24">
        <f t="shared" si="129"/>
        <v>0.568049663407726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0" t="e">
        <f t="shared" si="131"/>
        <v>#NUM!</v>
      </c>
      <c r="FJ141" s="60">
        <f ca="1">AVERAGE(OFFSET($FI$3,0,0,'Données projet'!$E$16+1,1))-AVERAGE(OFFSET($H$3,0,0,'Données projet'!$E$16+1,1))</f>
        <v>207.03241199974599</v>
      </c>
      <c r="FK141" s="60">
        <f t="shared" si="156"/>
        <v>314.188568589113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1.5902726341857309</v>
      </c>
      <c r="FR141" s="23">
        <f>EXP(-LN(2)/25)*FR140+(1-EXP(-LN(2)/25))/(LN(2)/25)*Calculateur!FM141*Calculateur!FO141*VLOOKUP('Données projet'!$B$16,Paramètres!$A$1:$I$89,3,0)*0.475*44/12</f>
        <v>0.48812259902025801</v>
      </c>
      <c r="FS141" s="23">
        <f>EXP(-LN(2)/2)*FS140+(1-EXP(-LN(2)/2))/(LN(2)/2)*FM141*FP141*VLOOKUP('Données projet'!$B$16,Paramètres!$A$1:$I$89,3,0)*0.475*44/12</f>
        <v>1.6233834814820601E-16</v>
      </c>
      <c r="FT141" s="24">
        <f t="shared" si="132"/>
        <v>2.0783952332059892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10.256410256410078</v>
      </c>
      <c r="O142" s="14">
        <f>N142*VLOOKUP('Données projet'!$B$9,Paramètres!$A$1:$I$89,3,0)*VLOOKUP('Données projet'!$B$9,Paramètres!$A$1:$I$89,5,0)</f>
        <v>9.7599999999998293</v>
      </c>
      <c r="P142" s="14">
        <f t="shared" si="141"/>
        <v>3.4500860232767008</v>
      </c>
      <c r="Q142" s="22">
        <f t="shared" si="108"/>
        <v>23.007566490539954</v>
      </c>
      <c r="R142" s="60">
        <f t="shared" si="109"/>
        <v>316.34089982387326</v>
      </c>
      <c r="S142" s="60">
        <f ca="1">AVERAGE(OFFSET($R$3,0,0,'Données projet'!$E$9+1,1))-AVERAGE(OFFSET($H$3,0,0,'Données projet'!$E$9+1,1))</f>
        <v>353.61481736740694</v>
      </c>
      <c r="T142" s="60">
        <f t="shared" si="142"/>
        <v>244.7141066773861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283.67975999999931</v>
      </c>
      <c r="AK142" s="14">
        <f t="shared" si="143"/>
        <v>67.74405605004435</v>
      </c>
      <c r="AL142" s="22">
        <f t="shared" si="112"/>
        <v>612.06314628715938</v>
      </c>
      <c r="AM142" s="60">
        <f t="shared" si="113"/>
        <v>905.39647962049276</v>
      </c>
      <c r="AN142" s="60">
        <f ca="1">AVERAGE(OFFSET($AM$3,0,0,'Données projet'!$E$10+1,1))-AVERAGE(OFFSET($H$3,0,0,'Données projet'!$E$10+1,1))</f>
        <v>455.50822833641354</v>
      </c>
      <c r="AO142" s="60">
        <f t="shared" si="144"/>
        <v>261.14722581688039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306.55715999999927</v>
      </c>
      <c r="BF142" s="14">
        <f t="shared" si="145"/>
        <v>72.549361480837874</v>
      </c>
      <c r="BG142" s="22">
        <f t="shared" si="115"/>
        <v>660.27719157912463</v>
      </c>
      <c r="BH142" s="60">
        <f t="shared" si="116"/>
        <v>953.610524912458</v>
      </c>
      <c r="BI142" s="60">
        <f ca="1">AVERAGE(OFFSET($BH$3,0,0,'Données projet'!$E$11+1,1))-AVERAGE(OFFSET($H$3,0,0,'Données projet'!$E$11+1,1))</f>
        <v>488.7825919901664</v>
      </c>
      <c r="BJ142" s="60">
        <f t="shared" si="146"/>
        <v>278.78817181412438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297.40619999999927</v>
      </c>
      <c r="CA142" s="14">
        <f t="shared" si="147"/>
        <v>70.632428863759543</v>
      </c>
      <c r="CB142" s="22">
        <f t="shared" si="118"/>
        <v>641.0006119377133</v>
      </c>
      <c r="CC142" s="60">
        <f t="shared" si="119"/>
        <v>934.33394527104656</v>
      </c>
      <c r="CD142" s="60">
        <f ca="1">AVERAGE(OFFSET($CC$3,0,0,'Données projet'!$E$12+1,1))-AVERAGE(OFFSET($H$3,0,0,'Données projet'!$E$12+1,1))</f>
        <v>475.47920969424894</v>
      </c>
      <c r="CE142" s="60">
        <f t="shared" si="148"/>
        <v>271.73544012419364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265.37783999999937</v>
      </c>
      <c r="CV142" s="14">
        <f t="shared" si="149"/>
        <v>63.867346655917089</v>
      </c>
      <c r="CW142" s="22">
        <f t="shared" si="121"/>
        <v>573.43536675905443</v>
      </c>
      <c r="CX142" s="60">
        <f t="shared" si="122"/>
        <v>866.76870009238769</v>
      </c>
      <c r="CY142" s="60">
        <f ca="1">AVERAGE(OFFSET($CX$3,0,0,'Données projet'!$E$13+1,1))-AVERAGE(OFFSET($H$3,0,0,'Données projet'!$E$13+1,1))</f>
        <v>428.8489304403459</v>
      </c>
      <c r="CZ142" s="60">
        <f t="shared" si="150"/>
        <v>247.01165577562966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315.70811999999916</v>
      </c>
      <c r="DQ142" s="14">
        <f t="shared" si="151"/>
        <v>74.459643987042966</v>
      </c>
      <c r="DR142" s="22">
        <f t="shared" si="124"/>
        <v>679.54218894409837</v>
      </c>
      <c r="DS142" s="60">
        <f t="shared" si="125"/>
        <v>972.87552227743163</v>
      </c>
      <c r="DT142" s="60">
        <f ca="1">AVERAGE(OFFSET($DS$3,0,0,'Données projet'!$E$14+1,1))-AVERAGE(OFFSET($H$3,0,0,'Données projet'!$E$14+1,1))</f>
        <v>502.07782026233912</v>
      </c>
      <c r="DU142" s="60">
        <f t="shared" si="152"/>
        <v>285.83623046025156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-2.2737367544323206E-13</v>
      </c>
      <c r="EK142" s="18">
        <f>EJ142*VLOOKUP('Données projet'!$B$15,Paramètres!$A$1:$I$89,3,0)*VLOOKUP('Données projet'!$B$15,Paramètres!$A$1:$I$89,5,0)</f>
        <v>-1.3596945791505279E-13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392.62423122800357</v>
      </c>
      <c r="EP142" s="60">
        <f t="shared" si="154"/>
        <v>314.09619163968642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0.55251631548940727</v>
      </c>
      <c r="EX142" s="23">
        <f>EXP(-LN(2)/2)*EX141+(1-EXP(-LN(2)/2))/(LN(2)/2)*ER142*EU142*VLOOKUP('Données projet'!$B$15,Paramètres!$A$1:$I$89,3,0)*0.475*44/12</f>
        <v>6.9099564060218652E-16</v>
      </c>
      <c r="EY142" s="24">
        <f t="shared" si="129"/>
        <v>0.55251631548940794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0" t="e">
        <f t="shared" si="131"/>
        <v>#NUM!</v>
      </c>
      <c r="FJ142" s="60">
        <f ca="1">AVERAGE(OFFSET($FI$3,0,0,'Données projet'!$E$16+1,1))-AVERAGE(OFFSET($H$3,0,0,'Données projet'!$E$16+1,1))</f>
        <v>207.03241199974599</v>
      </c>
      <c r="FK142" s="60">
        <f t="shared" si="156"/>
        <v>314.188568589113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1.5590883577998791</v>
      </c>
      <c r="FR142" s="23">
        <f>EXP(-LN(2)/25)*FR141+(1-EXP(-LN(2)/25))/(LN(2)/25)*Calculateur!FM142*Calculateur!FO142*VLOOKUP('Données projet'!$B$16,Paramètres!$A$1:$I$89,3,0)*0.475*44/12</f>
        <v>0.47477486088079718</v>
      </c>
      <c r="FS142" s="23">
        <f>EXP(-LN(2)/2)*FS141+(1-EXP(-LN(2)/2))/(LN(2)/2)*FM142*FP142*VLOOKUP('Données projet'!$B$16,Paramètres!$A$1:$I$89,3,0)*0.475*44/12</f>
        <v>1.1479054682221908E-16</v>
      </c>
      <c r="FT142" s="24">
        <f t="shared" si="132"/>
        <v>2.0338632186806764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10.256410256410078</v>
      </c>
      <c r="O143" s="14">
        <f>N143*VLOOKUP('Données projet'!$B$9,Paramètres!$A$1:$I$89,3,0)*VLOOKUP('Données projet'!$B$9,Paramètres!$A$1:$I$89,5,0)</f>
        <v>9.7599999999998293</v>
      </c>
      <c r="P143" s="14">
        <f t="shared" si="141"/>
        <v>3.4500860232767008</v>
      </c>
      <c r="Q143" s="22">
        <f t="shared" si="108"/>
        <v>23.007566490539954</v>
      </c>
      <c r="R143" s="60">
        <f t="shared" si="109"/>
        <v>316.34089982387326</v>
      </c>
      <c r="S143" s="60">
        <f ca="1">AVERAGE(OFFSET($R$3,0,0,'Données projet'!$E$9+1,1))-AVERAGE(OFFSET($H$3,0,0,'Données projet'!$E$9+1,1))</f>
        <v>353.61481736740694</v>
      </c>
      <c r="T143" s="60">
        <f t="shared" si="142"/>
        <v>244.7141066773861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286.29119999999926</v>
      </c>
      <c r="AK143" s="14">
        <f t="shared" si="143"/>
        <v>68.294796094604223</v>
      </c>
      <c r="AL143" s="22">
        <f t="shared" si="112"/>
        <v>617.57060986476779</v>
      </c>
      <c r="AM143" s="60">
        <f t="shared" si="113"/>
        <v>910.90394319810116</v>
      </c>
      <c r="AN143" s="60">
        <f ca="1">AVERAGE(OFFSET($AM$3,0,0,'Données projet'!$E$10+1,1))-AVERAGE(OFFSET($H$3,0,0,'Données projet'!$E$10+1,1))</f>
        <v>455.50822833641354</v>
      </c>
      <c r="AO143" s="60">
        <f t="shared" si="144"/>
        <v>261.14722581688039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309.37919999999923</v>
      </c>
      <c r="BF143" s="14">
        <f t="shared" si="145"/>
        <v>73.139167301517318</v>
      </c>
      <c r="BG143" s="22">
        <f t="shared" si="115"/>
        <v>666.21948971680797</v>
      </c>
      <c r="BH143" s="60">
        <f t="shared" si="116"/>
        <v>959.55282305014134</v>
      </c>
      <c r="BI143" s="60">
        <f ca="1">AVERAGE(OFFSET($BH$3,0,0,'Données projet'!$E$11+1,1))-AVERAGE(OFFSET($H$3,0,0,'Données projet'!$E$11+1,1))</f>
        <v>488.7825919901664</v>
      </c>
      <c r="BJ143" s="60">
        <f t="shared" si="146"/>
        <v>278.78817181412438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300.14399999999927</v>
      </c>
      <c r="CA143" s="14">
        <f t="shared" si="147"/>
        <v>71.206650563609728</v>
      </c>
      <c r="CB143" s="22">
        <f t="shared" si="118"/>
        <v>646.76904973161891</v>
      </c>
      <c r="CC143" s="60">
        <f t="shared" si="119"/>
        <v>940.10238306495216</v>
      </c>
      <c r="CD143" s="60">
        <f ca="1">AVERAGE(OFFSET($CC$3,0,0,'Données projet'!$E$12+1,1))-AVERAGE(OFFSET($H$3,0,0,'Données projet'!$E$12+1,1))</f>
        <v>475.47920969424894</v>
      </c>
      <c r="CE143" s="60">
        <f t="shared" si="148"/>
        <v>271.73544012419364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267.82079999999934</v>
      </c>
      <c r="CV143" s="14">
        <f t="shared" si="149"/>
        <v>64.386570147897245</v>
      </c>
      <c r="CW143" s="22">
        <f t="shared" si="121"/>
        <v>578.59450300758647</v>
      </c>
      <c r="CX143" s="60">
        <f t="shared" si="122"/>
        <v>871.92783634091984</v>
      </c>
      <c r="CY143" s="60">
        <f ca="1">AVERAGE(OFFSET($CX$3,0,0,'Données projet'!$E$13+1,1))-AVERAGE(OFFSET($H$3,0,0,'Données projet'!$E$13+1,1))</f>
        <v>428.8489304403459</v>
      </c>
      <c r="CZ143" s="60">
        <f t="shared" si="150"/>
        <v>247.01165577562966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318.61439999999919</v>
      </c>
      <c r="DQ143" s="14">
        <f t="shared" si="151"/>
        <v>75.064979865028292</v>
      </c>
      <c r="DR143" s="22">
        <f t="shared" si="124"/>
        <v>685.65825326492302</v>
      </c>
      <c r="DS143" s="60">
        <f t="shared" si="125"/>
        <v>978.99158659825639</v>
      </c>
      <c r="DT143" s="60">
        <f ca="1">AVERAGE(OFFSET($DS$3,0,0,'Données projet'!$E$14+1,1))-AVERAGE(OFFSET($H$3,0,0,'Données projet'!$E$14+1,1))</f>
        <v>502.07782026233912</v>
      </c>
      <c r="DU143" s="60">
        <f t="shared" si="152"/>
        <v>285.83623046025156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-2.2737367544323206E-13</v>
      </c>
      <c r="EK143" s="18">
        <f>EJ143*VLOOKUP('Données projet'!$B$15,Paramètres!$A$1:$I$89,3,0)*VLOOKUP('Données projet'!$B$15,Paramètres!$A$1:$I$89,5,0)</f>
        <v>-1.3596945791505279E-13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392.62423122800357</v>
      </c>
      <c r="EP143" s="60">
        <f t="shared" si="154"/>
        <v>314.09619163968642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0.53740772778677914</v>
      </c>
      <c r="EX143" s="23">
        <f>EXP(-LN(2)/2)*EX142+(1-EXP(-LN(2)/2))/(LN(2)/2)*ER143*EU143*VLOOKUP('Données projet'!$B$15,Paramètres!$A$1:$I$89,3,0)*0.475*44/12</f>
        <v>4.8860770324014853E-16</v>
      </c>
      <c r="EY143" s="24">
        <f t="shared" si="129"/>
        <v>0.53740772778677959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0" t="e">
        <f t="shared" si="131"/>
        <v>#NUM!</v>
      </c>
      <c r="FJ143" s="60">
        <f ca="1">AVERAGE(OFFSET($FI$3,0,0,'Données projet'!$E$16+1,1))-AVERAGE(OFFSET($H$3,0,0,'Données projet'!$E$16+1,1))</f>
        <v>207.03241199974599</v>
      </c>
      <c r="FK143" s="60">
        <f t="shared" si="156"/>
        <v>314.188568589113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1.5285155860534232</v>
      </c>
      <c r="FR143" s="23">
        <f>EXP(-LN(2)/25)*FR142+(1-EXP(-LN(2)/25))/(LN(2)/25)*Calculateur!FM143*Calculateur!FO143*VLOOKUP('Données projet'!$B$16,Paramètres!$A$1:$I$89,3,0)*0.475*44/12</f>
        <v>0.46179211734268694</v>
      </c>
      <c r="FS143" s="23">
        <f>EXP(-LN(2)/2)*FS142+(1-EXP(-LN(2)/2))/(LN(2)/2)*FM143*FP143*VLOOKUP('Données projet'!$B$16,Paramètres!$A$1:$I$89,3,0)*0.475*44/12</f>
        <v>8.1169174074103006E-17</v>
      </c>
      <c r="FT143" s="24">
        <f t="shared" si="132"/>
        <v>1.9903077033961101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10.256410256410078</v>
      </c>
      <c r="O144" s="14">
        <f>N144*VLOOKUP('Données projet'!$B$9,Paramètres!$A$1:$I$89,3,0)*VLOOKUP('Données projet'!$B$9,Paramètres!$A$1:$I$89,5,0)</f>
        <v>9.7599999999998293</v>
      </c>
      <c r="P144" s="14">
        <f t="shared" si="141"/>
        <v>3.4500860232767008</v>
      </c>
      <c r="Q144" s="22">
        <f t="shared" si="108"/>
        <v>23.007566490539954</v>
      </c>
      <c r="R144" s="60">
        <f t="shared" si="109"/>
        <v>316.34089982387326</v>
      </c>
      <c r="S144" s="60">
        <f ca="1">AVERAGE(OFFSET($R$3,0,0,'Données projet'!$E$9+1,1))-AVERAGE(OFFSET($H$3,0,0,'Données projet'!$E$9+1,1))</f>
        <v>353.61481736740694</v>
      </c>
      <c r="T144" s="60">
        <f t="shared" si="142"/>
        <v>244.7141066773861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262.49807999999928</v>
      </c>
      <c r="AK144" s="14">
        <f t="shared" si="143"/>
        <v>63.254570961137979</v>
      </c>
      <c r="AL144" s="22">
        <f t="shared" si="112"/>
        <v>567.35253375731406</v>
      </c>
      <c r="AM144" s="60">
        <f t="shared" si="113"/>
        <v>860.68586709064743</v>
      </c>
      <c r="AN144" s="60">
        <f ca="1">AVERAGE(OFFSET($AM$3,0,0,'Données projet'!$E$10+1,1))-AVERAGE(OFFSET($H$3,0,0,'Données projet'!$E$10+1,1))</f>
        <v>455.50822833641354</v>
      </c>
      <c r="AO144" s="60">
        <f t="shared" si="144"/>
        <v>261.14722581688039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283.66727999999927</v>
      </c>
      <c r="BF144" s="14">
        <f t="shared" si="145"/>
        <v>67.741422665699758</v>
      </c>
      <c r="BG144" s="22">
        <f t="shared" si="115"/>
        <v>612.03682380942575</v>
      </c>
      <c r="BH144" s="60">
        <f t="shared" si="116"/>
        <v>905.37015714275913</v>
      </c>
      <c r="BI144" s="60">
        <f ca="1">AVERAGE(OFFSET($BH$3,0,0,'Données projet'!$E$11+1,1))-AVERAGE(OFFSET($H$3,0,0,'Données projet'!$E$11+1,1))</f>
        <v>488.7825919901664</v>
      </c>
      <c r="BJ144" s="60">
        <f t="shared" si="146"/>
        <v>278.78817181412438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275.19959999999924</v>
      </c>
      <c r="CA144" s="14">
        <f t="shared" si="147"/>
        <v>65.951527620662489</v>
      </c>
      <c r="CB144" s="22">
        <f t="shared" si="118"/>
        <v>594.17154727265245</v>
      </c>
      <c r="CC144" s="60">
        <f t="shared" si="119"/>
        <v>887.50488060598582</v>
      </c>
      <c r="CD144" s="60">
        <f ca="1">AVERAGE(OFFSET($CC$3,0,0,'Données projet'!$E$12+1,1))-AVERAGE(OFFSET($H$3,0,0,'Données projet'!$E$12+1,1))</f>
        <v>475.47920969424894</v>
      </c>
      <c r="CE144" s="60">
        <f t="shared" si="148"/>
        <v>271.73544012419364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245.5627199999993</v>
      </c>
      <c r="CV144" s="14">
        <f t="shared" si="149"/>
        <v>59.634776048276741</v>
      </c>
      <c r="CW144" s="22">
        <f t="shared" si="121"/>
        <v>531.55230561741405</v>
      </c>
      <c r="CX144" s="60">
        <f t="shared" si="122"/>
        <v>824.88563895074731</v>
      </c>
      <c r="CY144" s="60">
        <f ca="1">AVERAGE(OFFSET($CX$3,0,0,'Données projet'!$E$13+1,1))-AVERAGE(OFFSET($H$3,0,0,'Données projet'!$E$13+1,1))</f>
        <v>428.8489304403459</v>
      </c>
      <c r="CZ144" s="60">
        <f t="shared" si="150"/>
        <v>247.01165577562966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292.13495999999913</v>
      </c>
      <c r="DQ144" s="14">
        <f t="shared" si="151"/>
        <v>69.525108311202104</v>
      </c>
      <c r="DR144" s="22">
        <f t="shared" si="124"/>
        <v>629.89128564200882</v>
      </c>
      <c r="DS144" s="60">
        <f t="shared" si="125"/>
        <v>923.22461897534208</v>
      </c>
      <c r="DT144" s="60">
        <f ca="1">AVERAGE(OFFSET($DS$3,0,0,'Données projet'!$E$14+1,1))-AVERAGE(OFFSET($H$3,0,0,'Données projet'!$E$14+1,1))</f>
        <v>502.07782026233912</v>
      </c>
      <c r="DU144" s="60">
        <f t="shared" si="152"/>
        <v>285.83623046025156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-2.2737367544323206E-13</v>
      </c>
      <c r="EK144" s="18">
        <f>EJ144*VLOOKUP('Données projet'!$B$15,Paramètres!$A$1:$I$89,3,0)*VLOOKUP('Données projet'!$B$15,Paramètres!$A$1:$I$89,5,0)</f>
        <v>-1.3596945791505279E-13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392.62423122800357</v>
      </c>
      <c r="EP144" s="60">
        <f t="shared" si="154"/>
        <v>314.09619163968642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0.52271228520940549</v>
      </c>
      <c r="EX144" s="23">
        <f>EXP(-LN(2)/2)*EX143+(1-EXP(-LN(2)/2))/(LN(2)/2)*ER144*EU144*VLOOKUP('Données projet'!$B$15,Paramètres!$A$1:$I$89,3,0)*0.475*44/12</f>
        <v>3.4549782030109326E-16</v>
      </c>
      <c r="EY144" s="24">
        <f t="shared" si="129"/>
        <v>0.52271228520940582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0" t="e">
        <f t="shared" si="131"/>
        <v>#NUM!</v>
      </c>
      <c r="FJ144" s="60">
        <f ca="1">AVERAGE(OFFSET($FI$3,0,0,'Données projet'!$E$16+1,1))-AVERAGE(OFFSET($H$3,0,0,'Données projet'!$E$16+1,1))</f>
        <v>207.03241199974599</v>
      </c>
      <c r="FK144" s="60">
        <f t="shared" si="156"/>
        <v>314.188568589113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1.4985423277133658</v>
      </c>
      <c r="FR144" s="23">
        <f>EXP(-LN(2)/25)*FR143+(1-EXP(-LN(2)/25))/(LN(2)/25)*Calculateur!FM144*Calculateur!FO144*VLOOKUP('Données projet'!$B$16,Paramètres!$A$1:$I$89,3,0)*0.475*44/12</f>
        <v>0.44916438760935917</v>
      </c>
      <c r="FS144" s="23">
        <f>EXP(-LN(2)/2)*FS143+(1-EXP(-LN(2)/2))/(LN(2)/2)*FM144*FP144*VLOOKUP('Données projet'!$B$16,Paramètres!$A$1:$I$89,3,0)*0.475*44/12</f>
        <v>5.739527341110954E-17</v>
      </c>
      <c r="FT144" s="24">
        <f t="shared" si="132"/>
        <v>1.947706715322725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10.256410256410078</v>
      </c>
      <c r="O145" s="14">
        <f>N145*VLOOKUP('Données projet'!$B$9,Paramètres!$A$1:$I$89,3,0)*VLOOKUP('Données projet'!$B$9,Paramètres!$A$1:$I$89,5,0)</f>
        <v>9.7599999999998293</v>
      </c>
      <c r="P145" s="14">
        <f t="shared" si="141"/>
        <v>3.4500860232767008</v>
      </c>
      <c r="Q145" s="22">
        <f t="shared" si="108"/>
        <v>23.007566490539954</v>
      </c>
      <c r="R145" s="60">
        <f t="shared" si="109"/>
        <v>316.34089982387326</v>
      </c>
      <c r="S145" s="60">
        <f ca="1">AVERAGE(OFFSET($R$3,0,0,'Données projet'!$E$9+1,1))-AVERAGE(OFFSET($H$3,0,0,'Données projet'!$E$9+1,1))</f>
        <v>353.61481736740694</v>
      </c>
      <c r="T145" s="60">
        <f t="shared" si="142"/>
        <v>244.7141066773861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264.81935999999928</v>
      </c>
      <c r="AK145" s="14">
        <f t="shared" si="143"/>
        <v>63.748570085236892</v>
      </c>
      <c r="AL145" s="22">
        <f t="shared" si="112"/>
        <v>572.25581156511964</v>
      </c>
      <c r="AM145" s="60">
        <f t="shared" si="113"/>
        <v>865.58914489845301</v>
      </c>
      <c r="AN145" s="60">
        <f ca="1">AVERAGE(OFFSET($AM$3,0,0,'Données projet'!$E$10+1,1))-AVERAGE(OFFSET($H$3,0,0,'Données projet'!$E$10+1,1))</f>
        <v>455.50822833641354</v>
      </c>
      <c r="AO145" s="60">
        <f t="shared" si="144"/>
        <v>261.14722581688039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286.17575999999923</v>
      </c>
      <c r="BF145" s="14">
        <f t="shared" si="145"/>
        <v>68.270462748552163</v>
      </c>
      <c r="BG145" s="22">
        <f t="shared" si="115"/>
        <v>617.32717128706031</v>
      </c>
      <c r="BH145" s="60">
        <f t="shared" si="116"/>
        <v>910.66050462039357</v>
      </c>
      <c r="BI145" s="60">
        <f ca="1">AVERAGE(OFFSET($BH$3,0,0,'Données projet'!$E$11+1,1))-AVERAGE(OFFSET($H$3,0,0,'Données projet'!$E$11+1,1))</f>
        <v>488.7825919901664</v>
      </c>
      <c r="BJ145" s="60">
        <f t="shared" si="146"/>
        <v>278.78817181412438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277.63319999999919</v>
      </c>
      <c r="CA145" s="14">
        <f t="shared" si="147"/>
        <v>66.466589162975524</v>
      </c>
      <c r="CB145" s="22">
        <f t="shared" si="118"/>
        <v>599.30713279218094</v>
      </c>
      <c r="CC145" s="60">
        <f t="shared" si="119"/>
        <v>892.64046612551419</v>
      </c>
      <c r="CD145" s="60">
        <f ca="1">AVERAGE(OFFSET($CC$3,0,0,'Données projet'!$E$12+1,1))-AVERAGE(OFFSET($H$3,0,0,'Données projet'!$E$12+1,1))</f>
        <v>475.47920969424894</v>
      </c>
      <c r="CE145" s="60">
        <f t="shared" si="148"/>
        <v>271.73544012419364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247.73423999999929</v>
      </c>
      <c r="CV145" s="14">
        <f t="shared" si="149"/>
        <v>60.100505665694953</v>
      </c>
      <c r="CW145" s="22">
        <f t="shared" si="121"/>
        <v>536.14551536775082</v>
      </c>
      <c r="CX145" s="60">
        <f t="shared" si="122"/>
        <v>829.47884870108419</v>
      </c>
      <c r="CY145" s="60">
        <f ca="1">AVERAGE(OFFSET($CX$3,0,0,'Données projet'!$E$13+1,1))-AVERAGE(OFFSET($H$3,0,0,'Données projet'!$E$13+1,1))</f>
        <v>428.8489304403459</v>
      </c>
      <c r="CZ145" s="60">
        <f t="shared" si="150"/>
        <v>247.01165577562966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294.71831999999915</v>
      </c>
      <c r="DQ145" s="14">
        <f t="shared" si="151"/>
        <v>70.068078441055917</v>
      </c>
      <c r="DR145" s="22">
        <f t="shared" si="124"/>
        <v>635.33631061817096</v>
      </c>
      <c r="DS145" s="60">
        <f t="shared" si="125"/>
        <v>928.66964395150421</v>
      </c>
      <c r="DT145" s="60">
        <f ca="1">AVERAGE(OFFSET($DS$3,0,0,'Données projet'!$E$14+1,1))-AVERAGE(OFFSET($H$3,0,0,'Données projet'!$E$14+1,1))</f>
        <v>502.07782026233912</v>
      </c>
      <c r="DU145" s="60">
        <f t="shared" si="152"/>
        <v>285.83623046025156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-2.2737367544323206E-13</v>
      </c>
      <c r="EK145" s="18">
        <f>EJ145*VLOOKUP('Données projet'!$B$15,Paramètres!$A$1:$I$89,3,0)*VLOOKUP('Données projet'!$B$15,Paramètres!$A$1:$I$89,5,0)</f>
        <v>-1.3596945791505279E-13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392.62423122800357</v>
      </c>
      <c r="EP145" s="60">
        <f t="shared" si="154"/>
        <v>314.09619163968642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0.50841869028210984</v>
      </c>
      <c r="EX145" s="23">
        <f>EXP(-LN(2)/2)*EX144+(1-EXP(-LN(2)/2))/(LN(2)/2)*ER145*EU145*VLOOKUP('Données projet'!$B$15,Paramètres!$A$1:$I$89,3,0)*0.475*44/12</f>
        <v>2.4430385162007427E-16</v>
      </c>
      <c r="EY145" s="24">
        <f t="shared" si="129"/>
        <v>0.50841869028211006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0" t="e">
        <f t="shared" si="131"/>
        <v>#NUM!</v>
      </c>
      <c r="FJ145" s="60">
        <f ca="1">AVERAGE(OFFSET($FI$3,0,0,'Données projet'!$E$16+1,1))-AVERAGE(OFFSET($H$3,0,0,'Données projet'!$E$16+1,1))</f>
        <v>207.03241199974599</v>
      </c>
      <c r="FK145" s="60">
        <f t="shared" si="156"/>
        <v>314.188568589113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1.4691568266874746</v>
      </c>
      <c r="FR145" s="23">
        <f>EXP(-LN(2)/25)*FR144+(1-EXP(-LN(2)/25))/(LN(2)/25)*Calculateur!FM145*Calculateur!FO145*VLOOKUP('Données projet'!$B$16,Paramètres!$A$1:$I$89,3,0)*0.475*44/12</f>
        <v>0.43688196380965266</v>
      </c>
      <c r="FS145" s="23">
        <f>EXP(-LN(2)/2)*FS144+(1-EXP(-LN(2)/2))/(LN(2)/2)*FM145*FP145*VLOOKUP('Données projet'!$B$16,Paramètres!$A$1:$I$89,3,0)*0.475*44/12</f>
        <v>4.0584587037051503E-17</v>
      </c>
      <c r="FT145" s="24">
        <f t="shared" si="132"/>
        <v>1.9060387904971272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10.256410256410078</v>
      </c>
      <c r="O146" s="14">
        <f>N146*VLOOKUP('Données projet'!$B$9,Paramètres!$A$1:$I$89,3,0)*VLOOKUP('Données projet'!$B$9,Paramètres!$A$1:$I$89,5,0)</f>
        <v>9.7599999999998293</v>
      </c>
      <c r="P146" s="14">
        <f t="shared" si="141"/>
        <v>3.4500860232767008</v>
      </c>
      <c r="Q146" s="22">
        <f t="shared" si="108"/>
        <v>23.007566490539954</v>
      </c>
      <c r="R146" s="60">
        <f t="shared" si="109"/>
        <v>316.34089982387326</v>
      </c>
      <c r="S146" s="60">
        <f ca="1">AVERAGE(OFFSET($R$3,0,0,'Données projet'!$E$9+1,1))-AVERAGE(OFFSET($H$3,0,0,'Données projet'!$E$9+1,1))</f>
        <v>353.61481736740694</v>
      </c>
      <c r="T146" s="60">
        <f t="shared" si="142"/>
        <v>244.7141066773861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267.14063999999922</v>
      </c>
      <c r="AK146" s="14">
        <f t="shared" si="143"/>
        <v>64.242065428895785</v>
      </c>
      <c r="AL146" s="22">
        <f t="shared" si="112"/>
        <v>577.15821195532533</v>
      </c>
      <c r="AM146" s="60">
        <f t="shared" si="113"/>
        <v>870.4915452886587</v>
      </c>
      <c r="AN146" s="60">
        <f ca="1">AVERAGE(OFFSET($AM$3,0,0,'Données projet'!$E$10+1,1))-AVERAGE(OFFSET($H$3,0,0,'Données projet'!$E$10+1,1))</f>
        <v>455.50822833641354</v>
      </c>
      <c r="AO146" s="60">
        <f t="shared" si="144"/>
        <v>261.14722581688039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288.68423999999919</v>
      </c>
      <c r="BF146" s="14">
        <f t="shared" si="145"/>
        <v>68.798963316185237</v>
      </c>
      <c r="BG146" s="22">
        <f t="shared" si="115"/>
        <v>622.61657910902113</v>
      </c>
      <c r="BH146" s="60">
        <f t="shared" si="116"/>
        <v>915.94991244235439</v>
      </c>
      <c r="BI146" s="60">
        <f ca="1">AVERAGE(OFFSET($BH$3,0,0,'Données projet'!$E$11+1,1))-AVERAGE(OFFSET($H$3,0,0,'Données projet'!$E$11+1,1))</f>
        <v>488.7825919901664</v>
      </c>
      <c r="BJ146" s="60">
        <f t="shared" si="146"/>
        <v>278.78817181412438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280.0667999999992</v>
      </c>
      <c r="CA146" s="14">
        <f t="shared" si="147"/>
        <v>66.981125445388756</v>
      </c>
      <c r="CB146" s="22">
        <f t="shared" si="118"/>
        <v>604.44180348405064</v>
      </c>
      <c r="CC146" s="60">
        <f t="shared" si="119"/>
        <v>897.77513681738401</v>
      </c>
      <c r="CD146" s="60">
        <f ca="1">AVERAGE(OFFSET($CC$3,0,0,'Données projet'!$E$12+1,1))-AVERAGE(OFFSET($H$3,0,0,'Données projet'!$E$12+1,1))</f>
        <v>475.47920969424894</v>
      </c>
      <c r="CE146" s="60">
        <f t="shared" si="148"/>
        <v>271.73544012419364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249.90575999999925</v>
      </c>
      <c r="CV146" s="14">
        <f t="shared" si="149"/>
        <v>60.565760331923727</v>
      </c>
      <c r="CW146" s="22">
        <f t="shared" si="121"/>
        <v>540.73789791143247</v>
      </c>
      <c r="CX146" s="60">
        <f t="shared" si="122"/>
        <v>834.07123124476584</v>
      </c>
      <c r="CY146" s="60">
        <f ca="1">AVERAGE(OFFSET($CX$3,0,0,'Données projet'!$E$13+1,1))-AVERAGE(OFFSET($H$3,0,0,'Données projet'!$E$13+1,1))</f>
        <v>428.8489304403459</v>
      </c>
      <c r="CZ146" s="60">
        <f t="shared" si="150"/>
        <v>247.01165577562966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297.30167999999912</v>
      </c>
      <c r="DQ146" s="14">
        <f t="shared" si="151"/>
        <v>70.610494849824818</v>
      </c>
      <c r="DR146" s="22">
        <f t="shared" si="124"/>
        <v>640.78037119677663</v>
      </c>
      <c r="DS146" s="60">
        <f t="shared" si="125"/>
        <v>934.11370453011</v>
      </c>
      <c r="DT146" s="60">
        <f ca="1">AVERAGE(OFFSET($DS$3,0,0,'Données projet'!$E$14+1,1))-AVERAGE(OFFSET($H$3,0,0,'Données projet'!$E$14+1,1))</f>
        <v>502.07782026233912</v>
      </c>
      <c r="DU146" s="60">
        <f t="shared" si="152"/>
        <v>285.83623046025156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-2.2737367544323206E-13</v>
      </c>
      <c r="EK146" s="18">
        <f>EJ146*VLOOKUP('Données projet'!$B$15,Paramètres!$A$1:$I$89,3,0)*VLOOKUP('Données projet'!$B$15,Paramètres!$A$1:$I$89,5,0)</f>
        <v>-1.3596945791505279E-13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392.62423122800357</v>
      </c>
      <c r="EP146" s="60">
        <f t="shared" si="154"/>
        <v>314.09619163968642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0.49451595445976865</v>
      </c>
      <c r="EX146" s="23">
        <f>EXP(-LN(2)/2)*EX145+(1-EXP(-LN(2)/2))/(LN(2)/2)*ER146*EU146*VLOOKUP('Données projet'!$B$15,Paramètres!$A$1:$I$89,3,0)*0.475*44/12</f>
        <v>1.7274891015054663E-16</v>
      </c>
      <c r="EY146" s="24">
        <f t="shared" si="129"/>
        <v>0.49451595445976881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0" t="e">
        <f t="shared" si="131"/>
        <v>#NUM!</v>
      </c>
      <c r="FJ146" s="60">
        <f ca="1">AVERAGE(OFFSET($FI$3,0,0,'Données projet'!$E$16+1,1))-AVERAGE(OFFSET($H$3,0,0,'Données projet'!$E$16+1,1))</f>
        <v>207.03241199974599</v>
      </c>
      <c r="FK146" s="60">
        <f t="shared" si="156"/>
        <v>314.188568589113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1.4403475574133153</v>
      </c>
      <c r="FR146" s="23">
        <f>EXP(-LN(2)/25)*FR145+(1-EXP(-LN(2)/25))/(LN(2)/25)*Calculateur!FM146*Calculateur!FO146*VLOOKUP('Données projet'!$B$16,Paramètres!$A$1:$I$89,3,0)*0.475*44/12</f>
        <v>0.42493540353465376</v>
      </c>
      <c r="FS146" s="23">
        <f>EXP(-LN(2)/2)*FS145+(1-EXP(-LN(2)/2))/(LN(2)/2)*FM146*FP146*VLOOKUP('Données projet'!$B$16,Paramètres!$A$1:$I$89,3,0)*0.475*44/12</f>
        <v>2.869763670555477E-17</v>
      </c>
      <c r="FT146" s="24">
        <f t="shared" si="132"/>
        <v>1.8652829609479691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10.256410256410078</v>
      </c>
      <c r="O147" s="14">
        <f>N147*VLOOKUP('Données projet'!$B$9,Paramètres!$A$1:$I$89,3,0)*VLOOKUP('Données projet'!$B$9,Paramètres!$A$1:$I$89,5,0)</f>
        <v>9.7599999999998293</v>
      </c>
      <c r="P147" s="14">
        <f t="shared" si="141"/>
        <v>3.4500860232767008</v>
      </c>
      <c r="Q147" s="22">
        <f t="shared" si="108"/>
        <v>23.007566490539954</v>
      </c>
      <c r="R147" s="60">
        <f t="shared" si="109"/>
        <v>316.34089982387326</v>
      </c>
      <c r="S147" s="60">
        <f ca="1">AVERAGE(OFFSET($R$3,0,0,'Données projet'!$E$9+1,1))-AVERAGE(OFFSET($H$3,0,0,'Données projet'!$E$9+1,1))</f>
        <v>353.61481736740694</v>
      </c>
      <c r="T147" s="60">
        <f t="shared" si="142"/>
        <v>244.7141066773861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269.46191999999922</v>
      </c>
      <c r="AK147" s="14">
        <f t="shared" si="143"/>
        <v>64.735061876838927</v>
      </c>
      <c r="AL147" s="22">
        <f t="shared" si="112"/>
        <v>582.05974343549315</v>
      </c>
      <c r="AM147" s="60">
        <f t="shared" si="113"/>
        <v>875.3930767688264</v>
      </c>
      <c r="AN147" s="60">
        <f ca="1">AVERAGE(OFFSET($AM$3,0,0,'Données projet'!$E$10+1,1))-AVERAGE(OFFSET($H$3,0,0,'Données projet'!$E$10+1,1))</f>
        <v>455.50822833641354</v>
      </c>
      <c r="AO147" s="60">
        <f t="shared" si="144"/>
        <v>261.14722581688039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291.19271999999916</v>
      </c>
      <c r="BF147" s="14">
        <f t="shared" si="145"/>
        <v>69.326929599812757</v>
      </c>
      <c r="BG147" s="22">
        <f t="shared" si="115"/>
        <v>627.9050563863392</v>
      </c>
      <c r="BH147" s="60">
        <f t="shared" si="116"/>
        <v>921.23838971967257</v>
      </c>
      <c r="BI147" s="60">
        <f ca="1">AVERAGE(OFFSET($BH$3,0,0,'Données projet'!$E$11+1,1))-AVERAGE(OFFSET($H$3,0,0,'Données projet'!$E$11+1,1))</f>
        <v>488.7825919901664</v>
      </c>
      <c r="BJ147" s="60">
        <f t="shared" si="146"/>
        <v>278.78817181412438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282.50039999999916</v>
      </c>
      <c r="CA147" s="14">
        <f t="shared" si="147"/>
        <v>67.495141560894254</v>
      </c>
      <c r="CB147" s="22">
        <f t="shared" si="118"/>
        <v>609.57556821855599</v>
      </c>
      <c r="CC147" s="60">
        <f t="shared" si="119"/>
        <v>902.90890155188936</v>
      </c>
      <c r="CD147" s="60">
        <f ca="1">AVERAGE(OFFSET($CC$3,0,0,'Données projet'!$E$12+1,1))-AVERAGE(OFFSET($H$3,0,0,'Données projet'!$E$12+1,1))</f>
        <v>475.47920969424894</v>
      </c>
      <c r="CE147" s="60">
        <f t="shared" si="148"/>
        <v>271.73544012419364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252.07727999999923</v>
      </c>
      <c r="CV147" s="14">
        <f t="shared" si="149"/>
        <v>61.030544652154823</v>
      </c>
      <c r="CW147" s="22">
        <f t="shared" si="121"/>
        <v>545.32946126916829</v>
      </c>
      <c r="CX147" s="60">
        <f t="shared" si="122"/>
        <v>838.66279460250166</v>
      </c>
      <c r="CY147" s="60">
        <f ca="1">AVERAGE(OFFSET($CX$3,0,0,'Données projet'!$E$13+1,1))-AVERAGE(OFFSET($H$3,0,0,'Données projet'!$E$13+1,1))</f>
        <v>428.8489304403459</v>
      </c>
      <c r="CZ147" s="60">
        <f t="shared" si="150"/>
        <v>247.01165577562966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299.88503999999909</v>
      </c>
      <c r="DQ147" s="14">
        <f t="shared" si="151"/>
        <v>71.152362906464447</v>
      </c>
      <c r="DR147" s="22">
        <f t="shared" si="124"/>
        <v>646.2234767287573</v>
      </c>
      <c r="DS147" s="60">
        <f t="shared" si="125"/>
        <v>939.55681006209056</v>
      </c>
      <c r="DT147" s="60">
        <f ca="1">AVERAGE(OFFSET($DS$3,0,0,'Données projet'!$E$14+1,1))-AVERAGE(OFFSET($H$3,0,0,'Données projet'!$E$14+1,1))</f>
        <v>502.07782026233912</v>
      </c>
      <c r="DU147" s="60">
        <f t="shared" si="152"/>
        <v>285.83623046025156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-2.2737367544323206E-13</v>
      </c>
      <c r="EK147" s="18">
        <f>EJ147*VLOOKUP('Données projet'!$B$15,Paramètres!$A$1:$I$89,3,0)*VLOOKUP('Données projet'!$B$15,Paramètres!$A$1:$I$89,5,0)</f>
        <v>-1.3596945791505279E-13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392.62423122800357</v>
      </c>
      <c r="EP147" s="60">
        <f t="shared" si="154"/>
        <v>314.09619163968642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0.48099338967960248</v>
      </c>
      <c r="EX147" s="23">
        <f>EXP(-LN(2)/2)*EX146+(1-EXP(-LN(2)/2))/(LN(2)/2)*ER147*EU147*VLOOKUP('Données projet'!$B$15,Paramètres!$A$1:$I$89,3,0)*0.475*44/12</f>
        <v>1.2215192581003713E-16</v>
      </c>
      <c r="EY147" s="24">
        <f t="shared" si="129"/>
        <v>0.48099338967960259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0" t="e">
        <f t="shared" si="131"/>
        <v>#NUM!</v>
      </c>
      <c r="FJ147" s="60">
        <f ca="1">AVERAGE(OFFSET($FI$3,0,0,'Données projet'!$E$16+1,1))-AVERAGE(OFFSET($H$3,0,0,'Données projet'!$E$16+1,1))</f>
        <v>207.03241199974599</v>
      </c>
      <c r="FK147" s="60">
        <f t="shared" si="156"/>
        <v>314.188568589113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1.4121032203377031</v>
      </c>
      <c r="FR147" s="23">
        <f>EXP(-LN(2)/25)*FR146+(1-EXP(-LN(2)/25))/(LN(2)/25)*Calculateur!FM147*Calculateur!FO147*VLOOKUP('Données projet'!$B$16,Paramètres!$A$1:$I$89,3,0)*0.475*44/12</f>
        <v>0.41331552257861698</v>
      </c>
      <c r="FS147" s="23">
        <f>EXP(-LN(2)/2)*FS146+(1-EXP(-LN(2)/2))/(LN(2)/2)*FM147*FP147*VLOOKUP('Données projet'!$B$16,Paramètres!$A$1:$I$89,3,0)*0.475*44/12</f>
        <v>2.0292293518525752E-17</v>
      </c>
      <c r="FT147" s="24">
        <f t="shared" si="132"/>
        <v>1.82541874291632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10.256410256410078</v>
      </c>
      <c r="O148" s="14">
        <f>N148*VLOOKUP('Données projet'!$B$9,Paramètres!$A$1:$I$89,3,0)*VLOOKUP('Données projet'!$B$9,Paramètres!$A$1:$I$89,5,0)</f>
        <v>9.7599999999998293</v>
      </c>
      <c r="P148" s="14">
        <f t="shared" si="141"/>
        <v>3.4500860232767008</v>
      </c>
      <c r="Q148" s="22">
        <f t="shared" si="108"/>
        <v>23.007566490539954</v>
      </c>
      <c r="R148" s="60">
        <f t="shared" si="109"/>
        <v>316.34089982387326</v>
      </c>
      <c r="S148" s="60">
        <f ca="1">AVERAGE(OFFSET($R$3,0,0,'Données projet'!$E$9+1,1))-AVERAGE(OFFSET($H$3,0,0,'Données projet'!$E$9+1,1))</f>
        <v>353.61481736740694</v>
      </c>
      <c r="T148" s="60">
        <f t="shared" si="142"/>
        <v>244.7141066773861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271.78319999999917</v>
      </c>
      <c r="AK148" s="14">
        <f t="shared" si="143"/>
        <v>65.227564224775008</v>
      </c>
      <c r="AL148" s="22">
        <f t="shared" si="112"/>
        <v>586.96041435814834</v>
      </c>
      <c r="AM148" s="60">
        <f t="shared" si="113"/>
        <v>880.29374769148171</v>
      </c>
      <c r="AN148" s="60">
        <f ca="1">AVERAGE(OFFSET($AM$3,0,0,'Données projet'!$E$10+1,1))-AVERAGE(OFFSET($H$3,0,0,'Données projet'!$E$10+1,1))</f>
        <v>455.50822833641354</v>
      </c>
      <c r="AO148" s="60">
        <f t="shared" si="144"/>
        <v>261.14722581688039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293.70119999999912</v>
      </c>
      <c r="BF148" s="14">
        <f t="shared" si="145"/>
        <v>69.854366735318507</v>
      </c>
      <c r="BG148" s="22">
        <f t="shared" si="115"/>
        <v>633.19261206401154</v>
      </c>
      <c r="BH148" s="60">
        <f t="shared" si="116"/>
        <v>926.52594539734491</v>
      </c>
      <c r="BI148" s="60">
        <f ca="1">AVERAGE(OFFSET($BH$3,0,0,'Données projet'!$E$11+1,1))-AVERAGE(OFFSET($H$3,0,0,'Données projet'!$E$11+1,1))</f>
        <v>488.7825919901664</v>
      </c>
      <c r="BJ148" s="60">
        <f t="shared" si="146"/>
        <v>278.78817181412438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284.93399999999917</v>
      </c>
      <c r="CA148" s="14">
        <f t="shared" si="147"/>
        <v>68.008642509673109</v>
      </c>
      <c r="CB148" s="22">
        <f t="shared" si="118"/>
        <v>614.7084357043459</v>
      </c>
      <c r="CC148" s="60">
        <f t="shared" si="119"/>
        <v>908.04176903767916</v>
      </c>
      <c r="CD148" s="60">
        <f ca="1">AVERAGE(OFFSET($CC$3,0,0,'Données projet'!$E$12+1,1))-AVERAGE(OFFSET($H$3,0,0,'Données projet'!$E$12+1,1))</f>
        <v>475.47920969424894</v>
      </c>
      <c r="CE148" s="60">
        <f t="shared" si="148"/>
        <v>271.73544012419364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254.24879999999925</v>
      </c>
      <c r="CV148" s="14">
        <f t="shared" si="149"/>
        <v>61.494863147658698</v>
      </c>
      <c r="CW148" s="22">
        <f t="shared" si="121"/>
        <v>549.92021331550427</v>
      </c>
      <c r="CX148" s="60">
        <f t="shared" si="122"/>
        <v>843.25354664883753</v>
      </c>
      <c r="CY148" s="60">
        <f ca="1">AVERAGE(OFFSET($CX$3,0,0,'Données projet'!$E$13+1,1))-AVERAGE(OFFSET($H$3,0,0,'Données projet'!$E$13+1,1))</f>
        <v>428.8489304403459</v>
      </c>
      <c r="CZ148" s="60">
        <f t="shared" si="150"/>
        <v>247.01165577562966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302.46839999999906</v>
      </c>
      <c r="DQ148" s="14">
        <f t="shared" si="151"/>
        <v>71.693687882090543</v>
      </c>
      <c r="DR148" s="22">
        <f t="shared" si="124"/>
        <v>651.66563639463936</v>
      </c>
      <c r="DS148" s="60">
        <f t="shared" si="125"/>
        <v>944.99896972797274</v>
      </c>
      <c r="DT148" s="60">
        <f ca="1">AVERAGE(OFFSET($DS$3,0,0,'Données projet'!$E$14+1,1))-AVERAGE(OFFSET($H$3,0,0,'Données projet'!$E$14+1,1))</f>
        <v>502.07782026233912</v>
      </c>
      <c r="DU148" s="60">
        <f t="shared" si="152"/>
        <v>285.83623046025156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-2.2737367544323206E-13</v>
      </c>
      <c r="EK148" s="18">
        <f>EJ148*VLOOKUP('Données projet'!$B$15,Paramètres!$A$1:$I$89,3,0)*VLOOKUP('Données projet'!$B$15,Paramètres!$A$1:$I$89,5,0)</f>
        <v>-1.3596945791505279E-13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392.62423122800357</v>
      </c>
      <c r="EP148" s="60">
        <f t="shared" si="154"/>
        <v>314.09619163968642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0.46784060014447071</v>
      </c>
      <c r="EX148" s="23">
        <f>EXP(-LN(2)/2)*EX147+(1-EXP(-LN(2)/2))/(LN(2)/2)*ER148*EU148*VLOOKUP('Données projet'!$B$15,Paramètres!$A$1:$I$89,3,0)*0.475*44/12</f>
        <v>8.6374455075273315E-17</v>
      </c>
      <c r="EY148" s="24">
        <f t="shared" si="129"/>
        <v>0.46784060014447082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0" t="e">
        <f t="shared" si="131"/>
        <v>#NUM!</v>
      </c>
      <c r="FJ148" s="60">
        <f ca="1">AVERAGE(OFFSET($FI$3,0,0,'Données projet'!$E$16+1,1))-AVERAGE(OFFSET($H$3,0,0,'Données projet'!$E$16+1,1))</f>
        <v>207.03241199974599</v>
      </c>
      <c r="FK148" s="60">
        <f t="shared" si="156"/>
        <v>314.188568589113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1.384412737484799</v>
      </c>
      <c r="FR148" s="23">
        <f>EXP(-LN(2)/25)*FR147+(1-EXP(-LN(2)/25))/(LN(2)/25)*Calculateur!FM148*Calculateur!FO148*VLOOKUP('Données projet'!$B$16,Paramètres!$A$1:$I$89,3,0)*0.475*44/12</f>
        <v>0.40201338787838603</v>
      </c>
      <c r="FS148" s="23">
        <f>EXP(-LN(2)/2)*FS147+(1-EXP(-LN(2)/2))/(LN(2)/2)*FM148*FP148*VLOOKUP('Données projet'!$B$16,Paramètres!$A$1:$I$89,3,0)*0.475*44/12</f>
        <v>1.4348818352777385E-17</v>
      </c>
      <c r="FT148" s="24">
        <f t="shared" si="132"/>
        <v>1.786426125363185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10.256410256410078</v>
      </c>
      <c r="O149" s="14">
        <f>N149*VLOOKUP('Données projet'!$B$9,Paramètres!$A$1:$I$89,3,0)*VLOOKUP('Données projet'!$B$9,Paramètres!$A$1:$I$89,5,0)</f>
        <v>9.7599999999998293</v>
      </c>
      <c r="P149" s="14">
        <f t="shared" si="141"/>
        <v>3.4500860232767008</v>
      </c>
      <c r="Q149" s="22">
        <f t="shared" si="108"/>
        <v>23.007566490539954</v>
      </c>
      <c r="R149" s="60">
        <f t="shared" si="109"/>
        <v>316.34089982387326</v>
      </c>
      <c r="S149" s="60">
        <f ca="1">AVERAGE(OFFSET($R$3,0,0,'Données projet'!$E$9+1,1))-AVERAGE(OFFSET($H$3,0,0,'Données projet'!$E$9+1,1))</f>
        <v>353.61481736740694</v>
      </c>
      <c r="T149" s="60">
        <f t="shared" si="142"/>
        <v>244.7141066773861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274.10447999999917</v>
      </c>
      <c r="AK149" s="14">
        <f t="shared" si="143"/>
        <v>65.719577181765331</v>
      </c>
      <c r="AL149" s="22">
        <f t="shared" si="112"/>
        <v>591.86023292490643</v>
      </c>
      <c r="AM149" s="60">
        <f t="shared" si="113"/>
        <v>885.1935662582398</v>
      </c>
      <c r="AN149" s="60">
        <f ca="1">AVERAGE(OFFSET($AM$3,0,0,'Données projet'!$E$10+1,1))-AVERAGE(OFFSET($H$3,0,0,'Données projet'!$E$10+1,1))</f>
        <v>455.50822833641354</v>
      </c>
      <c r="AO149" s="60">
        <f t="shared" si="144"/>
        <v>261.14722581688039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296.20967999999908</v>
      </c>
      <c r="BF149" s="14">
        <f t="shared" si="145"/>
        <v>70.381279765792826</v>
      </c>
      <c r="BG149" s="22">
        <f t="shared" si="115"/>
        <v>638.47925492542083</v>
      </c>
      <c r="BH149" s="60">
        <f t="shared" si="116"/>
        <v>931.8125882587542</v>
      </c>
      <c r="BI149" s="60">
        <f ca="1">AVERAGE(OFFSET($BH$3,0,0,'Données projet'!$E$11+1,1))-AVERAGE(OFFSET($H$3,0,0,'Données projet'!$E$11+1,1))</f>
        <v>488.7825919901664</v>
      </c>
      <c r="BJ149" s="60">
        <f t="shared" si="146"/>
        <v>278.78817181412438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287.36759999999913</v>
      </c>
      <c r="CA149" s="14">
        <f t="shared" si="147"/>
        <v>68.521633201564995</v>
      </c>
      <c r="CB149" s="22">
        <f t="shared" si="118"/>
        <v>619.84041449272411</v>
      </c>
      <c r="CC149" s="60">
        <f t="shared" si="119"/>
        <v>913.17374782605748</v>
      </c>
      <c r="CD149" s="60">
        <f ca="1">AVERAGE(OFFSET($CC$3,0,0,'Données projet'!$E$12+1,1))-AVERAGE(OFFSET($H$3,0,0,'Données projet'!$E$12+1,1))</f>
        <v>475.47920969424894</v>
      </c>
      <c r="CE149" s="60">
        <f t="shared" si="148"/>
        <v>271.73544012419364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256.42031999999921</v>
      </c>
      <c r="CV149" s="14">
        <f t="shared" si="149"/>
        <v>61.958720258016747</v>
      </c>
      <c r="CW149" s="22">
        <f t="shared" si="121"/>
        <v>554.51016178271107</v>
      </c>
      <c r="CX149" s="60">
        <f t="shared" si="122"/>
        <v>847.84349511604432</v>
      </c>
      <c r="CY149" s="60">
        <f ca="1">AVERAGE(OFFSET($CX$3,0,0,'Données projet'!$E$13+1,1))-AVERAGE(OFFSET($H$3,0,0,'Données projet'!$E$13+1,1))</f>
        <v>428.8489304403459</v>
      </c>
      <c r="CZ149" s="60">
        <f t="shared" si="150"/>
        <v>247.01165577562966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305.05175999999904</v>
      </c>
      <c r="DQ149" s="14">
        <f t="shared" si="151"/>
        <v>72.234474952581991</v>
      </c>
      <c r="DR149" s="22">
        <f t="shared" si="124"/>
        <v>657.10685920907861</v>
      </c>
      <c r="DS149" s="60">
        <f t="shared" si="125"/>
        <v>950.44019254241198</v>
      </c>
      <c r="DT149" s="60">
        <f ca="1">AVERAGE(OFFSET($DS$3,0,0,'Données projet'!$E$14+1,1))-AVERAGE(OFFSET($H$3,0,0,'Données projet'!$E$14+1,1))</f>
        <v>502.07782026233912</v>
      </c>
      <c r="DU149" s="60">
        <f t="shared" si="152"/>
        <v>285.83623046025156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-2.2737367544323206E-13</v>
      </c>
      <c r="EK149" s="18">
        <f>EJ149*VLOOKUP('Données projet'!$B$15,Paramètres!$A$1:$I$89,3,0)*VLOOKUP('Données projet'!$B$15,Paramètres!$A$1:$I$89,5,0)</f>
        <v>-1.3596945791505279E-13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392.62423122800357</v>
      </c>
      <c r="EP149" s="60">
        <f t="shared" si="154"/>
        <v>314.09619163968642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0.45504747433085224</v>
      </c>
      <c r="EX149" s="23">
        <f>EXP(-LN(2)/2)*EX148+(1-EXP(-LN(2)/2))/(LN(2)/2)*ER149*EU149*VLOOKUP('Données projet'!$B$15,Paramètres!$A$1:$I$89,3,0)*0.475*44/12</f>
        <v>6.1075962905018567E-17</v>
      </c>
      <c r="EY149" s="24">
        <f t="shared" si="129"/>
        <v>0.4550474743308523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0" t="e">
        <f t="shared" si="131"/>
        <v>#NUM!</v>
      </c>
      <c r="FJ149" s="60">
        <f ca="1">AVERAGE(OFFSET($FI$3,0,0,'Données projet'!$E$16+1,1))-AVERAGE(OFFSET($H$3,0,0,'Données projet'!$E$16+1,1))</f>
        <v>207.03241199974599</v>
      </c>
      <c r="FK149" s="60">
        <f t="shared" si="156"/>
        <v>314.188568589113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1.3572652481111136</v>
      </c>
      <c r="FR149" s="23">
        <f>EXP(-LN(2)/25)*FR148+(1-EXP(-LN(2)/25))/(LN(2)/25)*Calculateur!FM149*Calculateur!FO149*VLOOKUP('Données projet'!$B$16,Paramètres!$A$1:$I$89,3,0)*0.475*44/12</f>
        <v>0.39102031064588633</v>
      </c>
      <c r="FS149" s="23">
        <f>EXP(-LN(2)/2)*FS148+(1-EXP(-LN(2)/2))/(LN(2)/2)*FM149*FP149*VLOOKUP('Données projet'!$B$16,Paramètres!$A$1:$I$89,3,0)*0.475*44/12</f>
        <v>1.0146146759262876E-17</v>
      </c>
      <c r="FT149" s="24">
        <f t="shared" si="132"/>
        <v>1.7482855587569999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10.256410256410078</v>
      </c>
      <c r="O150" s="14">
        <f>N150*VLOOKUP('Données projet'!$B$9,Paramètres!$A$1:$I$89,3,0)*VLOOKUP('Données projet'!$B$9,Paramètres!$A$1:$I$89,5,0)</f>
        <v>9.7599999999998293</v>
      </c>
      <c r="P150" s="14">
        <f t="shared" si="141"/>
        <v>3.4500860232767008</v>
      </c>
      <c r="Q150" s="22">
        <f t="shared" si="108"/>
        <v>23.007566490539954</v>
      </c>
      <c r="R150" s="60">
        <f t="shared" si="109"/>
        <v>316.34089982387326</v>
      </c>
      <c r="S150" s="60">
        <f ca="1">AVERAGE(OFFSET($R$3,0,0,'Données projet'!$E$9+1,1))-AVERAGE(OFFSET($H$3,0,0,'Données projet'!$E$9+1,1))</f>
        <v>353.61481736740694</v>
      </c>
      <c r="T150" s="60">
        <f t="shared" si="142"/>
        <v>244.7141066773861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276.42575999999912</v>
      </c>
      <c r="AK150" s="14">
        <f t="shared" si="143"/>
        <v>66.211105372509707</v>
      </c>
      <c r="AL150" s="22">
        <f t="shared" si="112"/>
        <v>596.75920719045291</v>
      </c>
      <c r="AM150" s="60">
        <f t="shared" si="113"/>
        <v>890.09254052378628</v>
      </c>
      <c r="AN150" s="60">
        <f ca="1">AVERAGE(OFFSET($AM$3,0,0,'Données projet'!$E$10+1,1))-AVERAGE(OFFSET($H$3,0,0,'Données projet'!$E$10+1,1))</f>
        <v>455.50822833641354</v>
      </c>
      <c r="AO150" s="60">
        <f t="shared" si="144"/>
        <v>261.14722581688039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298.7181599999991</v>
      </c>
      <c r="BF150" s="14">
        <f t="shared" si="145"/>
        <v>70.907673643980345</v>
      </c>
      <c r="BG150" s="22">
        <f t="shared" si="115"/>
        <v>643.76499359659749</v>
      </c>
      <c r="BH150" s="60">
        <f t="shared" si="116"/>
        <v>937.09832692993086</v>
      </c>
      <c r="BI150" s="60">
        <f ca="1">AVERAGE(OFFSET($BH$3,0,0,'Données projet'!$E$11+1,1))-AVERAGE(OFFSET($H$3,0,0,'Données projet'!$E$11+1,1))</f>
        <v>488.7825919901664</v>
      </c>
      <c r="BJ150" s="60">
        <f t="shared" si="146"/>
        <v>278.78817181412438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289.80119999999908</v>
      </c>
      <c r="CA150" s="14">
        <f t="shared" si="147"/>
        <v>69.034118458450664</v>
      </c>
      <c r="CB150" s="22">
        <f t="shared" si="118"/>
        <v>624.97151298179995</v>
      </c>
      <c r="CC150" s="60">
        <f t="shared" si="119"/>
        <v>918.30484631513332</v>
      </c>
      <c r="CD150" s="60">
        <f ca="1">AVERAGE(OFFSET($CC$3,0,0,'Données projet'!$E$12+1,1))-AVERAGE(OFFSET($H$3,0,0,'Données projet'!$E$12+1,1))</f>
        <v>475.47920969424894</v>
      </c>
      <c r="CE150" s="60">
        <f t="shared" si="148"/>
        <v>271.73544012419364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258.59183999999919</v>
      </c>
      <c r="CV150" s="14">
        <f t="shared" si="149"/>
        <v>62.422120343276475</v>
      </c>
      <c r="CW150" s="22">
        <f t="shared" si="121"/>
        <v>559.09931426453841</v>
      </c>
      <c r="CX150" s="60">
        <f t="shared" si="122"/>
        <v>852.43264759787166</v>
      </c>
      <c r="CY150" s="60">
        <f ca="1">AVERAGE(OFFSET($CX$3,0,0,'Données projet'!$E$13+1,1))-AVERAGE(OFFSET($H$3,0,0,'Données projet'!$E$13+1,1))</f>
        <v>428.8489304403459</v>
      </c>
      <c r="CZ150" s="60">
        <f t="shared" si="150"/>
        <v>247.01165577562966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307.63511999999901</v>
      </c>
      <c r="DQ150" s="14">
        <f t="shared" si="151"/>
        <v>72.774729201093322</v>
      </c>
      <c r="DR150" s="22">
        <f t="shared" si="124"/>
        <v>662.54715402523584</v>
      </c>
      <c r="DS150" s="60">
        <f t="shared" si="125"/>
        <v>955.8804873585691</v>
      </c>
      <c r="DT150" s="60">
        <f ca="1">AVERAGE(OFFSET($DS$3,0,0,'Données projet'!$E$14+1,1))-AVERAGE(OFFSET($H$3,0,0,'Données projet'!$E$14+1,1))</f>
        <v>502.07782026233912</v>
      </c>
      <c r="DU150" s="60">
        <f t="shared" si="152"/>
        <v>285.83623046025156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-2.2737367544323206E-13</v>
      </c>
      <c r="EK150" s="18">
        <f>EJ150*VLOOKUP('Données projet'!$B$15,Paramètres!$A$1:$I$89,3,0)*VLOOKUP('Données projet'!$B$15,Paramètres!$A$1:$I$89,5,0)</f>
        <v>-1.3596945791505279E-13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392.62423122800357</v>
      </c>
      <c r="EP150" s="60">
        <f t="shared" si="154"/>
        <v>314.09619163968642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0.44260417721536843</v>
      </c>
      <c r="EX150" s="23">
        <f>EXP(-LN(2)/2)*EX149+(1-EXP(-LN(2)/2))/(LN(2)/2)*ER150*EU150*VLOOKUP('Données projet'!$B$15,Paramètres!$A$1:$I$89,3,0)*0.475*44/12</f>
        <v>4.3187227537636658E-17</v>
      </c>
      <c r="EY150" s="24">
        <f t="shared" si="129"/>
        <v>0.44260417721536849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0" t="e">
        <f t="shared" si="131"/>
        <v>#NUM!</v>
      </c>
      <c r="FJ150" s="60">
        <f ca="1">AVERAGE(OFFSET($FI$3,0,0,'Données projet'!$E$16+1,1))-AVERAGE(OFFSET($H$3,0,0,'Données projet'!$E$16+1,1))</f>
        <v>207.03241199974599</v>
      </c>
      <c r="FK150" s="60">
        <f t="shared" si="156"/>
        <v>314.188568589113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1.3306501044457126</v>
      </c>
      <c r="FR150" s="23">
        <f>EXP(-LN(2)/25)*FR149+(1-EXP(-LN(2)/25))/(LN(2)/25)*Calculateur!FM150*Calculateur!FO150*VLOOKUP('Données projet'!$B$16,Paramètres!$A$1:$I$89,3,0)*0.475*44/12</f>
        <v>0.38032783968841011</v>
      </c>
      <c r="FS150" s="23">
        <f>EXP(-LN(2)/2)*FS149+(1-EXP(-LN(2)/2))/(LN(2)/2)*FM150*FP150*VLOOKUP('Données projet'!$B$16,Paramètres!$A$1:$I$89,3,0)*0.475*44/12</f>
        <v>7.1744091763886925E-18</v>
      </c>
      <c r="FT150" s="24">
        <f t="shared" si="132"/>
        <v>1.7109779441341226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10.256410256410078</v>
      </c>
      <c r="O151" s="14">
        <f>N151*VLOOKUP('Données projet'!$B$9,Paramètres!$A$1:$I$89,3,0)*VLOOKUP('Données projet'!$B$9,Paramètres!$A$1:$I$89,5,0)</f>
        <v>9.7599999999998293</v>
      </c>
      <c r="P151" s="14">
        <f t="shared" si="141"/>
        <v>3.4500860232767008</v>
      </c>
      <c r="Q151" s="22">
        <f t="shared" si="108"/>
        <v>23.007566490539954</v>
      </c>
      <c r="R151" s="60">
        <f t="shared" si="109"/>
        <v>316.34089982387326</v>
      </c>
      <c r="S151" s="60">
        <f ca="1">AVERAGE(OFFSET($R$3,0,0,'Données projet'!$E$9+1,1))-AVERAGE(OFFSET($H$3,0,0,'Données projet'!$E$9+1,1))</f>
        <v>353.61481736740694</v>
      </c>
      <c r="T151" s="60">
        <f t="shared" si="142"/>
        <v>244.7141066773861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278.74703999999912</v>
      </c>
      <c r="AK151" s="14">
        <f t="shared" si="143"/>
        <v>66.702153339553078</v>
      </c>
      <c r="AL151" s="22">
        <f t="shared" si="112"/>
        <v>601.65734506638671</v>
      </c>
      <c r="AM151" s="60">
        <f t="shared" si="113"/>
        <v>894.99067839972008</v>
      </c>
      <c r="AN151" s="60">
        <f ca="1">AVERAGE(OFFSET($AM$3,0,0,'Données projet'!$E$10+1,1))-AVERAGE(OFFSET($H$3,0,0,'Données projet'!$E$10+1,1))</f>
        <v>455.50822833641354</v>
      </c>
      <c r="AO151" s="60">
        <f t="shared" si="144"/>
        <v>261.14722581688039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301.22663999999907</v>
      </c>
      <c r="BF151" s="14">
        <f t="shared" si="145"/>
        <v>71.433553234643455</v>
      </c>
      <c r="BG151" s="22">
        <f t="shared" si="115"/>
        <v>649.04983655033573</v>
      </c>
      <c r="BH151" s="60">
        <f t="shared" si="116"/>
        <v>942.3831698836691</v>
      </c>
      <c r="BI151" s="60">
        <f ca="1">AVERAGE(OFFSET($BH$3,0,0,'Données projet'!$E$11+1,1))-AVERAGE(OFFSET($H$3,0,0,'Données projet'!$E$11+1,1))</f>
        <v>488.7825919901664</v>
      </c>
      <c r="BJ151" s="60">
        <f t="shared" si="146"/>
        <v>278.78817181412438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292.2347999999991</v>
      </c>
      <c r="CA151" s="14">
        <f t="shared" si="147"/>
        <v>69.546103016553573</v>
      </c>
      <c r="CB151" s="22">
        <f t="shared" si="118"/>
        <v>630.10173942049585</v>
      </c>
      <c r="CC151" s="60">
        <f t="shared" si="119"/>
        <v>923.43507275382922</v>
      </c>
      <c r="CD151" s="60">
        <f ca="1">AVERAGE(OFFSET($CC$3,0,0,'Données projet'!$E$12+1,1))-AVERAGE(OFFSET($H$3,0,0,'Données projet'!$E$12+1,1))</f>
        <v>475.47920969424894</v>
      </c>
      <c r="CE151" s="60">
        <f t="shared" si="148"/>
        <v>271.73544012419364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260.76335999999918</v>
      </c>
      <c r="CV151" s="14">
        <f t="shared" si="149"/>
        <v>62.885067686031789</v>
      </c>
      <c r="CW151" s="22">
        <f t="shared" si="121"/>
        <v>563.68767821983727</v>
      </c>
      <c r="CX151" s="60">
        <f t="shared" si="122"/>
        <v>857.02101155317064</v>
      </c>
      <c r="CY151" s="60">
        <f ca="1">AVERAGE(OFFSET($CX$3,0,0,'Données projet'!$E$13+1,1))-AVERAGE(OFFSET($H$3,0,0,'Données projet'!$E$13+1,1))</f>
        <v>428.8489304403459</v>
      </c>
      <c r="CZ151" s="60">
        <f t="shared" si="150"/>
        <v>247.01165577562966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310.21847999999898</v>
      </c>
      <c r="DQ151" s="14">
        <f t="shared" si="151"/>
        <v>73.314455620479777</v>
      </c>
      <c r="DR151" s="22">
        <f t="shared" si="124"/>
        <v>667.98652953900034</v>
      </c>
      <c r="DS151" s="60">
        <f t="shared" si="125"/>
        <v>961.31986287233372</v>
      </c>
      <c r="DT151" s="60">
        <f ca="1">AVERAGE(OFFSET($DS$3,0,0,'Données projet'!$E$14+1,1))-AVERAGE(OFFSET($H$3,0,0,'Données projet'!$E$14+1,1))</f>
        <v>502.07782026233912</v>
      </c>
      <c r="DU151" s="60">
        <f t="shared" si="152"/>
        <v>285.83623046025156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-2.2737367544323206E-13</v>
      </c>
      <c r="EK151" s="18">
        <f>EJ151*VLOOKUP('Données projet'!$B$15,Paramètres!$A$1:$I$89,3,0)*VLOOKUP('Données projet'!$B$15,Paramètres!$A$1:$I$89,5,0)</f>
        <v>-1.3596945791505279E-13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392.62423122800357</v>
      </c>
      <c r="EP151" s="60">
        <f t="shared" si="154"/>
        <v>314.09619163968642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0.43050114271387208</v>
      </c>
      <c r="EX151" s="23">
        <f>EXP(-LN(2)/2)*EX150+(1-EXP(-LN(2)/2))/(LN(2)/2)*ER151*EU151*VLOOKUP('Données projet'!$B$15,Paramètres!$A$1:$I$89,3,0)*0.475*44/12</f>
        <v>3.0537981452509283E-17</v>
      </c>
      <c r="EY151" s="24">
        <f t="shared" si="129"/>
        <v>0.43050114271387213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0" t="e">
        <f t="shared" si="131"/>
        <v>#NUM!</v>
      </c>
      <c r="FJ151" s="60">
        <f ca="1">AVERAGE(OFFSET($FI$3,0,0,'Données projet'!$E$16+1,1))-AVERAGE(OFFSET($H$3,0,0,'Données projet'!$E$16+1,1))</f>
        <v>207.03241199974599</v>
      </c>
      <c r="FK151" s="60">
        <f t="shared" si="156"/>
        <v>314.188568589113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1.3045568675139554</v>
      </c>
      <c r="FR151" s="23">
        <f>EXP(-LN(2)/25)*FR150+(1-EXP(-LN(2)/25))/(LN(2)/25)*Calculateur!FM151*Calculateur!FO151*VLOOKUP('Données projet'!$B$16,Paramètres!$A$1:$I$89,3,0)*0.475*44/12</f>
        <v>0.36992775491155871</v>
      </c>
      <c r="FS151" s="23">
        <f>EXP(-LN(2)/2)*FS150+(1-EXP(-LN(2)/2))/(LN(2)/2)*FM151*FP151*VLOOKUP('Données projet'!$B$16,Paramètres!$A$1:$I$89,3,0)*0.475*44/12</f>
        <v>5.0730733796314379E-18</v>
      </c>
      <c r="FT151" s="24">
        <f t="shared" si="132"/>
        <v>1.6744846224255141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10.256410256410078</v>
      </c>
      <c r="O152" s="14">
        <f>N152*VLOOKUP('Données projet'!$B$9,Paramètres!$A$1:$I$89,3,0)*VLOOKUP('Données projet'!$B$9,Paramètres!$A$1:$I$89,5,0)</f>
        <v>9.7599999999998293</v>
      </c>
      <c r="P152" s="14">
        <f t="shared" si="141"/>
        <v>3.4500860232767008</v>
      </c>
      <c r="Q152" s="22">
        <f t="shared" si="108"/>
        <v>23.007566490539954</v>
      </c>
      <c r="R152" s="60">
        <f t="shared" si="109"/>
        <v>316.34089982387326</v>
      </c>
      <c r="S152" s="60">
        <f ca="1">AVERAGE(OFFSET($R$3,0,0,'Données projet'!$E$9+1,1))-AVERAGE(OFFSET($H$3,0,0,'Données projet'!$E$9+1,1))</f>
        <v>353.61481736740694</v>
      </c>
      <c r="T152" s="60">
        <f t="shared" si="142"/>
        <v>244.7141066773861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281.06831999999906</v>
      </c>
      <c r="AK152" s="14">
        <f t="shared" si="143"/>
        <v>67.192725545416479</v>
      </c>
      <c r="AL152" s="22">
        <f t="shared" si="112"/>
        <v>606.55465432493213</v>
      </c>
      <c r="AM152" s="60">
        <f t="shared" si="113"/>
        <v>899.8879876582655</v>
      </c>
      <c r="AN152" s="60">
        <f ca="1">AVERAGE(OFFSET($AM$3,0,0,'Données projet'!$E$10+1,1))-AVERAGE(OFFSET($H$3,0,0,'Données projet'!$E$10+1,1))</f>
        <v>455.50822833641354</v>
      </c>
      <c r="AO152" s="60">
        <f t="shared" si="144"/>
        <v>261.14722581688039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303.73511999999903</v>
      </c>
      <c r="BF152" s="14">
        <f t="shared" si="145"/>
        <v>71.958923316844363</v>
      </c>
      <c r="BG152" s="22">
        <f t="shared" si="115"/>
        <v>654.33379211016882</v>
      </c>
      <c r="BH152" s="60">
        <f t="shared" si="116"/>
        <v>947.66712544350207</v>
      </c>
      <c r="BI152" s="60">
        <f ca="1">AVERAGE(OFFSET($BH$3,0,0,'Données projet'!$E$11+1,1))-AVERAGE(OFFSET($H$3,0,0,'Données projet'!$E$11+1,1))</f>
        <v>488.7825919901664</v>
      </c>
      <c r="BJ152" s="60">
        <f t="shared" si="146"/>
        <v>278.78817181412438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294.66839999999905</v>
      </c>
      <c r="CA152" s="14">
        <f t="shared" si="147"/>
        <v>70.057591528661362</v>
      </c>
      <c r="CB152" s="22">
        <f t="shared" si="118"/>
        <v>635.23110191241688</v>
      </c>
      <c r="CC152" s="60">
        <f t="shared" si="119"/>
        <v>928.56443524575025</v>
      </c>
      <c r="CD152" s="60">
        <f ca="1">AVERAGE(OFFSET($CC$3,0,0,'Données projet'!$E$12+1,1))-AVERAGE(OFFSET($H$3,0,0,'Données projet'!$E$12+1,1))</f>
        <v>475.47920969424894</v>
      </c>
      <c r="CE152" s="60">
        <f t="shared" si="148"/>
        <v>271.73544012419364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262.93487999999911</v>
      </c>
      <c r="CV152" s="14">
        <f t="shared" si="149"/>
        <v>63.347566493432595</v>
      </c>
      <c r="CW152" s="22">
        <f t="shared" si="121"/>
        <v>568.27526097606028</v>
      </c>
      <c r="CX152" s="60">
        <f t="shared" si="122"/>
        <v>861.60859430939354</v>
      </c>
      <c r="CY152" s="60">
        <f ca="1">AVERAGE(OFFSET($CX$3,0,0,'Données projet'!$E$13+1,1))-AVERAGE(OFFSET($H$3,0,0,'Données projet'!$E$13+1,1))</f>
        <v>428.8489304403459</v>
      </c>
      <c r="CZ152" s="60">
        <f t="shared" si="150"/>
        <v>247.01165577562966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312.80183999999895</v>
      </c>
      <c r="DQ152" s="14">
        <f t="shared" si="151"/>
        <v>73.853659115640198</v>
      </c>
      <c r="DR152" s="22">
        <f t="shared" si="124"/>
        <v>673.42499429307145</v>
      </c>
      <c r="DS152" s="60">
        <f t="shared" si="125"/>
        <v>966.75832762640471</v>
      </c>
      <c r="DT152" s="60">
        <f ca="1">AVERAGE(OFFSET($DS$3,0,0,'Données projet'!$E$14+1,1))-AVERAGE(OFFSET($H$3,0,0,'Données projet'!$E$14+1,1))</f>
        <v>502.07782026233912</v>
      </c>
      <c r="DU152" s="60">
        <f t="shared" si="152"/>
        <v>285.83623046025156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-2.2737367544323206E-13</v>
      </c>
      <c r="EK152" s="18">
        <f>EJ152*VLOOKUP('Données projet'!$B$15,Paramètres!$A$1:$I$89,3,0)*VLOOKUP('Données projet'!$B$15,Paramètres!$A$1:$I$89,5,0)</f>
        <v>-1.3596945791505279E-13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392.62423122800357</v>
      </c>
      <c r="EP152" s="60">
        <f t="shared" si="154"/>
        <v>314.09619163968642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0.41872906632729007</v>
      </c>
      <c r="EX152" s="23">
        <f>EXP(-LN(2)/2)*EX151+(1-EXP(-LN(2)/2))/(LN(2)/2)*ER152*EU152*VLOOKUP('Données projet'!$B$15,Paramètres!$A$1:$I$89,3,0)*0.475*44/12</f>
        <v>2.1593613768818329E-17</v>
      </c>
      <c r="EY152" s="24">
        <f t="shared" si="129"/>
        <v>0.41872906632729007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0" t="e">
        <f t="shared" si="131"/>
        <v>#NUM!</v>
      </c>
      <c r="FJ152" s="60">
        <f ca="1">AVERAGE(OFFSET($FI$3,0,0,'Données projet'!$E$16+1,1))-AVERAGE(OFFSET($H$3,0,0,'Données projet'!$E$16+1,1))</f>
        <v>207.03241199974599</v>
      </c>
      <c r="FK152" s="60">
        <f t="shared" si="156"/>
        <v>314.188568589113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1.278975303043127</v>
      </c>
      <c r="FR152" s="23">
        <f>EXP(-LN(2)/25)*FR151+(1-EXP(-LN(2)/25))/(LN(2)/25)*Calculateur!FM152*Calculateur!FO152*VLOOKUP('Données projet'!$B$16,Paramètres!$A$1:$I$89,3,0)*0.475*44/12</f>
        <v>0.35981206099984697</v>
      </c>
      <c r="FS152" s="23">
        <f>EXP(-LN(2)/2)*FS151+(1-EXP(-LN(2)/2))/(LN(2)/2)*FM152*FP152*VLOOKUP('Données projet'!$B$16,Paramètres!$A$1:$I$89,3,0)*0.475*44/12</f>
        <v>3.5872045881943462E-18</v>
      </c>
      <c r="FT152" s="24">
        <f t="shared" si="132"/>
        <v>1.638787364042974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10.256410256410078</v>
      </c>
      <c r="O153" s="14">
        <f>N153*VLOOKUP('Données projet'!$B$9,Paramètres!$A$1:$I$89,3,0)*VLOOKUP('Données projet'!$B$9,Paramètres!$A$1:$I$89,5,0)</f>
        <v>9.7599999999998293</v>
      </c>
      <c r="P153" s="14">
        <f t="shared" si="141"/>
        <v>3.4500860232767008</v>
      </c>
      <c r="Q153" s="22">
        <f t="shared" si="108"/>
        <v>23.007566490539954</v>
      </c>
      <c r="R153" s="60">
        <f t="shared" si="109"/>
        <v>316.34089982387326</v>
      </c>
      <c r="S153" s="60">
        <f ca="1">AVERAGE(OFFSET($R$3,0,0,'Données projet'!$E$9+1,1))-AVERAGE(OFFSET($H$3,0,0,'Données projet'!$E$9+1,1))</f>
        <v>353.61481736740694</v>
      </c>
      <c r="T153" s="60">
        <f t="shared" si="142"/>
        <v>244.7141066773861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283.38959999999906</v>
      </c>
      <c r="AK153" s="14">
        <f t="shared" si="143"/>
        <v>67.682826374656187</v>
      </c>
      <c r="AL153" s="22">
        <f t="shared" si="112"/>
        <v>611.45114260252456</v>
      </c>
      <c r="AM153" s="60">
        <f t="shared" si="113"/>
        <v>904.78447593585793</v>
      </c>
      <c r="AN153" s="60">
        <f ca="1">AVERAGE(OFFSET($AM$3,0,0,'Données projet'!$E$10+1,1))-AVERAGE(OFFSET($H$3,0,0,'Données projet'!$E$10+1,1))</f>
        <v>455.50822833641354</v>
      </c>
      <c r="AO153" s="60">
        <f t="shared" si="144"/>
        <v>261.14722581688039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306.24359999999905</v>
      </c>
      <c r="BF153" s="14">
        <f t="shared" si="145"/>
        <v>72.483788586150126</v>
      </c>
      <c r="BG153" s="22">
        <f t="shared" si="115"/>
        <v>659.61686845420979</v>
      </c>
      <c r="BH153" s="60">
        <f t="shared" si="116"/>
        <v>952.95020178754316</v>
      </c>
      <c r="BI153" s="60">
        <f ca="1">AVERAGE(OFFSET($BH$3,0,0,'Données projet'!$E$11+1,1))-AVERAGE(OFFSET($H$3,0,0,'Données projet'!$E$11+1,1))</f>
        <v>488.7825919901664</v>
      </c>
      <c r="BJ153" s="60">
        <f t="shared" si="146"/>
        <v>278.78817181412438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297.10199999999907</v>
      </c>
      <c r="CA153" s="14">
        <f t="shared" si="147"/>
        <v>70.568588566272624</v>
      </c>
      <c r="CB153" s="22">
        <f t="shared" si="118"/>
        <v>640.3596084195899</v>
      </c>
      <c r="CC153" s="60">
        <f t="shared" si="119"/>
        <v>933.69294175292316</v>
      </c>
      <c r="CD153" s="60">
        <f ca="1">AVERAGE(OFFSET($CC$3,0,0,'Données projet'!$E$12+1,1))-AVERAGE(OFFSET($H$3,0,0,'Données projet'!$E$12+1,1))</f>
        <v>475.47920969424894</v>
      </c>
      <c r="CE153" s="60">
        <f t="shared" si="148"/>
        <v>271.73544012419364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265.1063999999991</v>
      </c>
      <c r="CV153" s="14">
        <f t="shared" si="149"/>
        <v>63.809620899125136</v>
      </c>
      <c r="CW153" s="22">
        <f t="shared" si="121"/>
        <v>572.86206973264132</v>
      </c>
      <c r="CX153" s="60">
        <f t="shared" si="122"/>
        <v>866.19540306597469</v>
      </c>
      <c r="CY153" s="60">
        <f ca="1">AVERAGE(OFFSET($CX$3,0,0,'Données projet'!$E$13+1,1))-AVERAGE(OFFSET($H$3,0,0,'Données projet'!$E$13+1,1))</f>
        <v>428.8489304403459</v>
      </c>
      <c r="CZ153" s="60">
        <f t="shared" si="150"/>
        <v>247.01165577562966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315.38519999999892</v>
      </c>
      <c r="DQ153" s="14">
        <f t="shared" si="151"/>
        <v>74.392344505779604</v>
      </c>
      <c r="DR153" s="22">
        <f t="shared" si="124"/>
        <v>678.86255668089746</v>
      </c>
      <c r="DS153" s="60">
        <f t="shared" si="125"/>
        <v>972.19589001423083</v>
      </c>
      <c r="DT153" s="60">
        <f ca="1">AVERAGE(OFFSET($DS$3,0,0,'Données projet'!$E$14+1,1))-AVERAGE(OFFSET($H$3,0,0,'Données projet'!$E$14+1,1))</f>
        <v>502.07782026233912</v>
      </c>
      <c r="DU153" s="60">
        <f t="shared" si="152"/>
        <v>285.83623046025156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-2.2737367544323206E-13</v>
      </c>
      <c r="EK153" s="18">
        <f>EJ153*VLOOKUP('Données projet'!$B$15,Paramètres!$A$1:$I$89,3,0)*VLOOKUP('Données projet'!$B$15,Paramètres!$A$1:$I$89,5,0)</f>
        <v>-1.3596945791505279E-13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392.62423122800357</v>
      </c>
      <c r="EP153" s="60">
        <f t="shared" si="154"/>
        <v>314.09619163968642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0.40727889798856576</v>
      </c>
      <c r="EX153" s="23">
        <f>EXP(-LN(2)/2)*EX152+(1-EXP(-LN(2)/2))/(LN(2)/2)*ER153*EU153*VLOOKUP('Données projet'!$B$15,Paramètres!$A$1:$I$89,3,0)*0.475*44/12</f>
        <v>1.5268990726254642E-17</v>
      </c>
      <c r="EY153" s="24">
        <f t="shared" si="129"/>
        <v>0.40727889798856576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0" t="e">
        <f t="shared" si="131"/>
        <v>#NUM!</v>
      </c>
      <c r="FJ153" s="60">
        <f ca="1">AVERAGE(OFFSET($FI$3,0,0,'Données projet'!$E$16+1,1))-AVERAGE(OFFSET($H$3,0,0,'Données projet'!$E$16+1,1))</f>
        <v>207.03241199974599</v>
      </c>
      <c r="FK153" s="60">
        <f t="shared" si="156"/>
        <v>314.188568589113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1.2538953774483579</v>
      </c>
      <c r="FR153" s="23">
        <f>EXP(-LN(2)/25)*FR152+(1-EXP(-LN(2)/25))/(LN(2)/25)*Calculateur!FM153*Calculateur!FO153*VLOOKUP('Données projet'!$B$16,Paramètres!$A$1:$I$89,3,0)*0.475*44/12</f>
        <v>0.34997298127011223</v>
      </c>
      <c r="FS153" s="23">
        <f>EXP(-LN(2)/2)*FS152+(1-EXP(-LN(2)/2))/(LN(2)/2)*FM153*FP153*VLOOKUP('Données projet'!$B$16,Paramètres!$A$1:$I$89,3,0)*0.475*44/12</f>
        <v>2.5365366898157189E-18</v>
      </c>
      <c r="FT153" s="24">
        <f t="shared" si="132"/>
        <v>1.6038683587184701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10.256410256410078</v>
      </c>
      <c r="O154" s="14">
        <f>N154*VLOOKUP('Données projet'!$B$9,Paramètres!$A$1:$I$89,3,0)*VLOOKUP('Données projet'!$B$9,Paramètres!$A$1:$I$89,5,0)</f>
        <v>9.7599999999998293</v>
      </c>
      <c r="P154" s="14">
        <f t="shared" si="141"/>
        <v>3.4500860232767008</v>
      </c>
      <c r="Q154" s="22">
        <f t="shared" ref="Q154:Q203" si="162">(O154+P154)*0.475*44/12</f>
        <v>23.007566490539954</v>
      </c>
      <c r="R154" s="60">
        <f t="shared" si="109"/>
        <v>316.34089982387326</v>
      </c>
      <c r="S154" s="60">
        <f ca="1">AVERAGE(OFFSET($R$3,0,0,'Données projet'!$E$9+1,1))-AVERAGE(OFFSET($H$3,0,0,'Données projet'!$E$9+1,1))</f>
        <v>353.61481736740694</v>
      </c>
      <c r="T154" s="60">
        <f t="shared" si="142"/>
        <v>244.7141066773861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-9.3464223027694966E-13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455.50822833641354</v>
      </c>
      <c r="AO154" s="60">
        <f t="shared" si="144"/>
        <v>261.14722581688039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-1.0100166036863811E-12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488.7825919901664</v>
      </c>
      <c r="BJ154" s="60">
        <f t="shared" si="146"/>
        <v>278.78817181412438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-9.7986685432260874E-13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475.47920969424894</v>
      </c>
      <c r="CE154" s="60">
        <f t="shared" si="148"/>
        <v>271.73544012419364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-8.7434273154940449E-13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428.8489304403459</v>
      </c>
      <c r="CZ154" s="60">
        <f t="shared" si="150"/>
        <v>247.01165577562966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-1.0401663530501537E-12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502.07782026233912</v>
      </c>
      <c r="DU154" s="60">
        <f t="shared" si="152"/>
        <v>285.83623046025156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-2.2737367544323206E-13</v>
      </c>
      <c r="EK154" s="18">
        <f>EJ154*VLOOKUP('Données projet'!$B$15,Paramètres!$A$1:$I$89,3,0)*VLOOKUP('Données projet'!$B$15,Paramètres!$A$1:$I$89,5,0)</f>
        <v>-1.3596945791505279E-13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392.62423122800357</v>
      </c>
      <c r="EP154" s="60">
        <f t="shared" si="154"/>
        <v>314.09619163968642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0.39614183510520201</v>
      </c>
      <c r="EX154" s="23">
        <f>EXP(-LN(2)/2)*EX153+(1-EXP(-LN(2)/2))/(LN(2)/2)*ER154*EU154*VLOOKUP('Données projet'!$B$15,Paramètres!$A$1:$I$89,3,0)*0.475*44/12</f>
        <v>1.0796806884409164E-17</v>
      </c>
      <c r="EY154" s="24">
        <f t="shared" ref="EY154:EY203" si="181">SUM(EV154:EX154)</f>
        <v>0.39614183510520201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207.03241199974599</v>
      </c>
      <c r="FK154" s="60">
        <f t="shared" si="156"/>
        <v>314.188568589113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1.229307253897258</v>
      </c>
      <c r="FR154" s="23">
        <f>EXP(-LN(2)/25)*FR153+(1-EXP(-LN(2)/25))/(LN(2)/25)*Calculateur!FM154*Calculateur!FO154*VLOOKUP('Données projet'!$B$16,Paramètres!$A$1:$I$89,3,0)*0.475*44/12</f>
        <v>0.34040295169300178</v>
      </c>
      <c r="FS154" s="23">
        <f>EXP(-LN(2)/2)*FS153+(1-EXP(-LN(2)/2))/(LN(2)/2)*FM154*FP154*VLOOKUP('Données projet'!$B$16,Paramètres!$A$1:$I$89,3,0)*0.475*44/12</f>
        <v>1.7936022940971731E-18</v>
      </c>
      <c r="FT154" s="24">
        <f t="shared" ref="FT154:FT203" si="184">SUM(FQ154:FS154)</f>
        <v>1.5697102055902599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10.256410256410078</v>
      </c>
      <c r="O155" s="14">
        <f>N155*VLOOKUP('Données projet'!$B$9,Paramètres!$A$1:$I$89,3,0)*VLOOKUP('Données projet'!$B$9,Paramètres!$A$1:$I$89,5,0)</f>
        <v>9.7599999999998293</v>
      </c>
      <c r="P155" s="14">
        <f t="shared" si="141"/>
        <v>3.4500860232767008</v>
      </c>
      <c r="Q155" s="22">
        <f t="shared" si="162"/>
        <v>23.007566490539954</v>
      </c>
      <c r="R155" s="60">
        <f t="shared" si="109"/>
        <v>316.34089982387326</v>
      </c>
      <c r="S155" s="60">
        <f ca="1">AVERAGE(OFFSET($R$3,0,0,'Données projet'!$E$9+1,1))-AVERAGE(OFFSET($H$3,0,0,'Données projet'!$E$9+1,1))</f>
        <v>353.61481736740694</v>
      </c>
      <c r="T155" s="60">
        <f t="shared" si="142"/>
        <v>244.7141066773861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-9.3464223027694966E-13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455.50822833641354</v>
      </c>
      <c r="AO155" s="60">
        <f t="shared" si="144"/>
        <v>261.14722581688039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-1.0100166036863811E-12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488.7825919901664</v>
      </c>
      <c r="BJ155" s="60">
        <f t="shared" si="146"/>
        <v>278.78817181412438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-9.7986685432260874E-13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475.47920969424894</v>
      </c>
      <c r="CE155" s="60">
        <f t="shared" si="148"/>
        <v>271.73544012419364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-8.7434273154940449E-13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428.8489304403459</v>
      </c>
      <c r="CZ155" s="60">
        <f t="shared" si="150"/>
        <v>247.01165577562966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-1.0401663530501537E-12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502.07782026233912</v>
      </c>
      <c r="DU155" s="60">
        <f t="shared" si="152"/>
        <v>285.83623046025156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-2.2737367544323206E-13</v>
      </c>
      <c r="EK155" s="18">
        <f>EJ155*VLOOKUP('Données projet'!$B$15,Paramètres!$A$1:$I$89,3,0)*VLOOKUP('Données projet'!$B$15,Paramètres!$A$1:$I$89,5,0)</f>
        <v>-1.3596945791505279E-13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392.62423122800357</v>
      </c>
      <c r="EP155" s="60">
        <f t="shared" si="154"/>
        <v>314.09619163968642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0.38530931579205657</v>
      </c>
      <c r="EX155" s="23">
        <f>EXP(-LN(2)/2)*EX154+(1-EXP(-LN(2)/2))/(LN(2)/2)*ER155*EU155*VLOOKUP('Données projet'!$B$15,Paramètres!$A$1:$I$89,3,0)*0.475*44/12</f>
        <v>7.6344953631273208E-18</v>
      </c>
      <c r="EY155" s="24">
        <f t="shared" si="181"/>
        <v>0.38530931579205657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207.03241199974599</v>
      </c>
      <c r="FK155" s="60">
        <f t="shared" si="156"/>
        <v>314.188568589113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1.2052012884517207</v>
      </c>
      <c r="FR155" s="23">
        <f>EXP(-LN(2)/25)*FR154+(1-EXP(-LN(2)/25))/(LN(2)/25)*Calculateur!FM155*Calculateur!FO155*VLOOKUP('Données projet'!$B$16,Paramètres!$A$1:$I$89,3,0)*0.475*44/12</f>
        <v>0.33109461507794341</v>
      </c>
      <c r="FS155" s="23">
        <f>EXP(-LN(2)/2)*FS154+(1-EXP(-LN(2)/2))/(LN(2)/2)*FM155*FP155*VLOOKUP('Données projet'!$B$16,Paramètres!$A$1:$I$89,3,0)*0.475*44/12</f>
        <v>1.2682683449078595E-18</v>
      </c>
      <c r="FT155" s="24">
        <f t="shared" si="184"/>
        <v>1.5362959035296642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10.256410256410078</v>
      </c>
      <c r="O156" s="14">
        <f>N156*VLOOKUP('Données projet'!$B$9,Paramètres!$A$1:$I$89,3,0)*VLOOKUP('Données projet'!$B$9,Paramètres!$A$1:$I$89,5,0)</f>
        <v>9.7599999999998293</v>
      </c>
      <c r="P156" s="14">
        <f t="shared" si="141"/>
        <v>3.4500860232767008</v>
      </c>
      <c r="Q156" s="22">
        <f t="shared" si="162"/>
        <v>23.007566490539954</v>
      </c>
      <c r="R156" s="60">
        <f t="shared" si="109"/>
        <v>316.34089982387326</v>
      </c>
      <c r="S156" s="60">
        <f ca="1">AVERAGE(OFFSET($R$3,0,0,'Données projet'!$E$9+1,1))-AVERAGE(OFFSET($H$3,0,0,'Données projet'!$E$9+1,1))</f>
        <v>353.61481736740694</v>
      </c>
      <c r="T156" s="60">
        <f t="shared" si="142"/>
        <v>244.7141066773861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-9.3464223027694966E-13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455.50822833641354</v>
      </c>
      <c r="AO156" s="60">
        <f t="shared" si="144"/>
        <v>261.14722581688039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-1.0100166036863811E-12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488.7825919901664</v>
      </c>
      <c r="BJ156" s="60">
        <f t="shared" si="146"/>
        <v>278.78817181412438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-9.7986685432260874E-13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475.47920969424894</v>
      </c>
      <c r="CE156" s="60">
        <f t="shared" si="148"/>
        <v>271.73544012419364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-8.7434273154940449E-13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428.8489304403459</v>
      </c>
      <c r="CZ156" s="60">
        <f t="shared" si="150"/>
        <v>247.01165577562966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-1.0401663530501537E-12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502.07782026233912</v>
      </c>
      <c r="DU156" s="60">
        <f t="shared" si="152"/>
        <v>285.83623046025156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-2.2737367544323206E-13</v>
      </c>
      <c r="EK156" s="18">
        <f>EJ156*VLOOKUP('Données projet'!$B$15,Paramètres!$A$1:$I$89,3,0)*VLOOKUP('Données projet'!$B$15,Paramètres!$A$1:$I$89,5,0)</f>
        <v>-1.3596945791505279E-13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392.62423122800357</v>
      </c>
      <c r="EP156" s="60">
        <f t="shared" si="154"/>
        <v>314.09619163968642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0.37477301228918652</v>
      </c>
      <c r="EX156" s="23">
        <f>EXP(-LN(2)/2)*EX155+(1-EXP(-LN(2)/2))/(LN(2)/2)*ER156*EU156*VLOOKUP('Données projet'!$B$15,Paramètres!$A$1:$I$89,3,0)*0.475*44/12</f>
        <v>5.3984034422045822E-18</v>
      </c>
      <c r="EY156" s="24">
        <f t="shared" si="181"/>
        <v>0.37477301228918652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207.03241199974599</v>
      </c>
      <c r="FK156" s="60">
        <f t="shared" si="156"/>
        <v>314.188568589113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1.1815680262853834</v>
      </c>
      <c r="FR156" s="23">
        <f>EXP(-LN(2)/25)*FR155+(1-EXP(-LN(2)/25))/(LN(2)/25)*Calculateur!FM156*Calculateur!FO156*VLOOKUP('Données projet'!$B$16,Paramètres!$A$1:$I$89,3,0)*0.475*44/12</f>
        <v>0.32204081541712798</v>
      </c>
      <c r="FS156" s="23">
        <f>EXP(-LN(2)/2)*FS155+(1-EXP(-LN(2)/2))/(LN(2)/2)*FM156*FP156*VLOOKUP('Données projet'!$B$16,Paramètres!$A$1:$I$89,3,0)*0.475*44/12</f>
        <v>8.9680114704858656E-19</v>
      </c>
      <c r="FT156" s="24">
        <f t="shared" si="184"/>
        <v>1.5036088417025113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10.256410256410078</v>
      </c>
      <c r="O157" s="14">
        <f>N157*VLOOKUP('Données projet'!$B$9,Paramètres!$A$1:$I$89,3,0)*VLOOKUP('Données projet'!$B$9,Paramètres!$A$1:$I$89,5,0)</f>
        <v>9.7599999999998293</v>
      </c>
      <c r="P157" s="14">
        <f t="shared" si="141"/>
        <v>3.4500860232767008</v>
      </c>
      <c r="Q157" s="22">
        <f t="shared" si="162"/>
        <v>23.007566490539954</v>
      </c>
      <c r="R157" s="60">
        <f t="shared" si="109"/>
        <v>316.34089982387326</v>
      </c>
      <c r="S157" s="60">
        <f ca="1">AVERAGE(OFFSET($R$3,0,0,'Données projet'!$E$9+1,1))-AVERAGE(OFFSET($H$3,0,0,'Données projet'!$E$9+1,1))</f>
        <v>353.61481736740694</v>
      </c>
      <c r="T157" s="60">
        <f t="shared" si="142"/>
        <v>244.7141066773861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-9.3464223027694966E-13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455.50822833641354</v>
      </c>
      <c r="AO157" s="60">
        <f t="shared" si="144"/>
        <v>261.14722581688039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-1.0100166036863811E-12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488.7825919901664</v>
      </c>
      <c r="BJ157" s="60">
        <f t="shared" si="146"/>
        <v>278.78817181412438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-9.7986685432260874E-13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475.47920969424894</v>
      </c>
      <c r="CE157" s="60">
        <f t="shared" si="148"/>
        <v>271.73544012419364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-8.7434273154940449E-13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428.8489304403459</v>
      </c>
      <c r="CZ157" s="60">
        <f t="shared" si="150"/>
        <v>247.01165577562966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-1.0401663530501537E-12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502.07782026233912</v>
      </c>
      <c r="DU157" s="60">
        <f t="shared" si="152"/>
        <v>285.83623046025156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-2.2737367544323206E-13</v>
      </c>
      <c r="EK157" s="18">
        <f>EJ157*VLOOKUP('Données projet'!$B$15,Paramètres!$A$1:$I$89,3,0)*VLOOKUP('Données projet'!$B$15,Paramètres!$A$1:$I$89,5,0)</f>
        <v>-1.3596945791505279E-13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392.62423122800357</v>
      </c>
      <c r="EP157" s="60">
        <f t="shared" si="154"/>
        <v>314.09619163968642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0.36452482455968255</v>
      </c>
      <c r="EX157" s="23">
        <f>EXP(-LN(2)/2)*EX156+(1-EXP(-LN(2)/2))/(LN(2)/2)*ER157*EU157*VLOOKUP('Données projet'!$B$15,Paramètres!$A$1:$I$89,3,0)*0.475*44/12</f>
        <v>3.8172476815636604E-18</v>
      </c>
      <c r="EY157" s="24">
        <f t="shared" si="181"/>
        <v>0.36452482455968255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207.03241199974599</v>
      </c>
      <c r="FK157" s="60">
        <f t="shared" si="156"/>
        <v>314.188568589113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1.1583981979752613</v>
      </c>
      <c r="FR157" s="23">
        <f>EXP(-LN(2)/25)*FR156+(1-EXP(-LN(2)/25))/(LN(2)/25)*Calculateur!FM157*Calculateur!FO157*VLOOKUP('Données projet'!$B$16,Paramètres!$A$1:$I$89,3,0)*0.475*44/12</f>
        <v>0.31323459238415619</v>
      </c>
      <c r="FS157" s="23">
        <f>EXP(-LN(2)/2)*FS156+(1-EXP(-LN(2)/2))/(LN(2)/2)*FM157*FP157*VLOOKUP('Données projet'!$B$16,Paramètres!$A$1:$I$89,3,0)*0.475*44/12</f>
        <v>6.3413417245392974E-19</v>
      </c>
      <c r="FT157" s="24">
        <f t="shared" si="184"/>
        <v>1.4716327903594175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10.256410256410078</v>
      </c>
      <c r="O158" s="14">
        <f>N158*VLOOKUP('Données projet'!$B$9,Paramètres!$A$1:$I$89,3,0)*VLOOKUP('Données projet'!$B$9,Paramètres!$A$1:$I$89,5,0)</f>
        <v>9.7599999999998293</v>
      </c>
      <c r="P158" s="14">
        <f t="shared" si="141"/>
        <v>3.4500860232767008</v>
      </c>
      <c r="Q158" s="22">
        <f t="shared" si="162"/>
        <v>23.007566490539954</v>
      </c>
      <c r="R158" s="60">
        <f t="shared" si="109"/>
        <v>316.34089982387326</v>
      </c>
      <c r="S158" s="60">
        <f ca="1">AVERAGE(OFFSET($R$3,0,0,'Données projet'!$E$9+1,1))-AVERAGE(OFFSET($H$3,0,0,'Données projet'!$E$9+1,1))</f>
        <v>353.61481736740694</v>
      </c>
      <c r="T158" s="60">
        <f t="shared" si="142"/>
        <v>244.7141066773861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-9.3464223027694966E-13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455.50822833641354</v>
      </c>
      <c r="AO158" s="60">
        <f t="shared" si="144"/>
        <v>261.14722581688039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-1.0100166036863811E-12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488.7825919901664</v>
      </c>
      <c r="BJ158" s="60">
        <f t="shared" si="146"/>
        <v>278.78817181412438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-9.7986685432260874E-13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475.47920969424894</v>
      </c>
      <c r="CE158" s="60">
        <f t="shared" si="148"/>
        <v>271.73544012419364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-8.7434273154940449E-13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428.8489304403459</v>
      </c>
      <c r="CZ158" s="60">
        <f t="shared" si="150"/>
        <v>247.01165577562966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-1.0401663530501537E-12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502.07782026233912</v>
      </c>
      <c r="DU158" s="60">
        <f t="shared" si="152"/>
        <v>285.83623046025156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-2.2737367544323206E-13</v>
      </c>
      <c r="EK158" s="18">
        <f>EJ158*VLOOKUP('Données projet'!$B$15,Paramètres!$A$1:$I$89,3,0)*VLOOKUP('Données projet'!$B$15,Paramètres!$A$1:$I$89,5,0)</f>
        <v>-1.3596945791505279E-13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392.62423122800357</v>
      </c>
      <c r="EP158" s="60">
        <f t="shared" si="154"/>
        <v>314.09619163968642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0.35455687406257064</v>
      </c>
      <c r="EX158" s="23">
        <f>EXP(-LN(2)/2)*EX157+(1-EXP(-LN(2)/2))/(LN(2)/2)*ER158*EU158*VLOOKUP('Données projet'!$B$15,Paramètres!$A$1:$I$89,3,0)*0.475*44/12</f>
        <v>2.6992017211022911E-18</v>
      </c>
      <c r="EY158" s="24">
        <f t="shared" si="181"/>
        <v>0.35455687406257064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207.03241199974599</v>
      </c>
      <c r="FK158" s="60">
        <f t="shared" si="156"/>
        <v>314.188568589113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1.1356827158661009</v>
      </c>
      <c r="FR158" s="23">
        <f>EXP(-LN(2)/25)*FR157+(1-EXP(-LN(2)/25))/(LN(2)/25)*Calculateur!FM158*Calculateur!FO158*VLOOKUP('Données projet'!$B$16,Paramètres!$A$1:$I$89,3,0)*0.475*44/12</f>
        <v>0.30466917598312016</v>
      </c>
      <c r="FS158" s="23">
        <f>EXP(-LN(2)/2)*FS157+(1-EXP(-LN(2)/2))/(LN(2)/2)*FM158*FP158*VLOOKUP('Données projet'!$B$16,Paramètres!$A$1:$I$89,3,0)*0.475*44/12</f>
        <v>4.4840057352429328E-19</v>
      </c>
      <c r="FT158" s="24">
        <f t="shared" si="184"/>
        <v>1.4403518918492211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10.256410256410078</v>
      </c>
      <c r="O159" s="14">
        <f>N159*VLOOKUP('Données projet'!$B$9,Paramètres!$A$1:$I$89,3,0)*VLOOKUP('Données projet'!$B$9,Paramètres!$A$1:$I$89,5,0)</f>
        <v>9.7599999999998293</v>
      </c>
      <c r="P159" s="14">
        <f t="shared" si="141"/>
        <v>3.4500860232767008</v>
      </c>
      <c r="Q159" s="22">
        <f t="shared" si="162"/>
        <v>23.007566490539954</v>
      </c>
      <c r="R159" s="60">
        <f t="shared" si="109"/>
        <v>316.34089982387326</v>
      </c>
      <c r="S159" s="60">
        <f ca="1">AVERAGE(OFFSET($R$3,0,0,'Données projet'!$E$9+1,1))-AVERAGE(OFFSET($H$3,0,0,'Données projet'!$E$9+1,1))</f>
        <v>353.61481736740694</v>
      </c>
      <c r="T159" s="60">
        <f t="shared" si="142"/>
        <v>244.7141066773861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-9.3464223027694966E-13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455.50822833641354</v>
      </c>
      <c r="AO159" s="60">
        <f t="shared" si="144"/>
        <v>261.14722581688039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-1.0100166036863811E-12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488.7825919901664</v>
      </c>
      <c r="BJ159" s="60">
        <f t="shared" si="146"/>
        <v>278.78817181412438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-9.7986685432260874E-13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475.47920969424894</v>
      </c>
      <c r="CE159" s="60">
        <f t="shared" si="148"/>
        <v>271.73544012419364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-8.7434273154940449E-13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428.8489304403459</v>
      </c>
      <c r="CZ159" s="60">
        <f t="shared" si="150"/>
        <v>247.01165577562966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-1.0401663530501537E-12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502.07782026233912</v>
      </c>
      <c r="DU159" s="60">
        <f t="shared" si="152"/>
        <v>285.83623046025156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-2.2737367544323206E-13</v>
      </c>
      <c r="EK159" s="18">
        <f>EJ159*VLOOKUP('Données projet'!$B$15,Paramètres!$A$1:$I$89,3,0)*VLOOKUP('Données projet'!$B$15,Paramètres!$A$1:$I$89,5,0)</f>
        <v>-1.3596945791505279E-13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392.62423122800357</v>
      </c>
      <c r="EP159" s="60">
        <f t="shared" si="154"/>
        <v>314.09619163968642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0.344861497695994</v>
      </c>
      <c r="EX159" s="23">
        <f>EXP(-LN(2)/2)*EX158+(1-EXP(-LN(2)/2))/(LN(2)/2)*ER159*EU159*VLOOKUP('Données projet'!$B$15,Paramètres!$A$1:$I$89,3,0)*0.475*44/12</f>
        <v>1.9086238407818302E-18</v>
      </c>
      <c r="EY159" s="24">
        <f t="shared" si="181"/>
        <v>0.344861497695994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207.03241199974599</v>
      </c>
      <c r="FK159" s="60">
        <f t="shared" si="156"/>
        <v>314.188568589113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1.1134126705060252</v>
      </c>
      <c r="FR159" s="23">
        <f>EXP(-LN(2)/25)*FR158+(1-EXP(-LN(2)/25))/(LN(2)/25)*Calculateur!FM159*Calculateur!FO159*VLOOKUP('Données projet'!$B$16,Paramètres!$A$1:$I$89,3,0)*0.475*44/12</f>
        <v>0.29633798134400607</v>
      </c>
      <c r="FS159" s="23">
        <f>EXP(-LN(2)/2)*FS158+(1-EXP(-LN(2)/2))/(LN(2)/2)*FM159*FP159*VLOOKUP('Données projet'!$B$16,Paramètres!$A$1:$I$89,3,0)*0.475*44/12</f>
        <v>3.1706708622696487E-19</v>
      </c>
      <c r="FT159" s="24">
        <f t="shared" si="184"/>
        <v>1.4097506518500313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10.256410256410078</v>
      </c>
      <c r="O160" s="14">
        <f>N160*VLOOKUP('Données projet'!$B$9,Paramètres!$A$1:$I$89,3,0)*VLOOKUP('Données projet'!$B$9,Paramètres!$A$1:$I$89,5,0)</f>
        <v>9.7599999999998293</v>
      </c>
      <c r="P160" s="14">
        <f t="shared" si="141"/>
        <v>3.4500860232767008</v>
      </c>
      <c r="Q160" s="22">
        <f t="shared" si="162"/>
        <v>23.007566490539954</v>
      </c>
      <c r="R160" s="60">
        <f t="shared" si="109"/>
        <v>316.34089982387326</v>
      </c>
      <c r="S160" s="60">
        <f ca="1">AVERAGE(OFFSET($R$3,0,0,'Données projet'!$E$9+1,1))-AVERAGE(OFFSET($H$3,0,0,'Données projet'!$E$9+1,1))</f>
        <v>353.61481736740694</v>
      </c>
      <c r="T160" s="60">
        <f t="shared" si="142"/>
        <v>244.7141066773861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-9.3464223027694966E-13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455.50822833641354</v>
      </c>
      <c r="AO160" s="60">
        <f t="shared" si="144"/>
        <v>261.14722581688039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-1.0100166036863811E-12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488.7825919901664</v>
      </c>
      <c r="BJ160" s="60">
        <f t="shared" si="146"/>
        <v>278.78817181412438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-9.7986685432260874E-13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475.47920969424894</v>
      </c>
      <c r="CE160" s="60">
        <f t="shared" si="148"/>
        <v>271.73544012419364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-8.7434273154940449E-13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428.8489304403459</v>
      </c>
      <c r="CZ160" s="60">
        <f t="shared" si="150"/>
        <v>247.01165577562966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-1.0401663530501537E-12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502.07782026233912</v>
      </c>
      <c r="DU160" s="60">
        <f t="shared" si="152"/>
        <v>285.83623046025156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-2.2737367544323206E-13</v>
      </c>
      <c r="EK160" s="18">
        <f>EJ160*VLOOKUP('Données projet'!$B$15,Paramètres!$A$1:$I$89,3,0)*VLOOKUP('Données projet'!$B$15,Paramètres!$A$1:$I$89,5,0)</f>
        <v>-1.3596945791505279E-13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392.62423122800357</v>
      </c>
      <c r="EP160" s="60">
        <f t="shared" si="154"/>
        <v>314.09619163968642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0.33543124190601908</v>
      </c>
      <c r="EX160" s="23">
        <f>EXP(-LN(2)/2)*EX159+(1-EXP(-LN(2)/2))/(LN(2)/2)*ER160*EU160*VLOOKUP('Données projet'!$B$15,Paramètres!$A$1:$I$89,3,0)*0.475*44/12</f>
        <v>1.3496008605511455E-18</v>
      </c>
      <c r="EY160" s="24">
        <f t="shared" si="181"/>
        <v>0.33543124190601908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207.03241199974599</v>
      </c>
      <c r="FK160" s="60">
        <f t="shared" si="156"/>
        <v>314.188568589113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1.0915793271520742</v>
      </c>
      <c r="FR160" s="23">
        <f>EXP(-LN(2)/25)*FR159+(1-EXP(-LN(2)/25))/(LN(2)/25)*Calculateur!FM160*Calculateur!FO160*VLOOKUP('Données projet'!$B$16,Paramètres!$A$1:$I$89,3,0)*0.475*44/12</f>
        <v>0.28823460366041709</v>
      </c>
      <c r="FS160" s="23">
        <f>EXP(-LN(2)/2)*FS159+(1-EXP(-LN(2)/2))/(LN(2)/2)*FM160*FP160*VLOOKUP('Données projet'!$B$16,Paramètres!$A$1:$I$89,3,0)*0.475*44/12</f>
        <v>2.2420028676214664E-19</v>
      </c>
      <c r="FT160" s="24">
        <f t="shared" si="184"/>
        <v>1.3798139308124913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10.256410256410078</v>
      </c>
      <c r="O161" s="14">
        <f>N161*VLOOKUP('Données projet'!$B$9,Paramètres!$A$1:$I$89,3,0)*VLOOKUP('Données projet'!$B$9,Paramètres!$A$1:$I$89,5,0)</f>
        <v>9.7599999999998293</v>
      </c>
      <c r="P161" s="14">
        <f t="shared" si="141"/>
        <v>3.4500860232767008</v>
      </c>
      <c r="Q161" s="22">
        <f t="shared" si="162"/>
        <v>23.007566490539954</v>
      </c>
      <c r="R161" s="60">
        <f t="shared" si="109"/>
        <v>316.34089982387326</v>
      </c>
      <c r="S161" s="60">
        <f ca="1">AVERAGE(OFFSET($R$3,0,0,'Données projet'!$E$9+1,1))-AVERAGE(OFFSET($H$3,0,0,'Données projet'!$E$9+1,1))</f>
        <v>353.61481736740694</v>
      </c>
      <c r="T161" s="60">
        <f t="shared" si="142"/>
        <v>244.7141066773861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-9.3464223027694966E-13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455.50822833641354</v>
      </c>
      <c r="AO161" s="60">
        <f t="shared" si="144"/>
        <v>261.14722581688039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-1.0100166036863811E-12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488.7825919901664</v>
      </c>
      <c r="BJ161" s="60">
        <f t="shared" si="146"/>
        <v>278.78817181412438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-9.7986685432260874E-13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475.47920969424894</v>
      </c>
      <c r="CE161" s="60">
        <f t="shared" si="148"/>
        <v>271.73544012419364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-8.7434273154940449E-13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428.8489304403459</v>
      </c>
      <c r="CZ161" s="60">
        <f t="shared" si="150"/>
        <v>247.01165577562966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-1.0401663530501537E-12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502.07782026233912</v>
      </c>
      <c r="DU161" s="60">
        <f t="shared" si="152"/>
        <v>285.83623046025156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-2.2737367544323206E-13</v>
      </c>
      <c r="EK161" s="18">
        <f>EJ161*VLOOKUP('Données projet'!$B$15,Paramètres!$A$1:$I$89,3,0)*VLOOKUP('Données projet'!$B$15,Paramètres!$A$1:$I$89,5,0)</f>
        <v>-1.3596945791505279E-13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392.62423122800357</v>
      </c>
      <c r="EP161" s="60">
        <f t="shared" si="154"/>
        <v>314.09619163968642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0.32625885695653661</v>
      </c>
      <c r="EX161" s="23">
        <f>EXP(-LN(2)/2)*EX160+(1-EXP(-LN(2)/2))/(LN(2)/2)*ER161*EU161*VLOOKUP('Données projet'!$B$15,Paramètres!$A$1:$I$89,3,0)*0.475*44/12</f>
        <v>9.543119203909151E-19</v>
      </c>
      <c r="EY161" s="24">
        <f t="shared" si="181"/>
        <v>0.32625885695653661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207.03241199974599</v>
      </c>
      <c r="FK161" s="60">
        <f t="shared" si="156"/>
        <v>314.188568589113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1.0701741223442696</v>
      </c>
      <c r="FR161" s="23">
        <f>EXP(-LN(2)/25)*FR160+(1-EXP(-LN(2)/25))/(LN(2)/25)*Calculateur!FM161*Calculateur!FO161*VLOOKUP('Données projet'!$B$16,Paramètres!$A$1:$I$89,3,0)*0.475*44/12</f>
        <v>0.28035281326572392</v>
      </c>
      <c r="FS161" s="23">
        <f>EXP(-LN(2)/2)*FS160+(1-EXP(-LN(2)/2))/(LN(2)/2)*FM161*FP161*VLOOKUP('Données projet'!$B$16,Paramètres!$A$1:$I$89,3,0)*0.475*44/12</f>
        <v>1.5853354311348243E-19</v>
      </c>
      <c r="FT161" s="24">
        <f t="shared" si="184"/>
        <v>1.3505269356099934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10.256410256410078</v>
      </c>
      <c r="O162" s="14">
        <f>N162*VLOOKUP('Données projet'!$B$9,Paramètres!$A$1:$I$89,3,0)*VLOOKUP('Données projet'!$B$9,Paramètres!$A$1:$I$89,5,0)</f>
        <v>9.7599999999998293</v>
      </c>
      <c r="P162" s="14">
        <f t="shared" si="141"/>
        <v>3.4500860232767008</v>
      </c>
      <c r="Q162" s="22">
        <f t="shared" si="162"/>
        <v>23.007566490539954</v>
      </c>
      <c r="R162" s="60">
        <f t="shared" si="109"/>
        <v>316.34089982387326</v>
      </c>
      <c r="S162" s="60">
        <f ca="1">AVERAGE(OFFSET($R$3,0,0,'Données projet'!$E$9+1,1))-AVERAGE(OFFSET($H$3,0,0,'Données projet'!$E$9+1,1))</f>
        <v>353.61481736740694</v>
      </c>
      <c r="T162" s="60">
        <f t="shared" si="142"/>
        <v>244.7141066773861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-9.3464223027694966E-13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455.50822833641354</v>
      </c>
      <c r="AO162" s="60">
        <f t="shared" si="144"/>
        <v>261.14722581688039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-1.0100166036863811E-12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488.7825919901664</v>
      </c>
      <c r="BJ162" s="60">
        <f t="shared" si="146"/>
        <v>278.78817181412438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-9.7986685432260874E-13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475.47920969424894</v>
      </c>
      <c r="CE162" s="60">
        <f t="shared" si="148"/>
        <v>271.73544012419364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-8.7434273154940449E-13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428.8489304403459</v>
      </c>
      <c r="CZ162" s="60">
        <f t="shared" si="150"/>
        <v>247.01165577562966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-1.0401663530501537E-12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502.07782026233912</v>
      </c>
      <c r="DU162" s="60">
        <f t="shared" si="152"/>
        <v>285.83623046025156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-2.2737367544323206E-13</v>
      </c>
      <c r="EK162" s="18">
        <f>EJ162*VLOOKUP('Données projet'!$B$15,Paramètres!$A$1:$I$89,3,0)*VLOOKUP('Données projet'!$B$15,Paramètres!$A$1:$I$89,5,0)</f>
        <v>-1.3596945791505279E-13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392.62423122800357</v>
      </c>
      <c r="EP162" s="60">
        <f t="shared" si="154"/>
        <v>314.09619163968642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0.31733729135585248</v>
      </c>
      <c r="EX162" s="23">
        <f>EXP(-LN(2)/2)*EX161+(1-EXP(-LN(2)/2))/(LN(2)/2)*ER162*EU162*VLOOKUP('Données projet'!$B$15,Paramètres!$A$1:$I$89,3,0)*0.475*44/12</f>
        <v>6.7480043027557277E-19</v>
      </c>
      <c r="EY162" s="24">
        <f t="shared" si="181"/>
        <v>0.31733729135585248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207.03241199974599</v>
      </c>
      <c r="FK162" s="60">
        <f t="shared" si="156"/>
        <v>314.188568589113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1.0491886605468601</v>
      </c>
      <c r="FR162" s="23">
        <f>EXP(-LN(2)/25)*FR161+(1-EXP(-LN(2)/25))/(LN(2)/25)*Calculateur!FM162*Calculateur!FO162*VLOOKUP('Données projet'!$B$16,Paramètres!$A$1:$I$89,3,0)*0.475*44/12</f>
        <v>0.27268655084385901</v>
      </c>
      <c r="FS162" s="23">
        <f>EXP(-LN(2)/2)*FS161+(1-EXP(-LN(2)/2))/(LN(2)/2)*FM162*FP162*VLOOKUP('Données projet'!$B$16,Paramètres!$A$1:$I$89,3,0)*0.475*44/12</f>
        <v>1.1210014338107332E-19</v>
      </c>
      <c r="FT162" s="24">
        <f t="shared" si="184"/>
        <v>1.3218752113907191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10.256410256410078</v>
      </c>
      <c r="O163" s="14">
        <f>N163*VLOOKUP('Données projet'!$B$9,Paramètres!$A$1:$I$89,3,0)*VLOOKUP('Données projet'!$B$9,Paramètres!$A$1:$I$89,5,0)</f>
        <v>9.7599999999998293</v>
      </c>
      <c r="P163" s="14">
        <f t="shared" si="141"/>
        <v>3.4500860232767008</v>
      </c>
      <c r="Q163" s="22">
        <f t="shared" si="162"/>
        <v>23.007566490539954</v>
      </c>
      <c r="R163" s="60">
        <f t="shared" si="109"/>
        <v>316.34089982387326</v>
      </c>
      <c r="S163" s="60">
        <f ca="1">AVERAGE(OFFSET($R$3,0,0,'Données projet'!$E$9+1,1))-AVERAGE(OFFSET($H$3,0,0,'Données projet'!$E$9+1,1))</f>
        <v>353.61481736740694</v>
      </c>
      <c r="T163" s="60">
        <f t="shared" si="142"/>
        <v>244.7141066773861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-9.3464223027694966E-13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455.50822833641354</v>
      </c>
      <c r="AO163" s="60">
        <f t="shared" si="144"/>
        <v>261.14722581688039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-1.0100166036863811E-12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488.7825919901664</v>
      </c>
      <c r="BJ163" s="60">
        <f t="shared" si="146"/>
        <v>278.78817181412438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-9.7986685432260874E-13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475.47920969424894</v>
      </c>
      <c r="CE163" s="60">
        <f t="shared" si="148"/>
        <v>271.73544012419364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-8.7434273154940449E-13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428.8489304403459</v>
      </c>
      <c r="CZ163" s="60">
        <f t="shared" si="150"/>
        <v>247.01165577562966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-1.0401663530501537E-12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502.07782026233912</v>
      </c>
      <c r="DU163" s="60">
        <f t="shared" si="152"/>
        <v>285.83623046025156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-2.2737367544323206E-13</v>
      </c>
      <c r="EK163" s="18">
        <f>EJ163*VLOOKUP('Données projet'!$B$15,Paramètres!$A$1:$I$89,3,0)*VLOOKUP('Données projet'!$B$15,Paramètres!$A$1:$I$89,5,0)</f>
        <v>-1.3596945791505279E-13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392.62423122800357</v>
      </c>
      <c r="EP163" s="60">
        <f t="shared" si="154"/>
        <v>314.09619163968642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0.30865968643568381</v>
      </c>
      <c r="EX163" s="23">
        <f>EXP(-LN(2)/2)*EX162+(1-EXP(-LN(2)/2))/(LN(2)/2)*ER163*EU163*VLOOKUP('Données projet'!$B$15,Paramètres!$A$1:$I$89,3,0)*0.475*44/12</f>
        <v>4.7715596019545755E-19</v>
      </c>
      <c r="EY163" s="24">
        <f t="shared" si="181"/>
        <v>0.30865968643568381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207.03241199974599</v>
      </c>
      <c r="FK163" s="60">
        <f t="shared" si="156"/>
        <v>314.188568589113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1.02861471085543</v>
      </c>
      <c r="FR163" s="23">
        <f>EXP(-LN(2)/25)*FR162+(1-EXP(-LN(2)/25))/(LN(2)/25)*Calculateur!FM163*Calculateur!FO163*VLOOKUP('Données projet'!$B$16,Paramètres!$A$1:$I$89,3,0)*0.475*44/12</f>
        <v>0.26522992277107121</v>
      </c>
      <c r="FS163" s="23">
        <f>EXP(-LN(2)/2)*FS162+(1-EXP(-LN(2)/2))/(LN(2)/2)*FM163*FP163*VLOOKUP('Données projet'!$B$16,Paramètres!$A$1:$I$89,3,0)*0.475*44/12</f>
        <v>7.9266771556741217E-20</v>
      </c>
      <c r="FT163" s="24">
        <f t="shared" si="184"/>
        <v>1.2938446336265013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10.256410256410078</v>
      </c>
      <c r="O164" s="14">
        <f>N164*VLOOKUP('Données projet'!$B$9,Paramètres!$A$1:$I$89,3,0)*VLOOKUP('Données projet'!$B$9,Paramètres!$A$1:$I$89,5,0)</f>
        <v>9.7599999999998293</v>
      </c>
      <c r="P164" s="14">
        <f t="shared" si="141"/>
        <v>3.4500860232767008</v>
      </c>
      <c r="Q164" s="22">
        <f t="shared" si="162"/>
        <v>23.007566490539954</v>
      </c>
      <c r="R164" s="60">
        <f t="shared" si="109"/>
        <v>316.34089982387326</v>
      </c>
      <c r="S164" s="60">
        <f ca="1">AVERAGE(OFFSET($R$3,0,0,'Données projet'!$E$9+1,1))-AVERAGE(OFFSET($H$3,0,0,'Données projet'!$E$9+1,1))</f>
        <v>353.61481736740694</v>
      </c>
      <c r="T164" s="60">
        <f t="shared" si="142"/>
        <v>244.7141066773861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-9.3464223027694966E-13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455.50822833641354</v>
      </c>
      <c r="AO164" s="60">
        <f t="shared" si="144"/>
        <v>261.14722581688039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-1.0100166036863811E-12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488.7825919901664</v>
      </c>
      <c r="BJ164" s="60">
        <f t="shared" si="146"/>
        <v>278.78817181412438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-9.7986685432260874E-13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475.47920969424894</v>
      </c>
      <c r="CE164" s="60">
        <f t="shared" si="148"/>
        <v>271.73544012419364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-8.7434273154940449E-13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428.8489304403459</v>
      </c>
      <c r="CZ164" s="60">
        <f t="shared" si="150"/>
        <v>247.01165577562966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-1.0401663530501537E-12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502.07782026233912</v>
      </c>
      <c r="DU164" s="60">
        <f t="shared" si="152"/>
        <v>285.83623046025156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-2.2737367544323206E-13</v>
      </c>
      <c r="EK164" s="18">
        <f>EJ164*VLOOKUP('Données projet'!$B$15,Paramètres!$A$1:$I$89,3,0)*VLOOKUP('Données projet'!$B$15,Paramètres!$A$1:$I$89,5,0)</f>
        <v>-1.3596945791505279E-13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392.62423122800357</v>
      </c>
      <c r="EP164" s="60">
        <f t="shared" si="154"/>
        <v>314.09619163968642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0.30021937107839258</v>
      </c>
      <c r="EX164" s="23">
        <f>EXP(-LN(2)/2)*EX163+(1-EXP(-LN(2)/2))/(LN(2)/2)*ER164*EU164*VLOOKUP('Données projet'!$B$15,Paramètres!$A$1:$I$89,3,0)*0.475*44/12</f>
        <v>3.3740021513778639E-19</v>
      </c>
      <c r="EY164" s="24">
        <f t="shared" si="181"/>
        <v>0.30021937107839258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207.03241199974599</v>
      </c>
      <c r="FK164" s="60">
        <f t="shared" si="156"/>
        <v>314.188568589113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1.0084442037685788</v>
      </c>
      <c r="FR164" s="23">
        <f>EXP(-LN(2)/25)*FR163+(1-EXP(-LN(2)/25))/(LN(2)/25)*Calculateur!FM164*Calculateur!FO164*VLOOKUP('Données projet'!$B$16,Paramètres!$A$1:$I$89,3,0)*0.475*44/12</f>
        <v>0.2579771965850608</v>
      </c>
      <c r="FS164" s="23">
        <f>EXP(-LN(2)/2)*FS163+(1-EXP(-LN(2)/2))/(LN(2)/2)*FM164*FP164*VLOOKUP('Données projet'!$B$16,Paramètres!$A$1:$I$89,3,0)*0.475*44/12</f>
        <v>5.605007169053666E-20</v>
      </c>
      <c r="FT164" s="24">
        <f t="shared" si="184"/>
        <v>1.2664214003536396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10.256410256410078</v>
      </c>
      <c r="O165" s="14">
        <f>N165*VLOOKUP('Données projet'!$B$9,Paramètres!$A$1:$I$89,3,0)*VLOOKUP('Données projet'!$B$9,Paramètres!$A$1:$I$89,5,0)</f>
        <v>9.7599999999998293</v>
      </c>
      <c r="P165" s="14">
        <f t="shared" si="141"/>
        <v>3.4500860232767008</v>
      </c>
      <c r="Q165" s="22">
        <f t="shared" si="162"/>
        <v>23.007566490539954</v>
      </c>
      <c r="R165" s="60">
        <f t="shared" si="109"/>
        <v>316.34089982387326</v>
      </c>
      <c r="S165" s="60">
        <f ca="1">AVERAGE(OFFSET($R$3,0,0,'Données projet'!$E$9+1,1))-AVERAGE(OFFSET($H$3,0,0,'Données projet'!$E$9+1,1))</f>
        <v>353.61481736740694</v>
      </c>
      <c r="T165" s="60">
        <f t="shared" si="142"/>
        <v>244.7141066773861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-9.3464223027694966E-13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455.50822833641354</v>
      </c>
      <c r="AO165" s="60">
        <f t="shared" si="144"/>
        <v>261.14722581688039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-1.0100166036863811E-12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488.7825919901664</v>
      </c>
      <c r="BJ165" s="60">
        <f t="shared" si="146"/>
        <v>278.78817181412438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-9.7986685432260874E-13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475.47920969424894</v>
      </c>
      <c r="CE165" s="60">
        <f t="shared" si="148"/>
        <v>271.73544012419364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-8.7434273154940449E-13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428.8489304403459</v>
      </c>
      <c r="CZ165" s="60">
        <f t="shared" si="150"/>
        <v>247.01165577562966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-1.0401663530501537E-12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502.07782026233912</v>
      </c>
      <c r="DU165" s="60">
        <f t="shared" si="152"/>
        <v>285.83623046025156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-2.2737367544323206E-13</v>
      </c>
      <c r="EK165" s="18">
        <f>EJ165*VLOOKUP('Données projet'!$B$15,Paramètres!$A$1:$I$89,3,0)*VLOOKUP('Données projet'!$B$15,Paramètres!$A$1:$I$89,5,0)</f>
        <v>-1.3596945791505279E-13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392.62423122800357</v>
      </c>
      <c r="EP165" s="60">
        <f t="shared" si="154"/>
        <v>314.09619163968642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0.29200985658840339</v>
      </c>
      <c r="EX165" s="23">
        <f>EXP(-LN(2)/2)*EX164+(1-EXP(-LN(2)/2))/(LN(2)/2)*ER165*EU165*VLOOKUP('Données projet'!$B$15,Paramètres!$A$1:$I$89,3,0)*0.475*44/12</f>
        <v>2.3857798009772878E-19</v>
      </c>
      <c r="EY165" s="24">
        <f t="shared" si="181"/>
        <v>0.29200985658840339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207.03241199974599</v>
      </c>
      <c r="FK165" s="60">
        <f t="shared" si="156"/>
        <v>314.188568589113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0.98866922802290613</v>
      </c>
      <c r="FR165" s="23">
        <f>EXP(-LN(2)/25)*FR164+(1-EXP(-LN(2)/25))/(LN(2)/25)*Calculateur!FM165*Calculateur!FO165*VLOOKUP('Données projet'!$B$16,Paramètres!$A$1:$I$89,3,0)*0.475*44/12</f>
        <v>0.25092279657801114</v>
      </c>
      <c r="FS165" s="23">
        <f>EXP(-LN(2)/2)*FS164+(1-EXP(-LN(2)/2))/(LN(2)/2)*FM165*FP165*VLOOKUP('Données projet'!$B$16,Paramètres!$A$1:$I$89,3,0)*0.475*44/12</f>
        <v>3.9633385778370609E-20</v>
      </c>
      <c r="FT165" s="24">
        <f t="shared" si="184"/>
        <v>1.2395920246009173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10.256410256410078</v>
      </c>
      <c r="O166" s="14">
        <f>N166*VLOOKUP('Données projet'!$B$9,Paramètres!$A$1:$I$89,3,0)*VLOOKUP('Données projet'!$B$9,Paramètres!$A$1:$I$89,5,0)</f>
        <v>9.7599999999998293</v>
      </c>
      <c r="P166" s="14">
        <f t="shared" si="141"/>
        <v>3.4500860232767008</v>
      </c>
      <c r="Q166" s="22">
        <f t="shared" si="162"/>
        <v>23.007566490539954</v>
      </c>
      <c r="R166" s="60">
        <f t="shared" si="109"/>
        <v>316.34089982387326</v>
      </c>
      <c r="S166" s="60">
        <f ca="1">AVERAGE(OFFSET($R$3,0,0,'Données projet'!$E$9+1,1))-AVERAGE(OFFSET($H$3,0,0,'Données projet'!$E$9+1,1))</f>
        <v>353.61481736740694</v>
      </c>
      <c r="T166" s="60">
        <f t="shared" si="142"/>
        <v>244.7141066773861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-9.3464223027694966E-13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455.50822833641354</v>
      </c>
      <c r="AO166" s="60">
        <f t="shared" si="144"/>
        <v>261.14722581688039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-1.0100166036863811E-12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488.7825919901664</v>
      </c>
      <c r="BJ166" s="60">
        <f t="shared" si="146"/>
        <v>278.78817181412438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-9.7986685432260874E-13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475.47920969424894</v>
      </c>
      <c r="CE166" s="60">
        <f t="shared" si="148"/>
        <v>271.73544012419364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-8.7434273154940449E-13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428.8489304403459</v>
      </c>
      <c r="CZ166" s="60">
        <f t="shared" si="150"/>
        <v>247.01165577562966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-1.0401663530501537E-12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502.07782026233912</v>
      </c>
      <c r="DU166" s="60">
        <f t="shared" si="152"/>
        <v>285.83623046025156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-2.2737367544323206E-13</v>
      </c>
      <c r="EK166" s="18">
        <f>EJ166*VLOOKUP('Données projet'!$B$15,Paramètres!$A$1:$I$89,3,0)*VLOOKUP('Données projet'!$B$15,Paramètres!$A$1:$I$89,5,0)</f>
        <v>-1.3596945791505279E-13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392.62423122800357</v>
      </c>
      <c r="EP166" s="60">
        <f t="shared" si="154"/>
        <v>314.09619163968642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0.28402483170386256</v>
      </c>
      <c r="EX166" s="23">
        <f>EXP(-LN(2)/2)*EX165+(1-EXP(-LN(2)/2))/(LN(2)/2)*ER166*EU166*VLOOKUP('Données projet'!$B$15,Paramètres!$A$1:$I$89,3,0)*0.475*44/12</f>
        <v>1.6870010756889319E-19</v>
      </c>
      <c r="EY166" s="24">
        <f t="shared" si="181"/>
        <v>0.28402483170386256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207.03241199974599</v>
      </c>
      <c r="FK166" s="60">
        <f t="shared" si="156"/>
        <v>314.188568589113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0.96928202749006187</v>
      </c>
      <c r="FR166" s="23">
        <f>EXP(-LN(2)/25)*FR165+(1-EXP(-LN(2)/25))/(LN(2)/25)*Calculateur!FM166*Calculateur!FO166*VLOOKUP('Données projet'!$B$16,Paramètres!$A$1:$I$89,3,0)*0.475*44/12</f>
        <v>0.24406129951012906</v>
      </c>
      <c r="FS166" s="23">
        <f>EXP(-LN(2)/2)*FS165+(1-EXP(-LN(2)/2))/(LN(2)/2)*FM166*FP166*VLOOKUP('Données projet'!$B$16,Paramètres!$A$1:$I$89,3,0)*0.475*44/12</f>
        <v>2.802503584526833E-20</v>
      </c>
      <c r="FT166" s="24">
        <f t="shared" si="184"/>
        <v>1.213343327000191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10.256410256410078</v>
      </c>
      <c r="O167" s="14">
        <f>N167*VLOOKUP('Données projet'!$B$9,Paramètres!$A$1:$I$89,3,0)*VLOOKUP('Données projet'!$B$9,Paramètres!$A$1:$I$89,5,0)</f>
        <v>9.7599999999998293</v>
      </c>
      <c r="P167" s="14">
        <f t="shared" si="141"/>
        <v>3.4500860232767008</v>
      </c>
      <c r="Q167" s="22">
        <f t="shared" si="162"/>
        <v>23.007566490539954</v>
      </c>
      <c r="R167" s="60">
        <f t="shared" si="109"/>
        <v>316.34089982387326</v>
      </c>
      <c r="S167" s="60">
        <f ca="1">AVERAGE(OFFSET($R$3,0,0,'Données projet'!$E$9+1,1))-AVERAGE(OFFSET($H$3,0,0,'Données projet'!$E$9+1,1))</f>
        <v>353.61481736740694</v>
      </c>
      <c r="T167" s="60">
        <f t="shared" si="142"/>
        <v>244.7141066773861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-9.3464223027694966E-13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455.50822833641354</v>
      </c>
      <c r="AO167" s="60">
        <f t="shared" si="144"/>
        <v>261.14722581688039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-1.0100166036863811E-12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488.7825919901664</v>
      </c>
      <c r="BJ167" s="60">
        <f t="shared" si="146"/>
        <v>278.78817181412438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-9.7986685432260874E-13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475.47920969424894</v>
      </c>
      <c r="CE167" s="60">
        <f t="shared" si="148"/>
        <v>271.73544012419364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-8.7434273154940449E-13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428.8489304403459</v>
      </c>
      <c r="CZ167" s="60">
        <f t="shared" si="150"/>
        <v>247.01165577562966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-1.0401663530501537E-12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502.07782026233912</v>
      </c>
      <c r="DU167" s="60">
        <f t="shared" si="152"/>
        <v>285.83623046025156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-2.2737367544323206E-13</v>
      </c>
      <c r="EK167" s="18">
        <f>EJ167*VLOOKUP('Données projet'!$B$15,Paramètres!$A$1:$I$89,3,0)*VLOOKUP('Données projet'!$B$15,Paramètres!$A$1:$I$89,5,0)</f>
        <v>-1.3596945791505279E-13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392.62423122800357</v>
      </c>
      <c r="EP167" s="60">
        <f t="shared" si="154"/>
        <v>314.09619163968642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0.27625815774470369</v>
      </c>
      <c r="EX167" s="23">
        <f>EXP(-LN(2)/2)*EX166+(1-EXP(-LN(2)/2))/(LN(2)/2)*ER167*EU167*VLOOKUP('Données projet'!$B$15,Paramètres!$A$1:$I$89,3,0)*0.475*44/12</f>
        <v>1.1928899004886439E-19</v>
      </c>
      <c r="EY167" s="24">
        <f t="shared" si="181"/>
        <v>0.27625815774470369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207.03241199974599</v>
      </c>
      <c r="FK167" s="60">
        <f t="shared" si="156"/>
        <v>314.188568589113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0.950274998134642</v>
      </c>
      <c r="FR167" s="23">
        <f>EXP(-LN(2)/25)*FR166+(1-EXP(-LN(2)/25))/(LN(2)/25)*Calculateur!FM167*Calculateur!FO167*VLOOKUP('Données projet'!$B$16,Paramètres!$A$1:$I$89,3,0)*0.475*44/12</f>
        <v>0.23738743044039864</v>
      </c>
      <c r="FS167" s="23">
        <f>EXP(-LN(2)/2)*FS166+(1-EXP(-LN(2)/2))/(LN(2)/2)*FM167*FP167*VLOOKUP('Données projet'!$B$16,Paramètres!$A$1:$I$89,3,0)*0.475*44/12</f>
        <v>1.9816692889185304E-20</v>
      </c>
      <c r="FT167" s="24">
        <f t="shared" si="184"/>
        <v>1.1876624285750406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10.256410256410078</v>
      </c>
      <c r="O168" s="14">
        <f>N168*VLOOKUP('Données projet'!$B$9,Paramètres!$A$1:$I$89,3,0)*VLOOKUP('Données projet'!$B$9,Paramètres!$A$1:$I$89,5,0)</f>
        <v>9.7599999999998293</v>
      </c>
      <c r="P168" s="14">
        <f t="shared" si="141"/>
        <v>3.4500860232767008</v>
      </c>
      <c r="Q168" s="22">
        <f t="shared" si="162"/>
        <v>23.007566490539954</v>
      </c>
      <c r="R168" s="60">
        <f t="shared" si="109"/>
        <v>316.34089982387326</v>
      </c>
      <c r="S168" s="60">
        <f ca="1">AVERAGE(OFFSET($R$3,0,0,'Données projet'!$E$9+1,1))-AVERAGE(OFFSET($H$3,0,0,'Données projet'!$E$9+1,1))</f>
        <v>353.61481736740694</v>
      </c>
      <c r="T168" s="60">
        <f t="shared" si="142"/>
        <v>244.7141066773861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-9.3464223027694966E-13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455.50822833641354</v>
      </c>
      <c r="AO168" s="60">
        <f t="shared" si="144"/>
        <v>261.14722581688039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-1.0100166036863811E-12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488.7825919901664</v>
      </c>
      <c r="BJ168" s="60">
        <f t="shared" si="146"/>
        <v>278.78817181412438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-9.7986685432260874E-13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475.47920969424894</v>
      </c>
      <c r="CE168" s="60">
        <f t="shared" si="148"/>
        <v>271.73544012419364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-8.7434273154940449E-13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428.8489304403459</v>
      </c>
      <c r="CZ168" s="60">
        <f t="shared" si="150"/>
        <v>247.01165577562966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-1.0401663530501537E-12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502.07782026233912</v>
      </c>
      <c r="DU168" s="60">
        <f t="shared" si="152"/>
        <v>285.83623046025156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-2.2737367544323206E-13</v>
      </c>
      <c r="EK168" s="18">
        <f>EJ168*VLOOKUP('Données projet'!$B$15,Paramètres!$A$1:$I$89,3,0)*VLOOKUP('Données projet'!$B$15,Paramètres!$A$1:$I$89,5,0)</f>
        <v>-1.3596945791505279E-13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392.62423122800357</v>
      </c>
      <c r="EP168" s="60">
        <f t="shared" si="154"/>
        <v>314.09619163968642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0.26870386389338963</v>
      </c>
      <c r="EX168" s="23">
        <f>EXP(-LN(2)/2)*EX167+(1-EXP(-LN(2)/2))/(LN(2)/2)*ER168*EU168*VLOOKUP('Données projet'!$B$15,Paramètres!$A$1:$I$89,3,0)*0.475*44/12</f>
        <v>8.4350053784446597E-20</v>
      </c>
      <c r="EY168" s="24">
        <f t="shared" si="181"/>
        <v>0.26870386389338963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207.03241199974599</v>
      </c>
      <c r="FK168" s="60">
        <f t="shared" si="156"/>
        <v>314.188568589113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0.9316406850317388</v>
      </c>
      <c r="FR168" s="23">
        <f>EXP(-LN(2)/25)*FR167+(1-EXP(-LN(2)/25))/(LN(2)/25)*Calculateur!FM168*Calculateur!FO168*VLOOKUP('Données projet'!$B$16,Paramètres!$A$1:$I$89,3,0)*0.475*44/12</f>
        <v>0.23089605867134352</v>
      </c>
      <c r="FS168" s="23">
        <f>EXP(-LN(2)/2)*FS167+(1-EXP(-LN(2)/2))/(LN(2)/2)*FM168*FP168*VLOOKUP('Données projet'!$B$16,Paramètres!$A$1:$I$89,3,0)*0.475*44/12</f>
        <v>1.4012517922634165E-20</v>
      </c>
      <c r="FT168" s="24">
        <f t="shared" si="184"/>
        <v>1.1625367437030822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10.256410256410078</v>
      </c>
      <c r="O169" s="14">
        <f>N169*VLOOKUP('Données projet'!$B$9,Paramètres!$A$1:$I$89,3,0)*VLOOKUP('Données projet'!$B$9,Paramètres!$A$1:$I$89,5,0)</f>
        <v>9.7599999999998293</v>
      </c>
      <c r="P169" s="14">
        <f t="shared" si="141"/>
        <v>3.4500860232767008</v>
      </c>
      <c r="Q169" s="22">
        <f t="shared" si="162"/>
        <v>23.007566490539954</v>
      </c>
      <c r="R169" s="60">
        <f t="shared" si="109"/>
        <v>316.34089982387326</v>
      </c>
      <c r="S169" s="60">
        <f ca="1">AVERAGE(OFFSET($R$3,0,0,'Données projet'!$E$9+1,1))-AVERAGE(OFFSET($H$3,0,0,'Données projet'!$E$9+1,1))</f>
        <v>353.61481736740694</v>
      </c>
      <c r="T169" s="60">
        <f t="shared" si="142"/>
        <v>244.7141066773861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-9.3464223027694966E-13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455.50822833641354</v>
      </c>
      <c r="AO169" s="60">
        <f t="shared" si="144"/>
        <v>261.14722581688039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-1.0100166036863811E-12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488.7825919901664</v>
      </c>
      <c r="BJ169" s="60">
        <f t="shared" si="146"/>
        <v>278.78817181412438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-9.7986685432260874E-13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475.47920969424894</v>
      </c>
      <c r="CE169" s="60">
        <f t="shared" si="148"/>
        <v>271.73544012419364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-8.7434273154940449E-13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428.8489304403459</v>
      </c>
      <c r="CZ169" s="60">
        <f t="shared" si="150"/>
        <v>247.01165577562966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-1.0401663530501537E-12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502.07782026233912</v>
      </c>
      <c r="DU169" s="60">
        <f t="shared" si="152"/>
        <v>285.83623046025156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-2.2737367544323206E-13</v>
      </c>
      <c r="EK169" s="18">
        <f>EJ169*VLOOKUP('Données projet'!$B$15,Paramètres!$A$1:$I$89,3,0)*VLOOKUP('Données projet'!$B$15,Paramètres!$A$1:$I$89,5,0)</f>
        <v>-1.3596945791505279E-13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392.62423122800357</v>
      </c>
      <c r="EP169" s="60">
        <f t="shared" si="154"/>
        <v>314.09619163968642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0.2613561426047028</v>
      </c>
      <c r="EX169" s="23">
        <f>EXP(-LN(2)/2)*EX168+(1-EXP(-LN(2)/2))/(LN(2)/2)*ER169*EU169*VLOOKUP('Données projet'!$B$15,Paramètres!$A$1:$I$89,3,0)*0.475*44/12</f>
        <v>5.9644495024432194E-20</v>
      </c>
      <c r="EY169" s="24">
        <f t="shared" si="181"/>
        <v>0.2613561426047028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207.03241199974599</v>
      </c>
      <c r="FK169" s="60">
        <f t="shared" si="156"/>
        <v>314.188568589113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0.91337177944297476</v>
      </c>
      <c r="FR169" s="23">
        <f>EXP(-LN(2)/25)*FR168+(1-EXP(-LN(2)/25))/(LN(2)/25)*Calculateur!FM169*Calculateur!FO169*VLOOKUP('Données projet'!$B$16,Paramètres!$A$1:$I$89,3,0)*0.475*44/12</f>
        <v>0.22458219380467964</v>
      </c>
      <c r="FS169" s="23">
        <f>EXP(-LN(2)/2)*FS168+(1-EXP(-LN(2)/2))/(LN(2)/2)*FM169*FP169*VLOOKUP('Données projet'!$B$16,Paramètres!$A$1:$I$89,3,0)*0.475*44/12</f>
        <v>9.9083464445926521E-21</v>
      </c>
      <c r="FT169" s="24">
        <f t="shared" si="184"/>
        <v>1.1379539732476545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10.256410256410078</v>
      </c>
      <c r="O170" s="14">
        <f>N170*VLOOKUP('Données projet'!$B$9,Paramètres!$A$1:$I$89,3,0)*VLOOKUP('Données projet'!$B$9,Paramètres!$A$1:$I$89,5,0)</f>
        <v>9.7599999999998293</v>
      </c>
      <c r="P170" s="14">
        <f t="shared" si="141"/>
        <v>3.4500860232767008</v>
      </c>
      <c r="Q170" s="22">
        <f t="shared" si="162"/>
        <v>23.007566490539954</v>
      </c>
      <c r="R170" s="60">
        <f t="shared" si="109"/>
        <v>316.34089982387326</v>
      </c>
      <c r="S170" s="60">
        <f ca="1">AVERAGE(OFFSET($R$3,0,0,'Données projet'!$E$9+1,1))-AVERAGE(OFFSET($H$3,0,0,'Données projet'!$E$9+1,1))</f>
        <v>353.61481736740694</v>
      </c>
      <c r="T170" s="60">
        <f t="shared" si="142"/>
        <v>244.7141066773861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-9.3464223027694966E-13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455.50822833641354</v>
      </c>
      <c r="AO170" s="60">
        <f t="shared" si="144"/>
        <v>261.14722581688039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-1.0100166036863811E-12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488.7825919901664</v>
      </c>
      <c r="BJ170" s="60">
        <f t="shared" si="146"/>
        <v>278.78817181412438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-9.7986685432260874E-13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475.47920969424894</v>
      </c>
      <c r="CE170" s="60">
        <f t="shared" si="148"/>
        <v>271.73544012419364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-8.7434273154940449E-13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428.8489304403459</v>
      </c>
      <c r="CZ170" s="60">
        <f t="shared" si="150"/>
        <v>247.01165577562966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-1.0401663530501537E-12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502.07782026233912</v>
      </c>
      <c r="DU170" s="60">
        <f t="shared" si="152"/>
        <v>285.83623046025156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-2.2737367544323206E-13</v>
      </c>
      <c r="EK170" s="18">
        <f>EJ170*VLOOKUP('Données projet'!$B$15,Paramètres!$A$1:$I$89,3,0)*VLOOKUP('Données projet'!$B$15,Paramètres!$A$1:$I$89,5,0)</f>
        <v>-1.3596945791505279E-13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392.62423122800357</v>
      </c>
      <c r="EP170" s="60">
        <f t="shared" si="154"/>
        <v>314.09619163968642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0.25420934514105498</v>
      </c>
      <c r="EX170" s="23">
        <f>EXP(-LN(2)/2)*EX169+(1-EXP(-LN(2)/2))/(LN(2)/2)*ER170*EU170*VLOOKUP('Données projet'!$B$15,Paramètres!$A$1:$I$89,3,0)*0.475*44/12</f>
        <v>4.2175026892223298E-20</v>
      </c>
      <c r="EY170" s="24">
        <f t="shared" si="181"/>
        <v>0.25420934514105498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207.03241199974599</v>
      </c>
      <c r="FK170" s="60">
        <f t="shared" si="156"/>
        <v>314.188568589113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0.89546111594987421</v>
      </c>
      <c r="FR170" s="23">
        <f>EXP(-LN(2)/25)*FR169+(1-EXP(-LN(2)/25))/(LN(2)/25)*Calculateur!FM170*Calculateur!FO170*VLOOKUP('Données projet'!$B$16,Paramètres!$A$1:$I$89,3,0)*0.475*44/12</f>
        <v>0.21844098190482639</v>
      </c>
      <c r="FS170" s="23">
        <f>EXP(-LN(2)/2)*FS169+(1-EXP(-LN(2)/2))/(LN(2)/2)*FM170*FP170*VLOOKUP('Données projet'!$B$16,Paramètres!$A$1:$I$89,3,0)*0.475*44/12</f>
        <v>7.0062589613170825E-21</v>
      </c>
      <c r="FT170" s="24">
        <f t="shared" si="184"/>
        <v>1.1139020978547005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10.256410256410078</v>
      </c>
      <c r="O171" s="14">
        <f>N171*VLOOKUP('Données projet'!$B$9,Paramètres!$A$1:$I$89,3,0)*VLOOKUP('Données projet'!$B$9,Paramètres!$A$1:$I$89,5,0)</f>
        <v>9.7599999999998293</v>
      </c>
      <c r="P171" s="14">
        <f t="shared" si="141"/>
        <v>3.4500860232767008</v>
      </c>
      <c r="Q171" s="22">
        <f t="shared" si="162"/>
        <v>23.007566490539954</v>
      </c>
      <c r="R171" s="60">
        <f t="shared" si="109"/>
        <v>316.34089982387326</v>
      </c>
      <c r="S171" s="60">
        <f ca="1">AVERAGE(OFFSET($R$3,0,0,'Données projet'!$E$9+1,1))-AVERAGE(OFFSET($H$3,0,0,'Données projet'!$E$9+1,1))</f>
        <v>353.61481736740694</v>
      </c>
      <c r="T171" s="60">
        <f t="shared" si="142"/>
        <v>244.7141066773861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-9.3464223027694966E-13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455.50822833641354</v>
      </c>
      <c r="AO171" s="60">
        <f t="shared" si="144"/>
        <v>261.14722581688039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-1.0100166036863811E-12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488.7825919901664</v>
      </c>
      <c r="BJ171" s="60">
        <f t="shared" si="146"/>
        <v>278.78817181412438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-9.7986685432260874E-13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475.47920969424894</v>
      </c>
      <c r="CE171" s="60">
        <f t="shared" si="148"/>
        <v>271.73544012419364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-8.7434273154940449E-13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428.8489304403459</v>
      </c>
      <c r="CZ171" s="60">
        <f t="shared" si="150"/>
        <v>247.01165577562966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-1.0401663530501537E-12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502.07782026233912</v>
      </c>
      <c r="DU171" s="60">
        <f t="shared" si="152"/>
        <v>285.83623046025156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-2.2737367544323206E-13</v>
      </c>
      <c r="EK171" s="18">
        <f>EJ171*VLOOKUP('Données projet'!$B$15,Paramètres!$A$1:$I$89,3,0)*VLOOKUP('Données projet'!$B$15,Paramètres!$A$1:$I$89,5,0)</f>
        <v>-1.3596945791505279E-13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392.62423122800357</v>
      </c>
      <c r="EP171" s="60">
        <f t="shared" si="154"/>
        <v>314.09619163968642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0.24725797722988438</v>
      </c>
      <c r="EX171" s="23">
        <f>EXP(-LN(2)/2)*EX170+(1-EXP(-LN(2)/2))/(LN(2)/2)*ER171*EU171*VLOOKUP('Données projet'!$B$15,Paramètres!$A$1:$I$89,3,0)*0.475*44/12</f>
        <v>2.9822247512216097E-20</v>
      </c>
      <c r="EY171" s="24">
        <f t="shared" si="181"/>
        <v>0.24725797722988438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207.03241199974599</v>
      </c>
      <c r="FK171" s="60">
        <f t="shared" si="156"/>
        <v>314.188568589113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0.8779016696434474</v>
      </c>
      <c r="FR171" s="23">
        <f>EXP(-LN(2)/25)*FR170+(1-EXP(-LN(2)/25))/(LN(2)/25)*Calculateur!FM171*Calculateur!FO171*VLOOKUP('Données projet'!$B$16,Paramètres!$A$1:$I$89,3,0)*0.475*44/12</f>
        <v>0.21246770176732693</v>
      </c>
      <c r="FS171" s="23">
        <f>EXP(-LN(2)/2)*FS170+(1-EXP(-LN(2)/2))/(LN(2)/2)*FM171*FP171*VLOOKUP('Données projet'!$B$16,Paramètres!$A$1:$I$89,3,0)*0.475*44/12</f>
        <v>4.9541732222963261E-21</v>
      </c>
      <c r="FT171" s="24">
        <f t="shared" si="184"/>
        <v>1.0903693714107743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10.256410256410078</v>
      </c>
      <c r="O172" s="14">
        <f>N172*VLOOKUP('Données projet'!$B$9,Paramètres!$A$1:$I$89,3,0)*VLOOKUP('Données projet'!$B$9,Paramètres!$A$1:$I$89,5,0)</f>
        <v>9.7599999999998293</v>
      </c>
      <c r="P172" s="14">
        <f t="shared" si="141"/>
        <v>3.4500860232767008</v>
      </c>
      <c r="Q172" s="22">
        <f t="shared" si="162"/>
        <v>23.007566490539954</v>
      </c>
      <c r="R172" s="60">
        <f t="shared" si="109"/>
        <v>316.34089982387326</v>
      </c>
      <c r="S172" s="60">
        <f ca="1">AVERAGE(OFFSET($R$3,0,0,'Données projet'!$E$9+1,1))-AVERAGE(OFFSET($H$3,0,0,'Données projet'!$E$9+1,1))</f>
        <v>353.61481736740694</v>
      </c>
      <c r="T172" s="60">
        <f t="shared" si="142"/>
        <v>244.7141066773861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-9.3464223027694966E-13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455.50822833641354</v>
      </c>
      <c r="AO172" s="60">
        <f t="shared" si="144"/>
        <v>261.14722581688039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-1.0100166036863811E-12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488.7825919901664</v>
      </c>
      <c r="BJ172" s="60">
        <f t="shared" si="146"/>
        <v>278.78817181412438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-9.7986685432260874E-13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475.47920969424894</v>
      </c>
      <c r="CE172" s="60">
        <f t="shared" si="148"/>
        <v>271.73544012419364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-8.7434273154940449E-13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428.8489304403459</v>
      </c>
      <c r="CZ172" s="60">
        <f t="shared" si="150"/>
        <v>247.01165577562966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-1.0401663530501537E-12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502.07782026233912</v>
      </c>
      <c r="DU172" s="60">
        <f t="shared" si="152"/>
        <v>285.83623046025156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-2.2737367544323206E-13</v>
      </c>
      <c r="EK172" s="18">
        <f>EJ172*VLOOKUP('Données projet'!$B$15,Paramètres!$A$1:$I$89,3,0)*VLOOKUP('Données projet'!$B$15,Paramètres!$A$1:$I$89,5,0)</f>
        <v>-1.3596945791505279E-13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392.62423122800357</v>
      </c>
      <c r="EP172" s="60">
        <f t="shared" si="154"/>
        <v>314.09619163968642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0.24049669483980129</v>
      </c>
      <c r="EX172" s="23">
        <f>EXP(-LN(2)/2)*EX171+(1-EXP(-LN(2)/2))/(LN(2)/2)*ER172*EU172*VLOOKUP('Données projet'!$B$15,Paramètres!$A$1:$I$89,3,0)*0.475*44/12</f>
        <v>2.1087513446111649E-20</v>
      </c>
      <c r="EY172" s="24">
        <f t="shared" si="181"/>
        <v>0.24049669483980129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207.03241199974599</v>
      </c>
      <c r="FK172" s="60">
        <f t="shared" si="156"/>
        <v>314.188568589113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0.86068655336888489</v>
      </c>
      <c r="FR172" s="23">
        <f>EXP(-LN(2)/25)*FR171+(1-EXP(-LN(2)/25))/(LN(2)/25)*Calculateur!FM172*Calculateur!FO172*VLOOKUP('Données projet'!$B$16,Paramètres!$A$1:$I$89,3,0)*0.475*44/12</f>
        <v>0.20665776128930854</v>
      </c>
      <c r="FS172" s="23">
        <f>EXP(-LN(2)/2)*FS171+(1-EXP(-LN(2)/2))/(LN(2)/2)*FM172*FP172*VLOOKUP('Données projet'!$B$16,Paramètres!$A$1:$I$89,3,0)*0.475*44/12</f>
        <v>3.5031294806585413E-21</v>
      </c>
      <c r="FT172" s="24">
        <f t="shared" si="184"/>
        <v>1.0673443146581933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10.256410256410078</v>
      </c>
      <c r="O173" s="14">
        <f>N173*VLOOKUP('Données projet'!$B$9,Paramètres!$A$1:$I$89,3,0)*VLOOKUP('Données projet'!$B$9,Paramètres!$A$1:$I$89,5,0)</f>
        <v>9.7599999999998293</v>
      </c>
      <c r="P173" s="14">
        <f t="shared" si="141"/>
        <v>3.4500860232767008</v>
      </c>
      <c r="Q173" s="22">
        <f t="shared" si="162"/>
        <v>23.007566490539954</v>
      </c>
      <c r="R173" s="60">
        <f t="shared" si="109"/>
        <v>316.34089982387326</v>
      </c>
      <c r="S173" s="60">
        <f ca="1">AVERAGE(OFFSET($R$3,0,0,'Données projet'!$E$9+1,1))-AVERAGE(OFFSET($H$3,0,0,'Données projet'!$E$9+1,1))</f>
        <v>353.61481736740694</v>
      </c>
      <c r="T173" s="60">
        <f t="shared" si="142"/>
        <v>244.7141066773861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-9.3464223027694966E-13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455.50822833641354</v>
      </c>
      <c r="AO173" s="60">
        <f t="shared" si="144"/>
        <v>261.14722581688039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-1.0100166036863811E-12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488.7825919901664</v>
      </c>
      <c r="BJ173" s="60">
        <f t="shared" si="146"/>
        <v>278.78817181412438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-9.7986685432260874E-13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475.47920969424894</v>
      </c>
      <c r="CE173" s="60">
        <f t="shared" si="148"/>
        <v>271.73544012419364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-8.7434273154940449E-13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428.8489304403459</v>
      </c>
      <c r="CZ173" s="60">
        <f t="shared" si="150"/>
        <v>247.01165577562966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-1.0401663530501537E-12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502.07782026233912</v>
      </c>
      <c r="DU173" s="60">
        <f t="shared" si="152"/>
        <v>285.83623046025156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-2.2737367544323206E-13</v>
      </c>
      <c r="EK173" s="18">
        <f>EJ173*VLOOKUP('Données projet'!$B$15,Paramètres!$A$1:$I$89,3,0)*VLOOKUP('Données projet'!$B$15,Paramètres!$A$1:$I$89,5,0)</f>
        <v>-1.3596945791505279E-13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392.62423122800357</v>
      </c>
      <c r="EP173" s="60">
        <f t="shared" si="154"/>
        <v>314.09619163968642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0.23392030007223541</v>
      </c>
      <c r="EX173" s="23">
        <f>EXP(-LN(2)/2)*EX172+(1-EXP(-LN(2)/2))/(LN(2)/2)*ER173*EU173*VLOOKUP('Données projet'!$B$15,Paramètres!$A$1:$I$89,3,0)*0.475*44/12</f>
        <v>1.4911123756108048E-20</v>
      </c>
      <c r="EY173" s="24">
        <f t="shared" si="181"/>
        <v>0.23392030007223541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207.03241199974599</v>
      </c>
      <c r="FK173" s="60">
        <f t="shared" si="156"/>
        <v>314.188568589113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0.84380901502428241</v>
      </c>
      <c r="FR173" s="23">
        <f>EXP(-LN(2)/25)*FR172+(1-EXP(-LN(2)/25))/(LN(2)/25)*Calculateur!FM173*Calculateur!FO173*VLOOKUP('Données projet'!$B$16,Paramètres!$A$1:$I$89,3,0)*0.475*44/12</f>
        <v>0.20100669393919307</v>
      </c>
      <c r="FS173" s="23">
        <f>EXP(-LN(2)/2)*FS172+(1-EXP(-LN(2)/2))/(LN(2)/2)*FM173*FP173*VLOOKUP('Données projet'!$B$16,Paramètres!$A$1:$I$89,3,0)*0.475*44/12</f>
        <v>2.477086611148163E-21</v>
      </c>
      <c r="FT173" s="24">
        <f t="shared" si="184"/>
        <v>1.0448157089634755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10.256410256410078</v>
      </c>
      <c r="O174" s="14">
        <f>N174*VLOOKUP('Données projet'!$B$9,Paramètres!$A$1:$I$89,3,0)*VLOOKUP('Données projet'!$B$9,Paramètres!$A$1:$I$89,5,0)</f>
        <v>9.7599999999998293</v>
      </c>
      <c r="P174" s="14">
        <f t="shared" si="141"/>
        <v>3.4500860232767008</v>
      </c>
      <c r="Q174" s="22">
        <f t="shared" si="162"/>
        <v>23.007566490539954</v>
      </c>
      <c r="R174" s="60">
        <f t="shared" si="109"/>
        <v>316.34089982387326</v>
      </c>
      <c r="S174" s="60">
        <f ca="1">AVERAGE(OFFSET($R$3,0,0,'Données projet'!$E$9+1,1))-AVERAGE(OFFSET($H$3,0,0,'Données projet'!$E$9+1,1))</f>
        <v>353.61481736740694</v>
      </c>
      <c r="T174" s="60">
        <f t="shared" si="142"/>
        <v>244.7141066773861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-9.3464223027694966E-13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455.50822833641354</v>
      </c>
      <c r="AO174" s="60">
        <f t="shared" si="144"/>
        <v>261.14722581688039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-1.0100166036863811E-12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488.7825919901664</v>
      </c>
      <c r="BJ174" s="60">
        <f t="shared" si="146"/>
        <v>278.78817181412438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-9.7986685432260874E-13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475.47920969424894</v>
      </c>
      <c r="CE174" s="60">
        <f t="shared" si="148"/>
        <v>271.73544012419364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-8.7434273154940449E-13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428.8489304403459</v>
      </c>
      <c r="CZ174" s="60">
        <f t="shared" si="150"/>
        <v>247.01165577562966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-1.0401663530501537E-12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502.07782026233912</v>
      </c>
      <c r="DU174" s="60">
        <f t="shared" si="152"/>
        <v>285.83623046025156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-2.2737367544323206E-13</v>
      </c>
      <c r="EK174" s="18">
        <f>EJ174*VLOOKUP('Données projet'!$B$15,Paramètres!$A$1:$I$89,3,0)*VLOOKUP('Données projet'!$B$15,Paramètres!$A$1:$I$89,5,0)</f>
        <v>-1.3596945791505279E-13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392.62423122800357</v>
      </c>
      <c r="EP174" s="60">
        <f t="shared" si="154"/>
        <v>314.09619163968642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0.22752373716542618</v>
      </c>
      <c r="EX174" s="23">
        <f>EXP(-LN(2)/2)*EX173+(1-EXP(-LN(2)/2))/(LN(2)/2)*ER174*EU174*VLOOKUP('Données projet'!$B$15,Paramètres!$A$1:$I$89,3,0)*0.475*44/12</f>
        <v>1.0543756723055825E-20</v>
      </c>
      <c r="EY174" s="24">
        <f t="shared" si="181"/>
        <v>0.22752373716542618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207.03241199974599</v>
      </c>
      <c r="FK174" s="60">
        <f t="shared" si="156"/>
        <v>314.188568589113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0.82726243491233564</v>
      </c>
      <c r="FR174" s="23">
        <f>EXP(-LN(2)/25)*FR173+(1-EXP(-LN(2)/25))/(LN(2)/25)*Calculateur!FM174*Calculateur!FO174*VLOOKUP('Données projet'!$B$16,Paramètres!$A$1:$I$89,3,0)*0.475*44/12</f>
        <v>0.19551015532294322</v>
      </c>
      <c r="FS174" s="23">
        <f>EXP(-LN(2)/2)*FS173+(1-EXP(-LN(2)/2))/(LN(2)/2)*FM174*FP174*VLOOKUP('Données projet'!$B$16,Paramètres!$A$1:$I$89,3,0)*0.475*44/12</f>
        <v>1.7515647403292706E-21</v>
      </c>
      <c r="FT174" s="24">
        <f t="shared" si="184"/>
        <v>1.0227725902352789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10.256410256410078</v>
      </c>
      <c r="O175" s="14">
        <f>N175*VLOOKUP('Données projet'!$B$9,Paramètres!$A$1:$I$89,3,0)*VLOOKUP('Données projet'!$B$9,Paramètres!$A$1:$I$89,5,0)</f>
        <v>9.7599999999998293</v>
      </c>
      <c r="P175" s="14">
        <f t="shared" si="141"/>
        <v>3.4500860232767008</v>
      </c>
      <c r="Q175" s="22">
        <f t="shared" si="162"/>
        <v>23.007566490539954</v>
      </c>
      <c r="R175" s="60">
        <f t="shared" si="109"/>
        <v>316.34089982387326</v>
      </c>
      <c r="S175" s="60">
        <f ca="1">AVERAGE(OFFSET($R$3,0,0,'Données projet'!$E$9+1,1))-AVERAGE(OFFSET($H$3,0,0,'Données projet'!$E$9+1,1))</f>
        <v>353.61481736740694</v>
      </c>
      <c r="T175" s="60">
        <f t="shared" si="142"/>
        <v>244.7141066773861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-9.3464223027694966E-13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455.50822833641354</v>
      </c>
      <c r="AO175" s="60">
        <f t="shared" si="144"/>
        <v>261.14722581688039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-1.0100166036863811E-12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488.7825919901664</v>
      </c>
      <c r="BJ175" s="60">
        <f t="shared" si="146"/>
        <v>278.78817181412438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-9.7986685432260874E-13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475.47920969424894</v>
      </c>
      <c r="CE175" s="60">
        <f t="shared" si="148"/>
        <v>271.73544012419364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-8.7434273154940449E-13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428.8489304403459</v>
      </c>
      <c r="CZ175" s="60">
        <f t="shared" si="150"/>
        <v>247.01165577562966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-1.0401663530501537E-12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502.07782026233912</v>
      </c>
      <c r="DU175" s="60">
        <f t="shared" si="152"/>
        <v>285.83623046025156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-2.2737367544323206E-13</v>
      </c>
      <c r="EK175" s="18">
        <f>EJ175*VLOOKUP('Données projet'!$B$15,Paramètres!$A$1:$I$89,3,0)*VLOOKUP('Données projet'!$B$15,Paramètres!$A$1:$I$89,5,0)</f>
        <v>-1.3596945791505279E-13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392.62423122800357</v>
      </c>
      <c r="EP175" s="60">
        <f t="shared" si="154"/>
        <v>314.09619163968642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0.22130208860768427</v>
      </c>
      <c r="EX175" s="23">
        <f>EXP(-LN(2)/2)*EX174+(1-EXP(-LN(2)/2))/(LN(2)/2)*ER175*EU175*VLOOKUP('Données projet'!$B$15,Paramètres!$A$1:$I$89,3,0)*0.475*44/12</f>
        <v>7.4555618780540242E-21</v>
      </c>
      <c r="EY175" s="24">
        <f t="shared" si="181"/>
        <v>0.22130208860768427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207.03241199974599</v>
      </c>
      <c r="FK175" s="60">
        <f t="shared" si="156"/>
        <v>314.188568589113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0.8110403231439669</v>
      </c>
      <c r="FR175" s="23">
        <f>EXP(-LN(2)/25)*FR174+(1-EXP(-LN(2)/25))/(LN(2)/25)*Calculateur!FM175*Calculateur!FO175*VLOOKUP('Données projet'!$B$16,Paramètres!$A$1:$I$89,3,0)*0.475*44/12</f>
        <v>0.19016391984420511</v>
      </c>
      <c r="FS175" s="23">
        <f>EXP(-LN(2)/2)*FS174+(1-EXP(-LN(2)/2))/(LN(2)/2)*FM175*FP175*VLOOKUP('Données projet'!$B$16,Paramètres!$A$1:$I$89,3,0)*0.475*44/12</f>
        <v>1.2385433055740815E-21</v>
      </c>
      <c r="FT175" s="24">
        <f t="shared" si="184"/>
        <v>1.001204242988172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10.256410256410078</v>
      </c>
      <c r="O176" s="14">
        <f>N176*VLOOKUP('Données projet'!$B$9,Paramètres!$A$1:$I$89,3,0)*VLOOKUP('Données projet'!$B$9,Paramètres!$A$1:$I$89,5,0)</f>
        <v>9.7599999999998293</v>
      </c>
      <c r="P176" s="14">
        <f t="shared" si="141"/>
        <v>3.4500860232767008</v>
      </c>
      <c r="Q176" s="22">
        <f t="shared" si="162"/>
        <v>23.007566490539954</v>
      </c>
      <c r="R176" s="60">
        <f t="shared" si="109"/>
        <v>316.34089982387326</v>
      </c>
      <c r="S176" s="60">
        <f ca="1">AVERAGE(OFFSET($R$3,0,0,'Données projet'!$E$9+1,1))-AVERAGE(OFFSET($H$3,0,0,'Données projet'!$E$9+1,1))</f>
        <v>353.61481736740694</v>
      </c>
      <c r="T176" s="60">
        <f t="shared" si="142"/>
        <v>244.7141066773861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-9.3464223027694966E-13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455.50822833641354</v>
      </c>
      <c r="AO176" s="60">
        <f t="shared" si="144"/>
        <v>261.14722581688039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-1.0100166036863811E-12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488.7825919901664</v>
      </c>
      <c r="BJ176" s="60">
        <f t="shared" si="146"/>
        <v>278.78817181412438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-9.7986685432260874E-13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475.47920969424894</v>
      </c>
      <c r="CE176" s="60">
        <f t="shared" si="148"/>
        <v>271.73544012419364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-8.7434273154940449E-13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428.8489304403459</v>
      </c>
      <c r="CZ176" s="60">
        <f t="shared" si="150"/>
        <v>247.01165577562966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-1.0401663530501537E-12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502.07782026233912</v>
      </c>
      <c r="DU176" s="60">
        <f t="shared" si="152"/>
        <v>285.83623046025156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-2.2737367544323206E-13</v>
      </c>
      <c r="EK176" s="18">
        <f>EJ176*VLOOKUP('Données projet'!$B$15,Paramètres!$A$1:$I$89,3,0)*VLOOKUP('Données projet'!$B$15,Paramètres!$A$1:$I$89,5,0)</f>
        <v>-1.3596945791505279E-13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392.62423122800357</v>
      </c>
      <c r="EP176" s="60">
        <f t="shared" si="154"/>
        <v>314.09619163968642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0.21525057135693609</v>
      </c>
      <c r="EX176" s="23">
        <f>EXP(-LN(2)/2)*EX175+(1-EXP(-LN(2)/2))/(LN(2)/2)*ER176*EU176*VLOOKUP('Données projet'!$B$15,Paramètres!$A$1:$I$89,3,0)*0.475*44/12</f>
        <v>5.2718783615279123E-21</v>
      </c>
      <c r="EY176" s="24">
        <f t="shared" si="181"/>
        <v>0.21525057135693609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207.03241199974599</v>
      </c>
      <c r="FK176" s="60">
        <f t="shared" si="156"/>
        <v>314.188568589113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0.7951363170928647</v>
      </c>
      <c r="FR176" s="23">
        <f>EXP(-LN(2)/25)*FR175+(1-EXP(-LN(2)/25))/(LN(2)/25)*Calculateur!FM176*Calculateur!FO176*VLOOKUP('Données projet'!$B$16,Paramètres!$A$1:$I$89,3,0)*0.475*44/12</f>
        <v>0.18496387745577941</v>
      </c>
      <c r="FS176" s="23">
        <f>EXP(-LN(2)/2)*FS175+(1-EXP(-LN(2)/2))/(LN(2)/2)*FM176*FP176*VLOOKUP('Données projet'!$B$16,Paramètres!$A$1:$I$89,3,0)*0.475*44/12</f>
        <v>8.7578237016463531E-22</v>
      </c>
      <c r="FT176" s="24">
        <f t="shared" si="184"/>
        <v>0.98010019454864405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10.256410256410078</v>
      </c>
      <c r="O177" s="14">
        <f>N177*VLOOKUP('Données projet'!$B$9,Paramètres!$A$1:$I$89,3,0)*VLOOKUP('Données projet'!$B$9,Paramètres!$A$1:$I$89,5,0)</f>
        <v>9.7599999999998293</v>
      </c>
      <c r="P177" s="14">
        <f t="shared" si="141"/>
        <v>3.4500860232767008</v>
      </c>
      <c r="Q177" s="22">
        <f t="shared" si="162"/>
        <v>23.007566490539954</v>
      </c>
      <c r="R177" s="60">
        <f t="shared" si="109"/>
        <v>316.34089982387326</v>
      </c>
      <c r="S177" s="60">
        <f ca="1">AVERAGE(OFFSET($R$3,0,0,'Données projet'!$E$9+1,1))-AVERAGE(OFFSET($H$3,0,0,'Données projet'!$E$9+1,1))</f>
        <v>353.61481736740694</v>
      </c>
      <c r="T177" s="60">
        <f t="shared" si="142"/>
        <v>244.7141066773861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-9.3464223027694966E-13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455.50822833641354</v>
      </c>
      <c r="AO177" s="60">
        <f t="shared" si="144"/>
        <v>261.14722581688039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-1.0100166036863811E-12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488.7825919901664</v>
      </c>
      <c r="BJ177" s="60">
        <f t="shared" si="146"/>
        <v>278.78817181412438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-9.7986685432260874E-13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475.47920969424894</v>
      </c>
      <c r="CE177" s="60">
        <f t="shared" si="148"/>
        <v>271.73544012419364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-8.7434273154940449E-13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428.8489304403459</v>
      </c>
      <c r="CZ177" s="60">
        <f t="shared" si="150"/>
        <v>247.01165577562966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-1.0401663530501537E-12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502.07782026233912</v>
      </c>
      <c r="DU177" s="60">
        <f t="shared" si="152"/>
        <v>285.83623046025156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-2.2737367544323206E-13</v>
      </c>
      <c r="EK177" s="18">
        <f>EJ177*VLOOKUP('Données projet'!$B$15,Paramètres!$A$1:$I$89,3,0)*VLOOKUP('Données projet'!$B$15,Paramètres!$A$1:$I$89,5,0)</f>
        <v>-1.3596945791505279E-13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392.62423122800357</v>
      </c>
      <c r="EP177" s="60">
        <f t="shared" si="154"/>
        <v>314.09619163968642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0.20936453316364509</v>
      </c>
      <c r="EX177" s="23">
        <f>EXP(-LN(2)/2)*EX176+(1-EXP(-LN(2)/2))/(LN(2)/2)*ER177*EU177*VLOOKUP('Données projet'!$B$15,Paramètres!$A$1:$I$89,3,0)*0.475*44/12</f>
        <v>3.7277809390270121E-21</v>
      </c>
      <c r="EY177" s="24">
        <f t="shared" si="181"/>
        <v>0.20936453316364509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207.03241199974599</v>
      </c>
      <c r="FK177" s="60">
        <f t="shared" si="156"/>
        <v>314.188568589113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0.77954417889993877</v>
      </c>
      <c r="FR177" s="23">
        <f>EXP(-LN(2)/25)*FR176+(1-EXP(-LN(2)/25))/(LN(2)/25)*Calculateur!FM177*Calculateur!FO177*VLOOKUP('Données projet'!$B$16,Paramètres!$A$1:$I$89,3,0)*0.475*44/12</f>
        <v>0.17990603049992354</v>
      </c>
      <c r="FS177" s="23">
        <f>EXP(-LN(2)/2)*FS176+(1-EXP(-LN(2)/2))/(LN(2)/2)*FM177*FP177*VLOOKUP('Données projet'!$B$16,Paramètres!$A$1:$I$89,3,0)*0.475*44/12</f>
        <v>6.1927165278704076E-22</v>
      </c>
      <c r="FT177" s="24">
        <f t="shared" si="184"/>
        <v>0.95945020939986225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10.256410256410078</v>
      </c>
      <c r="O178" s="14">
        <f>N178*VLOOKUP('Données projet'!$B$9,Paramètres!$A$1:$I$89,3,0)*VLOOKUP('Données projet'!$B$9,Paramètres!$A$1:$I$89,5,0)</f>
        <v>9.7599999999998293</v>
      </c>
      <c r="P178" s="14">
        <f t="shared" si="141"/>
        <v>3.4500860232767008</v>
      </c>
      <c r="Q178" s="22">
        <f t="shared" si="162"/>
        <v>23.007566490539954</v>
      </c>
      <c r="R178" s="60">
        <f t="shared" si="109"/>
        <v>316.34089982387326</v>
      </c>
      <c r="S178" s="60">
        <f ca="1">AVERAGE(OFFSET($R$3,0,0,'Données projet'!$E$9+1,1))-AVERAGE(OFFSET($H$3,0,0,'Données projet'!$E$9+1,1))</f>
        <v>353.61481736740694</v>
      </c>
      <c r="T178" s="60">
        <f t="shared" si="142"/>
        <v>244.7141066773861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-9.3464223027694966E-13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455.50822833641354</v>
      </c>
      <c r="AO178" s="60">
        <f t="shared" si="144"/>
        <v>261.14722581688039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-1.0100166036863811E-12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488.7825919901664</v>
      </c>
      <c r="BJ178" s="60">
        <f t="shared" si="146"/>
        <v>278.78817181412438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-9.7986685432260874E-13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475.47920969424894</v>
      </c>
      <c r="CE178" s="60">
        <f t="shared" si="148"/>
        <v>271.73544012419364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-8.7434273154940449E-13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428.8489304403459</v>
      </c>
      <c r="CZ178" s="60">
        <f t="shared" si="150"/>
        <v>247.01165577562966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-1.0401663530501537E-12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502.07782026233912</v>
      </c>
      <c r="DU178" s="60">
        <f t="shared" si="152"/>
        <v>285.83623046025156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-2.2737367544323206E-13</v>
      </c>
      <c r="EK178" s="18">
        <f>EJ178*VLOOKUP('Données projet'!$B$15,Paramètres!$A$1:$I$89,3,0)*VLOOKUP('Données projet'!$B$15,Paramètres!$A$1:$I$89,5,0)</f>
        <v>-1.3596945791505279E-13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392.62423122800357</v>
      </c>
      <c r="EP178" s="60">
        <f t="shared" si="154"/>
        <v>314.09619163968642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0.20363944899428293</v>
      </c>
      <c r="EX178" s="23">
        <f>EXP(-LN(2)/2)*EX177+(1-EXP(-LN(2)/2))/(LN(2)/2)*ER178*EU178*VLOOKUP('Données projet'!$B$15,Paramètres!$A$1:$I$89,3,0)*0.475*44/12</f>
        <v>2.6359391807639561E-21</v>
      </c>
      <c r="EY178" s="24">
        <f t="shared" si="181"/>
        <v>0.20363944899428293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207.03241199974599</v>
      </c>
      <c r="FK178" s="60">
        <f t="shared" si="156"/>
        <v>314.188568589113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0.76425779302671082</v>
      </c>
      <c r="FR178" s="23">
        <f>EXP(-LN(2)/25)*FR177+(1-EXP(-LN(2)/25))/(LN(2)/25)*Calculateur!FM178*Calculateur!FO178*VLOOKUP('Données projet'!$B$16,Paramètres!$A$1:$I$89,3,0)*0.475*44/12</f>
        <v>0.17498649063505617</v>
      </c>
      <c r="FS178" s="23">
        <f>EXP(-LN(2)/2)*FS177+(1-EXP(-LN(2)/2))/(LN(2)/2)*FM178*FP178*VLOOKUP('Données projet'!$B$16,Paramètres!$A$1:$I$89,3,0)*0.475*44/12</f>
        <v>4.3789118508231766E-22</v>
      </c>
      <c r="FT178" s="24">
        <f t="shared" si="184"/>
        <v>0.93924428366176693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10.256410256410078</v>
      </c>
      <c r="O179" s="14">
        <f>N179*VLOOKUP('Données projet'!$B$9,Paramètres!$A$1:$I$89,3,0)*VLOOKUP('Données projet'!$B$9,Paramètres!$A$1:$I$89,5,0)</f>
        <v>9.7599999999998293</v>
      </c>
      <c r="P179" s="14">
        <f t="shared" si="141"/>
        <v>3.4500860232767008</v>
      </c>
      <c r="Q179" s="22">
        <f t="shared" si="162"/>
        <v>23.007566490539954</v>
      </c>
      <c r="R179" s="60">
        <f t="shared" si="109"/>
        <v>316.34089982387326</v>
      </c>
      <c r="S179" s="60">
        <f ca="1">AVERAGE(OFFSET($R$3,0,0,'Données projet'!$E$9+1,1))-AVERAGE(OFFSET($H$3,0,0,'Données projet'!$E$9+1,1))</f>
        <v>353.61481736740694</v>
      </c>
      <c r="T179" s="60">
        <f t="shared" si="142"/>
        <v>244.7141066773861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-9.3464223027694966E-13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455.50822833641354</v>
      </c>
      <c r="AO179" s="60">
        <f t="shared" si="144"/>
        <v>261.14722581688039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-1.0100166036863811E-12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488.7825919901664</v>
      </c>
      <c r="BJ179" s="60">
        <f t="shared" si="146"/>
        <v>278.78817181412438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-9.7986685432260874E-13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475.47920969424894</v>
      </c>
      <c r="CE179" s="60">
        <f t="shared" si="148"/>
        <v>271.73544012419364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-8.7434273154940449E-13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428.8489304403459</v>
      </c>
      <c r="CZ179" s="60">
        <f t="shared" si="150"/>
        <v>247.01165577562966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-1.0401663530501537E-12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502.07782026233912</v>
      </c>
      <c r="DU179" s="60">
        <f t="shared" si="152"/>
        <v>285.83623046025156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-2.2737367544323206E-13</v>
      </c>
      <c r="EK179" s="18">
        <f>EJ179*VLOOKUP('Données projet'!$B$15,Paramètres!$A$1:$I$89,3,0)*VLOOKUP('Données projet'!$B$15,Paramètres!$A$1:$I$89,5,0)</f>
        <v>-1.3596945791505279E-13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392.62423122800357</v>
      </c>
      <c r="EP179" s="60">
        <f t="shared" si="154"/>
        <v>314.09619163968642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0.19807091755260106</v>
      </c>
      <c r="EX179" s="23">
        <f>EXP(-LN(2)/2)*EX178+(1-EXP(-LN(2)/2))/(LN(2)/2)*ER179*EU179*VLOOKUP('Données projet'!$B$15,Paramètres!$A$1:$I$89,3,0)*0.475*44/12</f>
        <v>1.8638904695135061E-21</v>
      </c>
      <c r="EY179" s="24">
        <f t="shared" si="181"/>
        <v>0.19807091755260106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207.03241199974599</v>
      </c>
      <c r="FK179" s="60">
        <f t="shared" si="156"/>
        <v>314.188568589113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0.74927116385668213</v>
      </c>
      <c r="FR179" s="23">
        <f>EXP(-LN(2)/25)*FR178+(1-EXP(-LN(2)/25))/(LN(2)/25)*Calculateur!FM179*Calculateur!FO179*VLOOKUP('Données projet'!$B$16,Paramètres!$A$1:$I$89,3,0)*0.475*44/12</f>
        <v>0.17020147584650094</v>
      </c>
      <c r="FS179" s="23">
        <f>EXP(-LN(2)/2)*FS178+(1-EXP(-LN(2)/2))/(LN(2)/2)*FM179*FP179*VLOOKUP('Données projet'!$B$16,Paramètres!$A$1:$I$89,3,0)*0.475*44/12</f>
        <v>3.0963582639352038E-22</v>
      </c>
      <c r="FT179" s="24">
        <f t="shared" si="184"/>
        <v>0.91947263970318305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10.256410256410078</v>
      </c>
      <c r="O180" s="14">
        <f>N180*VLOOKUP('Données projet'!$B$9,Paramètres!$A$1:$I$89,3,0)*VLOOKUP('Données projet'!$B$9,Paramètres!$A$1:$I$89,5,0)</f>
        <v>9.7599999999998293</v>
      </c>
      <c r="P180" s="14">
        <f t="shared" si="141"/>
        <v>3.4500860232767008</v>
      </c>
      <c r="Q180" s="22">
        <f t="shared" si="162"/>
        <v>23.007566490539954</v>
      </c>
      <c r="R180" s="60">
        <f t="shared" si="109"/>
        <v>316.34089982387326</v>
      </c>
      <c r="S180" s="60">
        <f ca="1">AVERAGE(OFFSET($R$3,0,0,'Données projet'!$E$9+1,1))-AVERAGE(OFFSET($H$3,0,0,'Données projet'!$E$9+1,1))</f>
        <v>353.61481736740694</v>
      </c>
      <c r="T180" s="60">
        <f t="shared" si="142"/>
        <v>244.7141066773861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-9.3464223027694966E-13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455.50822833641354</v>
      </c>
      <c r="AO180" s="60">
        <f t="shared" si="144"/>
        <v>261.14722581688039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-1.0100166036863811E-12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488.7825919901664</v>
      </c>
      <c r="BJ180" s="60">
        <f t="shared" si="146"/>
        <v>278.78817181412438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-9.7986685432260874E-13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475.47920969424894</v>
      </c>
      <c r="CE180" s="60">
        <f t="shared" si="148"/>
        <v>271.73544012419364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-8.7434273154940449E-13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428.8489304403459</v>
      </c>
      <c r="CZ180" s="60">
        <f t="shared" si="150"/>
        <v>247.01165577562966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-1.0401663530501537E-12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502.07782026233912</v>
      </c>
      <c r="DU180" s="60">
        <f t="shared" si="152"/>
        <v>285.83623046025156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-2.2737367544323206E-13</v>
      </c>
      <c r="EK180" s="18">
        <f>EJ180*VLOOKUP('Données projet'!$B$15,Paramètres!$A$1:$I$89,3,0)*VLOOKUP('Données projet'!$B$15,Paramètres!$A$1:$I$89,5,0)</f>
        <v>-1.3596945791505279E-13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392.62423122800357</v>
      </c>
      <c r="EP180" s="60">
        <f t="shared" si="154"/>
        <v>314.09619163968642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0.19265465789602834</v>
      </c>
      <c r="EX180" s="23">
        <f>EXP(-LN(2)/2)*EX179+(1-EXP(-LN(2)/2))/(LN(2)/2)*ER180*EU180*VLOOKUP('Données projet'!$B$15,Paramètres!$A$1:$I$89,3,0)*0.475*44/12</f>
        <v>1.3179695903819781E-21</v>
      </c>
      <c r="EY180" s="24">
        <f t="shared" si="181"/>
        <v>0.19265465789602834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207.03241199974599</v>
      </c>
      <c r="FK180" s="60">
        <f t="shared" si="156"/>
        <v>314.188568589113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0.73457841334373652</v>
      </c>
      <c r="FR180" s="23">
        <f>EXP(-LN(2)/25)*FR179+(1-EXP(-LN(2)/25))/(LN(2)/25)*Calculateur!FM180*Calculateur!FO180*VLOOKUP('Données projet'!$B$16,Paramètres!$A$1:$I$89,3,0)*0.475*44/12</f>
        <v>0.16554730753897176</v>
      </c>
      <c r="FS180" s="23">
        <f>EXP(-LN(2)/2)*FS179+(1-EXP(-LN(2)/2))/(LN(2)/2)*FM180*FP180*VLOOKUP('Données projet'!$B$16,Paramètres!$A$1:$I$89,3,0)*0.475*44/12</f>
        <v>2.1894559254115883E-22</v>
      </c>
      <c r="FT180" s="24">
        <f t="shared" si="184"/>
        <v>0.90012572088270826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10.256410256410078</v>
      </c>
      <c r="O181" s="14">
        <f>N181*VLOOKUP('Données projet'!$B$9,Paramètres!$A$1:$I$89,3,0)*VLOOKUP('Données projet'!$B$9,Paramètres!$A$1:$I$89,5,0)</f>
        <v>9.7599999999998293</v>
      </c>
      <c r="P181" s="14">
        <f t="shared" si="141"/>
        <v>3.4500860232767008</v>
      </c>
      <c r="Q181" s="22">
        <f t="shared" si="162"/>
        <v>23.007566490539954</v>
      </c>
      <c r="R181" s="60">
        <f t="shared" si="109"/>
        <v>316.34089982387326</v>
      </c>
      <c r="S181" s="60">
        <f ca="1">AVERAGE(OFFSET($R$3,0,0,'Données projet'!$E$9+1,1))-AVERAGE(OFFSET($H$3,0,0,'Données projet'!$E$9+1,1))</f>
        <v>353.61481736740694</v>
      </c>
      <c r="T181" s="60">
        <f t="shared" si="142"/>
        <v>244.7141066773861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-9.3464223027694966E-13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455.50822833641354</v>
      </c>
      <c r="AO181" s="60">
        <f t="shared" si="144"/>
        <v>261.14722581688039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-1.0100166036863811E-12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488.7825919901664</v>
      </c>
      <c r="BJ181" s="60">
        <f t="shared" si="146"/>
        <v>278.78817181412438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-9.7986685432260874E-13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475.47920969424894</v>
      </c>
      <c r="CE181" s="60">
        <f t="shared" si="148"/>
        <v>271.73544012419364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-8.7434273154940449E-13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428.8489304403459</v>
      </c>
      <c r="CZ181" s="60">
        <f t="shared" si="150"/>
        <v>247.01165577562966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-1.0401663530501537E-12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502.07782026233912</v>
      </c>
      <c r="DU181" s="60">
        <f t="shared" si="152"/>
        <v>285.83623046025156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-2.2737367544323206E-13</v>
      </c>
      <c r="EK181" s="18">
        <f>EJ181*VLOOKUP('Données projet'!$B$15,Paramètres!$A$1:$I$89,3,0)*VLOOKUP('Données projet'!$B$15,Paramètres!$A$1:$I$89,5,0)</f>
        <v>-1.3596945791505279E-13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392.62423122800357</v>
      </c>
      <c r="EP181" s="60">
        <f t="shared" si="154"/>
        <v>314.09619163968642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0.18738650614459332</v>
      </c>
      <c r="EX181" s="23">
        <f>EXP(-LN(2)/2)*EX180+(1-EXP(-LN(2)/2))/(LN(2)/2)*ER181*EU181*VLOOKUP('Données projet'!$B$15,Paramètres!$A$1:$I$89,3,0)*0.475*44/12</f>
        <v>9.3194523475675303E-22</v>
      </c>
      <c r="EY181" s="24">
        <f t="shared" si="181"/>
        <v>0.18738650614459332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207.03241199974599</v>
      </c>
      <c r="FK181" s="60">
        <f t="shared" si="156"/>
        <v>314.188568589113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0.72017377870665689</v>
      </c>
      <c r="FR181" s="23">
        <f>EXP(-LN(2)/25)*FR180+(1-EXP(-LN(2)/25))/(LN(2)/25)*Calculateur!FM181*Calculateur!FO181*VLOOKUP('Données projet'!$B$16,Paramètres!$A$1:$I$89,3,0)*0.475*44/12</f>
        <v>0.16102040770856405</v>
      </c>
      <c r="FS181" s="23">
        <f>EXP(-LN(2)/2)*FS180+(1-EXP(-LN(2)/2))/(LN(2)/2)*FM181*FP181*VLOOKUP('Données projet'!$B$16,Paramètres!$A$1:$I$89,3,0)*0.475*44/12</f>
        <v>1.5481791319676019E-22</v>
      </c>
      <c r="FT181" s="24">
        <f t="shared" si="184"/>
        <v>0.88119418641522096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10.256410256410078</v>
      </c>
      <c r="O182" s="14">
        <f>N182*VLOOKUP('Données projet'!$B$9,Paramètres!$A$1:$I$89,3,0)*VLOOKUP('Données projet'!$B$9,Paramètres!$A$1:$I$89,5,0)</f>
        <v>9.7599999999998293</v>
      </c>
      <c r="P182" s="14">
        <f t="shared" si="141"/>
        <v>3.4500860232767008</v>
      </c>
      <c r="Q182" s="22">
        <f t="shared" si="162"/>
        <v>23.007566490539954</v>
      </c>
      <c r="R182" s="60">
        <f t="shared" si="109"/>
        <v>316.34089982387326</v>
      </c>
      <c r="S182" s="60">
        <f ca="1">AVERAGE(OFFSET($R$3,0,0,'Données projet'!$E$9+1,1))-AVERAGE(OFFSET($H$3,0,0,'Données projet'!$E$9+1,1))</f>
        <v>353.61481736740694</v>
      </c>
      <c r="T182" s="60">
        <f t="shared" si="142"/>
        <v>244.7141066773861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-9.3464223027694966E-13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455.50822833641354</v>
      </c>
      <c r="AO182" s="60">
        <f t="shared" si="144"/>
        <v>261.14722581688039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-1.0100166036863811E-12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488.7825919901664</v>
      </c>
      <c r="BJ182" s="60">
        <f t="shared" si="146"/>
        <v>278.78817181412438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-9.7986685432260874E-13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475.47920969424894</v>
      </c>
      <c r="CE182" s="60">
        <f t="shared" si="148"/>
        <v>271.73544012419364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-8.7434273154940449E-13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428.8489304403459</v>
      </c>
      <c r="CZ182" s="60">
        <f t="shared" si="150"/>
        <v>247.01165577562966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-1.0401663530501537E-12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502.07782026233912</v>
      </c>
      <c r="DU182" s="60">
        <f t="shared" si="152"/>
        <v>285.83623046025156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-2.2737367544323206E-13</v>
      </c>
      <c r="EK182" s="18">
        <f>EJ182*VLOOKUP('Données projet'!$B$15,Paramètres!$A$1:$I$89,3,0)*VLOOKUP('Données projet'!$B$15,Paramètres!$A$1:$I$89,5,0)</f>
        <v>-1.3596945791505279E-13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392.62423122800357</v>
      </c>
      <c r="EP182" s="60">
        <f t="shared" si="154"/>
        <v>314.09619163968642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0.18226241227984133</v>
      </c>
      <c r="EX182" s="23">
        <f>EXP(-LN(2)/2)*EX181+(1-EXP(-LN(2)/2))/(LN(2)/2)*ER182*EU182*VLOOKUP('Données projet'!$B$15,Paramètres!$A$1:$I$89,3,0)*0.475*44/12</f>
        <v>6.5898479519098904E-22</v>
      </c>
      <c r="EY182" s="24">
        <f t="shared" si="181"/>
        <v>0.18226241227984133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207.03241199974599</v>
      </c>
      <c r="FK182" s="60">
        <f t="shared" si="156"/>
        <v>314.188568589113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0.70605161016885076</v>
      </c>
      <c r="FR182" s="23">
        <f>EXP(-LN(2)/25)*FR181+(1-EXP(-LN(2)/25))/(LN(2)/25)*Calculateur!FM182*Calculateur!FO182*VLOOKUP('Données projet'!$B$16,Paramètres!$A$1:$I$89,3,0)*0.475*44/12</f>
        <v>0.15661729619207815</v>
      </c>
      <c r="FS182" s="23">
        <f>EXP(-LN(2)/2)*FS181+(1-EXP(-LN(2)/2))/(LN(2)/2)*FM182*FP182*VLOOKUP('Données projet'!$B$16,Paramètres!$A$1:$I$89,3,0)*0.475*44/12</f>
        <v>1.0947279627057941E-22</v>
      </c>
      <c r="FT182" s="24">
        <f t="shared" si="184"/>
        <v>0.86266890636092897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10.256410256410078</v>
      </c>
      <c r="O183" s="14">
        <f>N183*VLOOKUP('Données projet'!$B$9,Paramètres!$A$1:$I$89,3,0)*VLOOKUP('Données projet'!$B$9,Paramètres!$A$1:$I$89,5,0)</f>
        <v>9.7599999999998293</v>
      </c>
      <c r="P183" s="14">
        <f t="shared" si="141"/>
        <v>3.4500860232767008</v>
      </c>
      <c r="Q183" s="22">
        <f t="shared" si="162"/>
        <v>23.007566490539954</v>
      </c>
      <c r="R183" s="60">
        <f t="shared" si="109"/>
        <v>316.34089982387326</v>
      </c>
      <c r="S183" s="60">
        <f ca="1">AVERAGE(OFFSET($R$3,0,0,'Données projet'!$E$9+1,1))-AVERAGE(OFFSET($H$3,0,0,'Données projet'!$E$9+1,1))</f>
        <v>353.61481736740694</v>
      </c>
      <c r="T183" s="60">
        <f t="shared" si="142"/>
        <v>244.7141066773861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-9.3464223027694966E-13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455.50822833641354</v>
      </c>
      <c r="AO183" s="60">
        <f t="shared" si="144"/>
        <v>261.14722581688039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-1.0100166036863811E-12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488.7825919901664</v>
      </c>
      <c r="BJ183" s="60">
        <f t="shared" si="146"/>
        <v>278.78817181412438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-9.7986685432260874E-13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475.47920969424894</v>
      </c>
      <c r="CE183" s="60">
        <f t="shared" si="148"/>
        <v>271.73544012419364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-8.7434273154940449E-13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428.8489304403459</v>
      </c>
      <c r="CZ183" s="60">
        <f t="shared" si="150"/>
        <v>247.01165577562966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-1.0401663530501537E-12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502.07782026233912</v>
      </c>
      <c r="DU183" s="60">
        <f t="shared" si="152"/>
        <v>285.83623046025156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-2.2737367544323206E-13</v>
      </c>
      <c r="EK183" s="18">
        <f>EJ183*VLOOKUP('Données projet'!$B$15,Paramètres!$A$1:$I$89,3,0)*VLOOKUP('Données projet'!$B$15,Paramètres!$A$1:$I$89,5,0)</f>
        <v>-1.3596945791505279E-13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392.62423122800357</v>
      </c>
      <c r="EP183" s="60">
        <f t="shared" si="154"/>
        <v>314.09619163968642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0.17727843703128537</v>
      </c>
      <c r="EX183" s="23">
        <f>EXP(-LN(2)/2)*EX182+(1-EXP(-LN(2)/2))/(LN(2)/2)*ER183*EU183*VLOOKUP('Données projet'!$B$15,Paramètres!$A$1:$I$89,3,0)*0.475*44/12</f>
        <v>4.6597261737837651E-22</v>
      </c>
      <c r="EY183" s="24">
        <f t="shared" si="181"/>
        <v>0.17727843703128537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207.03241199974599</v>
      </c>
      <c r="FK183" s="60">
        <f t="shared" si="156"/>
        <v>314.188568589113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0.69220636874239871</v>
      </c>
      <c r="FR183" s="23">
        <f>EXP(-LN(2)/25)*FR182+(1-EXP(-LN(2)/25))/(LN(2)/25)*Calculateur!FM183*Calculateur!FO183*VLOOKUP('Données projet'!$B$16,Paramètres!$A$1:$I$89,3,0)*0.475*44/12</f>
        <v>0.15233458799156011</v>
      </c>
      <c r="FS183" s="23">
        <f>EXP(-LN(2)/2)*FS182+(1-EXP(-LN(2)/2))/(LN(2)/2)*FM183*FP183*VLOOKUP('Données projet'!$B$16,Paramètres!$A$1:$I$89,3,0)*0.475*44/12</f>
        <v>7.7408956598380095E-23</v>
      </c>
      <c r="FT183" s="24">
        <f t="shared" si="184"/>
        <v>0.84454095673395879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10.256410256410078</v>
      </c>
      <c r="O184" s="14">
        <f>N184*VLOOKUP('Données projet'!$B$9,Paramètres!$A$1:$I$89,3,0)*VLOOKUP('Données projet'!$B$9,Paramètres!$A$1:$I$89,5,0)</f>
        <v>9.7599999999998293</v>
      </c>
      <c r="P184" s="14">
        <f t="shared" si="141"/>
        <v>3.4500860232767008</v>
      </c>
      <c r="Q184" s="22">
        <f t="shared" si="162"/>
        <v>23.007566490539954</v>
      </c>
      <c r="R184" s="60">
        <f t="shared" si="109"/>
        <v>316.34089982387326</v>
      </c>
      <c r="S184" s="60">
        <f ca="1">AVERAGE(OFFSET($R$3,0,0,'Données projet'!$E$9+1,1))-AVERAGE(OFFSET($H$3,0,0,'Données projet'!$E$9+1,1))</f>
        <v>353.61481736740694</v>
      </c>
      <c r="T184" s="60">
        <f t="shared" si="142"/>
        <v>244.7141066773861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-9.3464223027694966E-13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455.50822833641354</v>
      </c>
      <c r="AO184" s="60">
        <f t="shared" si="144"/>
        <v>261.14722581688039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-1.0100166036863811E-12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488.7825919901664</v>
      </c>
      <c r="BJ184" s="60">
        <f t="shared" si="146"/>
        <v>278.78817181412438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-9.7986685432260874E-13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475.47920969424894</v>
      </c>
      <c r="CE184" s="60">
        <f t="shared" si="148"/>
        <v>271.73544012419364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-8.7434273154940449E-13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428.8489304403459</v>
      </c>
      <c r="CZ184" s="60">
        <f t="shared" si="150"/>
        <v>247.01165577562966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-1.0401663530501537E-12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502.07782026233912</v>
      </c>
      <c r="DU184" s="60">
        <f t="shared" si="152"/>
        <v>285.83623046025156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-2.2737367544323206E-13</v>
      </c>
      <c r="EK184" s="18">
        <f>EJ184*VLOOKUP('Données projet'!$B$15,Paramètres!$A$1:$I$89,3,0)*VLOOKUP('Données projet'!$B$15,Paramètres!$A$1:$I$89,5,0)</f>
        <v>-1.3596945791505279E-13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392.62423122800357</v>
      </c>
      <c r="EP184" s="60">
        <f t="shared" si="154"/>
        <v>314.09619163968642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0.17243074884799706</v>
      </c>
      <c r="EX184" s="23">
        <f>EXP(-LN(2)/2)*EX183+(1-EXP(-LN(2)/2))/(LN(2)/2)*ER184*EU184*VLOOKUP('Données projet'!$B$15,Paramètres!$A$1:$I$89,3,0)*0.475*44/12</f>
        <v>3.2949239759549452E-22</v>
      </c>
      <c r="EY184" s="24">
        <f t="shared" si="181"/>
        <v>0.17243074884799706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207.03241199974599</v>
      </c>
      <c r="FK184" s="60">
        <f t="shared" si="156"/>
        <v>314.188568589113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0.67863262405555602</v>
      </c>
      <c r="FR184" s="23">
        <f>EXP(-LN(2)/25)*FR183+(1-EXP(-LN(2)/25))/(LN(2)/25)*Calculateur!FM184*Calculateur!FO184*VLOOKUP('Données projet'!$B$16,Paramètres!$A$1:$I$89,3,0)*0.475*44/12</f>
        <v>0.14816899067200306</v>
      </c>
      <c r="FS184" s="23">
        <f>EXP(-LN(2)/2)*FS183+(1-EXP(-LN(2)/2))/(LN(2)/2)*FM184*FP184*VLOOKUP('Données projet'!$B$16,Paramètres!$A$1:$I$89,3,0)*0.475*44/12</f>
        <v>5.4736398135289707E-23</v>
      </c>
      <c r="FT184" s="24">
        <f t="shared" si="184"/>
        <v>0.82680161472755909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10.256410256410078</v>
      </c>
      <c r="O185" s="14">
        <f>N185*VLOOKUP('Données projet'!$B$9,Paramètres!$A$1:$I$89,3,0)*VLOOKUP('Données projet'!$B$9,Paramètres!$A$1:$I$89,5,0)</f>
        <v>9.7599999999998293</v>
      </c>
      <c r="P185" s="14">
        <f t="shared" si="141"/>
        <v>3.4500860232767008</v>
      </c>
      <c r="Q185" s="22">
        <f t="shared" si="162"/>
        <v>23.007566490539954</v>
      </c>
      <c r="R185" s="60">
        <f t="shared" si="109"/>
        <v>316.34089982387326</v>
      </c>
      <c r="S185" s="60">
        <f ca="1">AVERAGE(OFFSET($R$3,0,0,'Données projet'!$E$9+1,1))-AVERAGE(OFFSET($H$3,0,0,'Données projet'!$E$9+1,1))</f>
        <v>353.61481736740694</v>
      </c>
      <c r="T185" s="60">
        <f t="shared" si="142"/>
        <v>244.7141066773861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-9.3464223027694966E-13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455.50822833641354</v>
      </c>
      <c r="AO185" s="60">
        <f t="shared" si="144"/>
        <v>261.14722581688039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-1.0100166036863811E-12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488.7825919901664</v>
      </c>
      <c r="BJ185" s="60">
        <f t="shared" si="146"/>
        <v>278.78817181412438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-9.7986685432260874E-13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475.47920969424894</v>
      </c>
      <c r="CE185" s="60">
        <f t="shared" si="148"/>
        <v>271.73544012419364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-8.7434273154940449E-13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428.8489304403459</v>
      </c>
      <c r="CZ185" s="60">
        <f t="shared" si="150"/>
        <v>247.01165577562966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-1.0401663530501537E-12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502.07782026233912</v>
      </c>
      <c r="DU185" s="60">
        <f t="shared" si="152"/>
        <v>285.83623046025156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-2.2737367544323206E-13</v>
      </c>
      <c r="EK185" s="18">
        <f>EJ185*VLOOKUP('Données projet'!$B$15,Paramètres!$A$1:$I$89,3,0)*VLOOKUP('Données projet'!$B$15,Paramètres!$A$1:$I$89,5,0)</f>
        <v>-1.3596945791505279E-13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392.62423122800357</v>
      </c>
      <c r="EP185" s="60">
        <f t="shared" si="154"/>
        <v>314.09619163968642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0.1677156209530096</v>
      </c>
      <c r="EX185" s="23">
        <f>EXP(-LN(2)/2)*EX184+(1-EXP(-LN(2)/2))/(LN(2)/2)*ER185*EU185*VLOOKUP('Données projet'!$B$15,Paramètres!$A$1:$I$89,3,0)*0.475*44/12</f>
        <v>2.3298630868918826E-22</v>
      </c>
      <c r="EY185" s="24">
        <f t="shared" si="181"/>
        <v>0.1677156209530096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207.03241199974599</v>
      </c>
      <c r="FK185" s="60">
        <f t="shared" si="156"/>
        <v>314.188568589113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0.66532505222285554</v>
      </c>
      <c r="FR185" s="23">
        <f>EXP(-LN(2)/25)*FR184+(1-EXP(-LN(2)/25))/(LN(2)/25)*Calculateur!FM185*Calculateur!FO185*VLOOKUP('Données projet'!$B$16,Paramètres!$A$1:$I$89,3,0)*0.475*44/12</f>
        <v>0.14411730183020857</v>
      </c>
      <c r="FS185" s="23">
        <f>EXP(-LN(2)/2)*FS184+(1-EXP(-LN(2)/2))/(LN(2)/2)*FM185*FP185*VLOOKUP('Données projet'!$B$16,Paramètres!$A$1:$I$89,3,0)*0.475*44/12</f>
        <v>3.8704478299190047E-23</v>
      </c>
      <c r="FT185" s="24">
        <f t="shared" si="184"/>
        <v>0.80944235405306408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10.256410256410078</v>
      </c>
      <c r="O186" s="14">
        <f>N186*VLOOKUP('Données projet'!$B$9,Paramètres!$A$1:$I$89,3,0)*VLOOKUP('Données projet'!$B$9,Paramètres!$A$1:$I$89,5,0)</f>
        <v>9.7599999999998293</v>
      </c>
      <c r="P186" s="14">
        <f t="shared" si="141"/>
        <v>3.4500860232767008</v>
      </c>
      <c r="Q186" s="22">
        <f t="shared" si="162"/>
        <v>23.007566490539954</v>
      </c>
      <c r="R186" s="60">
        <f t="shared" si="109"/>
        <v>316.34089982387326</v>
      </c>
      <c r="S186" s="60">
        <f ca="1">AVERAGE(OFFSET($R$3,0,0,'Données projet'!$E$9+1,1))-AVERAGE(OFFSET($H$3,0,0,'Données projet'!$E$9+1,1))</f>
        <v>353.61481736740694</v>
      </c>
      <c r="T186" s="60">
        <f t="shared" si="142"/>
        <v>244.7141066773861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-9.3464223027694966E-13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455.50822833641354</v>
      </c>
      <c r="AO186" s="60">
        <f t="shared" si="144"/>
        <v>261.14722581688039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-1.0100166036863811E-12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488.7825919901664</v>
      </c>
      <c r="BJ186" s="60">
        <f t="shared" si="146"/>
        <v>278.78817181412438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-9.7986685432260874E-13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475.47920969424894</v>
      </c>
      <c r="CE186" s="60">
        <f t="shared" si="148"/>
        <v>271.73544012419364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-8.7434273154940449E-13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428.8489304403459</v>
      </c>
      <c r="CZ186" s="60">
        <f t="shared" si="150"/>
        <v>247.01165577562966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-1.0401663530501537E-12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502.07782026233912</v>
      </c>
      <c r="DU186" s="60">
        <f t="shared" si="152"/>
        <v>285.83623046025156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-2.2737367544323206E-13</v>
      </c>
      <c r="EK186" s="18">
        <f>EJ186*VLOOKUP('Données projet'!$B$15,Paramètres!$A$1:$I$89,3,0)*VLOOKUP('Données projet'!$B$15,Paramètres!$A$1:$I$89,5,0)</f>
        <v>-1.3596945791505279E-13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392.62423122800357</v>
      </c>
      <c r="EP186" s="60">
        <f t="shared" si="154"/>
        <v>314.09619163968642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0.16312942847826836</v>
      </c>
      <c r="EX186" s="23">
        <f>EXP(-LN(2)/2)*EX185+(1-EXP(-LN(2)/2))/(LN(2)/2)*ER186*EU186*VLOOKUP('Données projet'!$B$15,Paramètres!$A$1:$I$89,3,0)*0.475*44/12</f>
        <v>1.6474619879774726E-22</v>
      </c>
      <c r="EY186" s="24">
        <f t="shared" si="181"/>
        <v>0.16312942847826836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207.03241199974599</v>
      </c>
      <c r="FK186" s="60">
        <f t="shared" si="156"/>
        <v>314.188568589113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0.65227843375697692</v>
      </c>
      <c r="FR186" s="23">
        <f>EXP(-LN(2)/25)*FR185+(1-EXP(-LN(2)/25))/(LN(2)/25)*Calculateur!FM186*Calculateur!FO186*VLOOKUP('Données projet'!$B$16,Paramètres!$A$1:$I$89,3,0)*0.475*44/12</f>
        <v>0.14017640663286199</v>
      </c>
      <c r="FS186" s="23">
        <f>EXP(-LN(2)/2)*FS185+(1-EXP(-LN(2)/2))/(LN(2)/2)*FM186*FP186*VLOOKUP('Données projet'!$B$16,Paramètres!$A$1:$I$89,3,0)*0.475*44/12</f>
        <v>2.7368199067644854E-23</v>
      </c>
      <c r="FT186" s="24">
        <f t="shared" si="184"/>
        <v>0.79245484038983893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10.256410256410078</v>
      </c>
      <c r="O187" s="14">
        <f>N187*VLOOKUP('Données projet'!$B$9,Paramètres!$A$1:$I$89,3,0)*VLOOKUP('Données projet'!$B$9,Paramètres!$A$1:$I$89,5,0)</f>
        <v>9.7599999999998293</v>
      </c>
      <c r="P187" s="14">
        <f t="shared" si="141"/>
        <v>3.4500860232767008</v>
      </c>
      <c r="Q187" s="22">
        <f t="shared" si="162"/>
        <v>23.007566490539954</v>
      </c>
      <c r="R187" s="60">
        <f t="shared" si="109"/>
        <v>316.34089982387326</v>
      </c>
      <c r="S187" s="60">
        <f ca="1">AVERAGE(OFFSET($R$3,0,0,'Données projet'!$E$9+1,1))-AVERAGE(OFFSET($H$3,0,0,'Données projet'!$E$9+1,1))</f>
        <v>353.61481736740694</v>
      </c>
      <c r="T187" s="60">
        <f t="shared" si="142"/>
        <v>244.7141066773861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-9.3464223027694966E-13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455.50822833641354</v>
      </c>
      <c r="AO187" s="60">
        <f t="shared" si="144"/>
        <v>261.14722581688039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-1.0100166036863811E-12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488.7825919901664</v>
      </c>
      <c r="BJ187" s="60">
        <f t="shared" si="146"/>
        <v>278.78817181412438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-9.7986685432260874E-13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475.47920969424894</v>
      </c>
      <c r="CE187" s="60">
        <f t="shared" si="148"/>
        <v>271.73544012419364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-8.7434273154940449E-13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428.8489304403459</v>
      </c>
      <c r="CZ187" s="60">
        <f t="shared" si="150"/>
        <v>247.01165577562966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-1.0401663530501537E-12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502.07782026233912</v>
      </c>
      <c r="DU187" s="60">
        <f t="shared" si="152"/>
        <v>285.83623046025156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-2.2737367544323206E-13</v>
      </c>
      <c r="EK187" s="18">
        <f>EJ187*VLOOKUP('Données projet'!$B$15,Paramètres!$A$1:$I$89,3,0)*VLOOKUP('Données projet'!$B$15,Paramètres!$A$1:$I$89,5,0)</f>
        <v>-1.3596945791505279E-13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392.62423122800357</v>
      </c>
      <c r="EP187" s="60">
        <f t="shared" si="154"/>
        <v>314.09619163968642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0.1586686456779263</v>
      </c>
      <c r="EX187" s="23">
        <f>EXP(-LN(2)/2)*EX186+(1-EXP(-LN(2)/2))/(LN(2)/2)*ER187*EU187*VLOOKUP('Données projet'!$B$15,Paramètres!$A$1:$I$89,3,0)*0.475*44/12</f>
        <v>1.1649315434459413E-22</v>
      </c>
      <c r="EY187" s="24">
        <f t="shared" si="181"/>
        <v>0.1586686456779263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207.03241199974599</v>
      </c>
      <c r="FK187" s="60">
        <f t="shared" si="156"/>
        <v>314.188568589113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0.63948765152156273</v>
      </c>
      <c r="FR187" s="23">
        <f>EXP(-LN(2)/25)*FR186+(1-EXP(-LN(2)/25))/(LN(2)/25)*Calculateur!FM187*Calculateur!FO187*VLOOKUP('Données projet'!$B$16,Paramètres!$A$1:$I$89,3,0)*0.475*44/12</f>
        <v>0.13634327542192953</v>
      </c>
      <c r="FS187" s="23">
        <f>EXP(-LN(2)/2)*FS186+(1-EXP(-LN(2)/2))/(LN(2)/2)*FM187*FP187*VLOOKUP('Données projet'!$B$16,Paramètres!$A$1:$I$89,3,0)*0.475*44/12</f>
        <v>1.9352239149595024E-23</v>
      </c>
      <c r="FT187" s="24">
        <f t="shared" si="184"/>
        <v>0.77583092694349221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10.256410256410078</v>
      </c>
      <c r="O188" s="14">
        <f>N188*VLOOKUP('Données projet'!$B$9,Paramètres!$A$1:$I$89,3,0)*VLOOKUP('Données projet'!$B$9,Paramètres!$A$1:$I$89,5,0)</f>
        <v>9.7599999999998293</v>
      </c>
      <c r="P188" s="14">
        <f t="shared" si="141"/>
        <v>3.4500860232767008</v>
      </c>
      <c r="Q188" s="22">
        <f t="shared" si="162"/>
        <v>23.007566490539954</v>
      </c>
      <c r="R188" s="60">
        <f t="shared" si="109"/>
        <v>316.34089982387326</v>
      </c>
      <c r="S188" s="60">
        <f ca="1">AVERAGE(OFFSET($R$3,0,0,'Données projet'!$E$9+1,1))-AVERAGE(OFFSET($H$3,0,0,'Données projet'!$E$9+1,1))</f>
        <v>353.61481736740694</v>
      </c>
      <c r="T188" s="60">
        <f t="shared" si="142"/>
        <v>244.7141066773861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-9.3464223027694966E-13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455.50822833641354</v>
      </c>
      <c r="AO188" s="60">
        <f t="shared" si="144"/>
        <v>261.14722581688039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-1.0100166036863811E-12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488.7825919901664</v>
      </c>
      <c r="BJ188" s="60">
        <f t="shared" si="146"/>
        <v>278.78817181412438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-9.7986685432260874E-13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475.47920969424894</v>
      </c>
      <c r="CE188" s="60">
        <f t="shared" si="148"/>
        <v>271.73544012419364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-8.7434273154940449E-13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428.8489304403459</v>
      </c>
      <c r="CZ188" s="60">
        <f t="shared" si="150"/>
        <v>247.01165577562966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-1.0401663530501537E-12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502.07782026233912</v>
      </c>
      <c r="DU188" s="60">
        <f t="shared" si="152"/>
        <v>285.83623046025156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-2.2737367544323206E-13</v>
      </c>
      <c r="EK188" s="18">
        <f>EJ188*VLOOKUP('Données projet'!$B$15,Paramètres!$A$1:$I$89,3,0)*VLOOKUP('Données projet'!$B$15,Paramètres!$A$1:$I$89,5,0)</f>
        <v>-1.3596945791505279E-13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392.62423122800357</v>
      </c>
      <c r="EP188" s="60">
        <f t="shared" si="154"/>
        <v>314.09619163968642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0.15432984321784196</v>
      </c>
      <c r="EX188" s="23">
        <f>EXP(-LN(2)/2)*EX187+(1-EXP(-LN(2)/2))/(LN(2)/2)*ER188*EU188*VLOOKUP('Données projet'!$B$15,Paramètres!$A$1:$I$89,3,0)*0.475*44/12</f>
        <v>8.237309939887363E-23</v>
      </c>
      <c r="EY188" s="24">
        <f t="shared" si="181"/>
        <v>0.15432984321784196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207.03241199974599</v>
      </c>
      <c r="FK188" s="60">
        <f t="shared" si="156"/>
        <v>314.188568589113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0.62694768872417816</v>
      </c>
      <c r="FR188" s="23">
        <f>EXP(-LN(2)/25)*FR187+(1-EXP(-LN(2)/25))/(LN(2)/25)*Calculateur!FM188*Calculateur!FO188*VLOOKUP('Données projet'!$B$16,Paramètres!$A$1:$I$89,3,0)*0.475*44/12</f>
        <v>0.13261496138553563</v>
      </c>
      <c r="FS188" s="23">
        <f>EXP(-LN(2)/2)*FS187+(1-EXP(-LN(2)/2))/(LN(2)/2)*FM188*FP188*VLOOKUP('Données projet'!$B$16,Paramètres!$A$1:$I$89,3,0)*0.475*44/12</f>
        <v>1.3684099533822427E-23</v>
      </c>
      <c r="FT188" s="24">
        <f t="shared" si="184"/>
        <v>0.7595626501097138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10.256410256410078</v>
      </c>
      <c r="O189" s="14">
        <f>N189*VLOOKUP('Données projet'!$B$9,Paramètres!$A$1:$I$89,3,0)*VLOOKUP('Données projet'!$B$9,Paramètres!$A$1:$I$89,5,0)</f>
        <v>9.7599999999998293</v>
      </c>
      <c r="P189" s="14">
        <f t="shared" si="141"/>
        <v>3.4500860232767008</v>
      </c>
      <c r="Q189" s="22">
        <f t="shared" si="162"/>
        <v>23.007566490539954</v>
      </c>
      <c r="R189" s="60">
        <f t="shared" si="109"/>
        <v>316.34089982387326</v>
      </c>
      <c r="S189" s="60">
        <f ca="1">AVERAGE(OFFSET($R$3,0,0,'Données projet'!$E$9+1,1))-AVERAGE(OFFSET($H$3,0,0,'Données projet'!$E$9+1,1))</f>
        <v>353.61481736740694</v>
      </c>
      <c r="T189" s="60">
        <f t="shared" si="142"/>
        <v>244.7141066773861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-9.3464223027694966E-13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455.50822833641354</v>
      </c>
      <c r="AO189" s="60">
        <f t="shared" si="144"/>
        <v>261.14722581688039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-1.0100166036863811E-12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488.7825919901664</v>
      </c>
      <c r="BJ189" s="60">
        <f t="shared" si="146"/>
        <v>278.78817181412438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-9.7986685432260874E-13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475.47920969424894</v>
      </c>
      <c r="CE189" s="60">
        <f t="shared" si="148"/>
        <v>271.73544012419364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-8.7434273154940449E-13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428.8489304403459</v>
      </c>
      <c r="CZ189" s="60">
        <f t="shared" si="150"/>
        <v>247.01165577562966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-1.0401663530501537E-12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502.07782026233912</v>
      </c>
      <c r="DU189" s="60">
        <f t="shared" si="152"/>
        <v>285.83623046025156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-2.2737367544323206E-13</v>
      </c>
      <c r="EK189" s="18">
        <f>EJ189*VLOOKUP('Données projet'!$B$15,Paramètres!$A$1:$I$89,3,0)*VLOOKUP('Données projet'!$B$15,Paramètres!$A$1:$I$89,5,0)</f>
        <v>-1.3596945791505279E-13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392.62423122800357</v>
      </c>
      <c r="EP189" s="60">
        <f t="shared" si="154"/>
        <v>314.09619163968642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0.15010968553919635</v>
      </c>
      <c r="EX189" s="23">
        <f>EXP(-LN(2)/2)*EX188+(1-EXP(-LN(2)/2))/(LN(2)/2)*ER189*EU189*VLOOKUP('Données projet'!$B$15,Paramètres!$A$1:$I$89,3,0)*0.475*44/12</f>
        <v>5.8246577172297064E-23</v>
      </c>
      <c r="EY189" s="24">
        <f t="shared" si="181"/>
        <v>0.15010968553919635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207.03241199974599</v>
      </c>
      <c r="FK189" s="60">
        <f t="shared" si="156"/>
        <v>314.188568589113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0.61465362694862824</v>
      </c>
      <c r="FR189" s="23">
        <f>EXP(-LN(2)/25)*FR188+(1-EXP(-LN(2)/25))/(LN(2)/25)*Calculateur!FM189*Calculateur!FO189*VLOOKUP('Données projet'!$B$16,Paramètres!$A$1:$I$89,3,0)*0.475*44/12</f>
        <v>0.12898859829253043</v>
      </c>
      <c r="FS189" s="23">
        <f>EXP(-LN(2)/2)*FS188+(1-EXP(-LN(2)/2))/(LN(2)/2)*FM189*FP189*VLOOKUP('Données projet'!$B$16,Paramètres!$A$1:$I$89,3,0)*0.475*44/12</f>
        <v>9.6761195747975119E-24</v>
      </c>
      <c r="FT189" s="24">
        <f t="shared" si="184"/>
        <v>0.74364222524115864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10.256410256410078</v>
      </c>
      <c r="O190" s="14">
        <f>N190*VLOOKUP('Données projet'!$B$9,Paramètres!$A$1:$I$89,3,0)*VLOOKUP('Données projet'!$B$9,Paramètres!$A$1:$I$89,5,0)</f>
        <v>9.7599999999998293</v>
      </c>
      <c r="P190" s="14">
        <f t="shared" si="141"/>
        <v>3.4500860232767008</v>
      </c>
      <c r="Q190" s="22">
        <f t="shared" si="162"/>
        <v>23.007566490539954</v>
      </c>
      <c r="R190" s="60">
        <f t="shared" si="109"/>
        <v>316.34089982387326</v>
      </c>
      <c r="S190" s="60">
        <f ca="1">AVERAGE(OFFSET($R$3,0,0,'Données projet'!$E$9+1,1))-AVERAGE(OFFSET($H$3,0,0,'Données projet'!$E$9+1,1))</f>
        <v>353.61481736740694</v>
      </c>
      <c r="T190" s="60">
        <f t="shared" si="142"/>
        <v>244.7141066773861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-9.3464223027694966E-13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455.50822833641354</v>
      </c>
      <c r="AO190" s="60">
        <f t="shared" si="144"/>
        <v>261.14722581688039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-1.0100166036863811E-12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488.7825919901664</v>
      </c>
      <c r="BJ190" s="60">
        <f t="shared" si="146"/>
        <v>278.78817181412438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-9.7986685432260874E-13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475.47920969424894</v>
      </c>
      <c r="CE190" s="60">
        <f t="shared" si="148"/>
        <v>271.73544012419364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-8.7434273154940449E-13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428.8489304403459</v>
      </c>
      <c r="CZ190" s="60">
        <f t="shared" si="150"/>
        <v>247.01165577562966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-1.0401663530501537E-12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502.07782026233912</v>
      </c>
      <c r="DU190" s="60">
        <f t="shared" si="152"/>
        <v>285.83623046025156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-2.2737367544323206E-13</v>
      </c>
      <c r="EK190" s="18">
        <f>EJ190*VLOOKUP('Données projet'!$B$15,Paramètres!$A$1:$I$89,3,0)*VLOOKUP('Données projet'!$B$15,Paramètres!$A$1:$I$89,5,0)</f>
        <v>-1.3596945791505279E-13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392.62423122800357</v>
      </c>
      <c r="EP190" s="60">
        <f t="shared" si="154"/>
        <v>314.09619163968642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0.14600492829420175</v>
      </c>
      <c r="EX190" s="23">
        <f>EXP(-LN(2)/2)*EX189+(1-EXP(-LN(2)/2))/(LN(2)/2)*ER190*EU190*VLOOKUP('Données projet'!$B$15,Paramètres!$A$1:$I$89,3,0)*0.475*44/12</f>
        <v>4.1186549699436815E-23</v>
      </c>
      <c r="EY190" s="24">
        <f t="shared" si="181"/>
        <v>0.14600492829420175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207.03241199974599</v>
      </c>
      <c r="FK190" s="60">
        <f t="shared" si="156"/>
        <v>314.188568589113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0.60260064422585957</v>
      </c>
      <c r="FR190" s="23">
        <f>EXP(-LN(2)/25)*FR189+(1-EXP(-LN(2)/25))/(LN(2)/25)*Calculateur!FM190*Calculateur!FO190*VLOOKUP('Données projet'!$B$16,Paramètres!$A$1:$I$89,3,0)*0.475*44/12</f>
        <v>0.1254613982890056</v>
      </c>
      <c r="FS190" s="23">
        <f>EXP(-LN(2)/2)*FS189+(1-EXP(-LN(2)/2))/(LN(2)/2)*FM190*FP190*VLOOKUP('Données projet'!$B$16,Paramètres!$A$1:$I$89,3,0)*0.475*44/12</f>
        <v>6.8420497669112134E-24</v>
      </c>
      <c r="FT190" s="24">
        <f t="shared" si="184"/>
        <v>0.72806204251486517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10.256410256410078</v>
      </c>
      <c r="O191" s="14">
        <f>N191*VLOOKUP('Données projet'!$B$9,Paramètres!$A$1:$I$89,3,0)*VLOOKUP('Données projet'!$B$9,Paramètres!$A$1:$I$89,5,0)</f>
        <v>9.7599999999998293</v>
      </c>
      <c r="P191" s="14">
        <f t="shared" si="141"/>
        <v>3.4500860232767008</v>
      </c>
      <c r="Q191" s="22">
        <f t="shared" si="162"/>
        <v>23.007566490539954</v>
      </c>
      <c r="R191" s="60">
        <f t="shared" si="109"/>
        <v>316.34089982387326</v>
      </c>
      <c r="S191" s="60">
        <f ca="1">AVERAGE(OFFSET($R$3,0,0,'Données projet'!$E$9+1,1))-AVERAGE(OFFSET($H$3,0,0,'Données projet'!$E$9+1,1))</f>
        <v>353.61481736740694</v>
      </c>
      <c r="T191" s="60">
        <f t="shared" si="142"/>
        <v>244.7141066773861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-9.3464223027694966E-13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455.50822833641354</v>
      </c>
      <c r="AO191" s="60">
        <f t="shared" si="144"/>
        <v>261.14722581688039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-1.0100166036863811E-12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488.7825919901664</v>
      </c>
      <c r="BJ191" s="60">
        <f t="shared" si="146"/>
        <v>278.78817181412438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-9.7986685432260874E-13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475.47920969424894</v>
      </c>
      <c r="CE191" s="60">
        <f t="shared" si="148"/>
        <v>271.73544012419364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-8.7434273154940449E-13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428.8489304403459</v>
      </c>
      <c r="CZ191" s="60">
        <f t="shared" si="150"/>
        <v>247.01165577562966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-1.0401663530501537E-12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502.07782026233912</v>
      </c>
      <c r="DU191" s="60">
        <f t="shared" si="152"/>
        <v>285.83623046025156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-2.2737367544323206E-13</v>
      </c>
      <c r="EK191" s="18">
        <f>EJ191*VLOOKUP('Données projet'!$B$15,Paramètres!$A$1:$I$89,3,0)*VLOOKUP('Données projet'!$B$15,Paramètres!$A$1:$I$89,5,0)</f>
        <v>-1.3596945791505279E-13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392.62423122800357</v>
      </c>
      <c r="EP191" s="60">
        <f t="shared" si="154"/>
        <v>314.09619163968642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0.14201241585193133</v>
      </c>
      <c r="EX191" s="23">
        <f>EXP(-LN(2)/2)*EX190+(1-EXP(-LN(2)/2))/(LN(2)/2)*ER191*EU191*VLOOKUP('Données projet'!$B$15,Paramètres!$A$1:$I$89,3,0)*0.475*44/12</f>
        <v>2.9123288586148532E-23</v>
      </c>
      <c r="EY191" s="24">
        <f t="shared" si="181"/>
        <v>0.14201241585193133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207.03241199974599</v>
      </c>
      <c r="FK191" s="60">
        <f t="shared" si="156"/>
        <v>314.188568589113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0.59078401314269091</v>
      </c>
      <c r="FR191" s="23">
        <f>EXP(-LN(2)/25)*FR190+(1-EXP(-LN(2)/25))/(LN(2)/25)*Calculateur!FM191*Calculateur!FO191*VLOOKUP('Données projet'!$B$16,Paramètres!$A$1:$I$89,3,0)*0.475*44/12</f>
        <v>0.12203064975506456</v>
      </c>
      <c r="FS191" s="23">
        <f>EXP(-LN(2)/2)*FS190+(1-EXP(-LN(2)/2))/(LN(2)/2)*FM191*FP191*VLOOKUP('Données projet'!$B$16,Paramètres!$A$1:$I$89,3,0)*0.475*44/12</f>
        <v>4.8380597873987559E-24</v>
      </c>
      <c r="FT191" s="24">
        <f t="shared" si="184"/>
        <v>0.71281466289775541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10.256410256410078</v>
      </c>
      <c r="O192" s="14">
        <f>N192*VLOOKUP('Données projet'!$B$9,Paramètres!$A$1:$I$89,3,0)*VLOOKUP('Données projet'!$B$9,Paramètres!$A$1:$I$89,5,0)</f>
        <v>9.7599999999998293</v>
      </c>
      <c r="P192" s="14">
        <f t="shared" si="141"/>
        <v>3.4500860232767008</v>
      </c>
      <c r="Q192" s="22">
        <f t="shared" si="162"/>
        <v>23.007566490539954</v>
      </c>
      <c r="R192" s="60">
        <f t="shared" si="109"/>
        <v>316.34089982387326</v>
      </c>
      <c r="S192" s="60">
        <f ca="1">AVERAGE(OFFSET($R$3,0,0,'Données projet'!$E$9+1,1))-AVERAGE(OFFSET($H$3,0,0,'Données projet'!$E$9+1,1))</f>
        <v>353.61481736740694</v>
      </c>
      <c r="T192" s="60">
        <f t="shared" si="142"/>
        <v>244.7141066773861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-9.3464223027694966E-13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455.50822833641354</v>
      </c>
      <c r="AO192" s="60">
        <f t="shared" si="144"/>
        <v>261.14722581688039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-1.0100166036863811E-12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488.7825919901664</v>
      </c>
      <c r="BJ192" s="60">
        <f t="shared" si="146"/>
        <v>278.78817181412438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-9.7986685432260874E-13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475.47920969424894</v>
      </c>
      <c r="CE192" s="60">
        <f t="shared" si="148"/>
        <v>271.73544012419364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-8.7434273154940449E-13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428.8489304403459</v>
      </c>
      <c r="CZ192" s="60">
        <f t="shared" si="150"/>
        <v>247.01165577562966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-1.0401663530501537E-12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502.07782026233912</v>
      </c>
      <c r="DU192" s="60">
        <f t="shared" si="152"/>
        <v>285.83623046025156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-2.2737367544323206E-13</v>
      </c>
      <c r="EK192" s="18">
        <f>EJ192*VLOOKUP('Données projet'!$B$15,Paramètres!$A$1:$I$89,3,0)*VLOOKUP('Données projet'!$B$15,Paramètres!$A$1:$I$89,5,0)</f>
        <v>-1.3596945791505279E-13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392.62423122800357</v>
      </c>
      <c r="EP192" s="60">
        <f t="shared" si="154"/>
        <v>314.09619163968642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0.1381290788723519</v>
      </c>
      <c r="EX192" s="23">
        <f>EXP(-LN(2)/2)*EX191+(1-EXP(-LN(2)/2))/(LN(2)/2)*ER192*EU192*VLOOKUP('Données projet'!$B$15,Paramètres!$A$1:$I$89,3,0)*0.475*44/12</f>
        <v>2.0593274849718407E-23</v>
      </c>
      <c r="EY192" s="24">
        <f t="shared" si="181"/>
        <v>0.1381290788723519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207.03241199974599</v>
      </c>
      <c r="FK192" s="60">
        <f t="shared" si="156"/>
        <v>314.188568589113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0.57919909898762989</v>
      </c>
      <c r="FR192" s="23">
        <f>EXP(-LN(2)/25)*FR191+(1-EXP(-LN(2)/25))/(LN(2)/25)*Calculateur!FM192*Calculateur!FO192*VLOOKUP('Données projet'!$B$16,Paramètres!$A$1:$I$89,3,0)*0.475*44/12</f>
        <v>0.11869371522019935</v>
      </c>
      <c r="FS192" s="23">
        <f>EXP(-LN(2)/2)*FS191+(1-EXP(-LN(2)/2))/(LN(2)/2)*FM192*FP192*VLOOKUP('Données projet'!$B$16,Paramètres!$A$1:$I$89,3,0)*0.475*44/12</f>
        <v>3.4210248834556067E-24</v>
      </c>
      <c r="FT192" s="24">
        <f t="shared" si="184"/>
        <v>0.69789281420782923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10.256410256410078</v>
      </c>
      <c r="O193" s="14">
        <f>N193*VLOOKUP('Données projet'!$B$9,Paramètres!$A$1:$I$89,3,0)*VLOOKUP('Données projet'!$B$9,Paramètres!$A$1:$I$89,5,0)</f>
        <v>9.7599999999998293</v>
      </c>
      <c r="P193" s="14">
        <f t="shared" si="141"/>
        <v>3.4500860232767008</v>
      </c>
      <c r="Q193" s="22">
        <f t="shared" si="162"/>
        <v>23.007566490539954</v>
      </c>
      <c r="R193" s="60">
        <f t="shared" si="109"/>
        <v>316.34089982387326</v>
      </c>
      <c r="S193" s="60">
        <f ca="1">AVERAGE(OFFSET($R$3,0,0,'Données projet'!$E$9+1,1))-AVERAGE(OFFSET($H$3,0,0,'Données projet'!$E$9+1,1))</f>
        <v>353.61481736740694</v>
      </c>
      <c r="T193" s="60">
        <f t="shared" si="142"/>
        <v>244.7141066773861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-9.3464223027694966E-13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455.50822833641354</v>
      </c>
      <c r="AO193" s="60">
        <f t="shared" si="144"/>
        <v>261.14722581688039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-1.0100166036863811E-12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488.7825919901664</v>
      </c>
      <c r="BJ193" s="60">
        <f t="shared" si="146"/>
        <v>278.78817181412438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-9.7986685432260874E-13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475.47920969424894</v>
      </c>
      <c r="CE193" s="60">
        <f t="shared" si="148"/>
        <v>271.73544012419364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-8.7434273154940449E-13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428.8489304403459</v>
      </c>
      <c r="CZ193" s="60">
        <f t="shared" si="150"/>
        <v>247.01165577562966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-1.0401663530501537E-12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502.07782026233912</v>
      </c>
      <c r="DU193" s="60">
        <f t="shared" si="152"/>
        <v>285.83623046025156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-2.2737367544323206E-13</v>
      </c>
      <c r="EK193" s="18">
        <f>EJ193*VLOOKUP('Données projet'!$B$15,Paramètres!$A$1:$I$89,3,0)*VLOOKUP('Données projet'!$B$15,Paramètres!$A$1:$I$89,5,0)</f>
        <v>-1.3596945791505279E-13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392.62423122800357</v>
      </c>
      <c r="EP193" s="60">
        <f t="shared" si="154"/>
        <v>314.09619163968642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0.13435193194669487</v>
      </c>
      <c r="EX193" s="23">
        <f>EXP(-LN(2)/2)*EX192+(1-EXP(-LN(2)/2))/(LN(2)/2)*ER193*EU193*VLOOKUP('Données projet'!$B$15,Paramètres!$A$1:$I$89,3,0)*0.475*44/12</f>
        <v>1.4561644293074266E-23</v>
      </c>
      <c r="EY193" s="24">
        <f t="shared" si="181"/>
        <v>0.13435193194669487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207.03241199974599</v>
      </c>
      <c r="FK193" s="60">
        <f t="shared" si="156"/>
        <v>314.188568589113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0.56784135793304968</v>
      </c>
      <c r="FR193" s="23">
        <f>EXP(-LN(2)/25)*FR192+(1-EXP(-LN(2)/25))/(LN(2)/25)*Calculateur!FM193*Calculateur!FO193*VLOOKUP('Données projet'!$B$16,Paramètres!$A$1:$I$89,3,0)*0.475*44/12</f>
        <v>0.11544802933567179</v>
      </c>
      <c r="FS193" s="23">
        <f>EXP(-LN(2)/2)*FS192+(1-EXP(-LN(2)/2))/(LN(2)/2)*FM193*FP193*VLOOKUP('Données projet'!$B$16,Paramètres!$A$1:$I$89,3,0)*0.475*44/12</f>
        <v>2.419029893699378E-24</v>
      </c>
      <c r="FT193" s="24">
        <f t="shared" si="184"/>
        <v>0.68328938726872146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10.256410256410078</v>
      </c>
      <c r="O194" s="14">
        <f>N194*VLOOKUP('Données projet'!$B$9,Paramètres!$A$1:$I$89,3,0)*VLOOKUP('Données projet'!$B$9,Paramètres!$A$1:$I$89,5,0)</f>
        <v>9.7599999999998293</v>
      </c>
      <c r="P194" s="14">
        <f t="shared" si="141"/>
        <v>3.4500860232767008</v>
      </c>
      <c r="Q194" s="22">
        <f t="shared" si="162"/>
        <v>23.007566490539954</v>
      </c>
      <c r="R194" s="60">
        <f t="shared" si="109"/>
        <v>316.34089982387326</v>
      </c>
      <c r="S194" s="60">
        <f ca="1">AVERAGE(OFFSET($R$3,0,0,'Données projet'!$E$9+1,1))-AVERAGE(OFFSET($H$3,0,0,'Données projet'!$E$9+1,1))</f>
        <v>353.61481736740694</v>
      </c>
      <c r="T194" s="60">
        <f t="shared" si="142"/>
        <v>244.7141066773861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-9.3464223027694966E-13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455.50822833641354</v>
      </c>
      <c r="AO194" s="60">
        <f t="shared" si="144"/>
        <v>261.14722581688039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-1.0100166036863811E-12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488.7825919901664</v>
      </c>
      <c r="BJ194" s="60">
        <f t="shared" si="146"/>
        <v>278.78817181412438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-9.7986685432260874E-13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475.47920969424894</v>
      </c>
      <c r="CE194" s="60">
        <f t="shared" si="148"/>
        <v>271.73544012419364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-8.7434273154940449E-13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428.8489304403459</v>
      </c>
      <c r="CZ194" s="60">
        <f t="shared" si="150"/>
        <v>247.01165577562966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-1.0401663530501537E-12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502.07782026233912</v>
      </c>
      <c r="DU194" s="60">
        <f t="shared" si="152"/>
        <v>285.83623046025156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-2.2737367544323206E-13</v>
      </c>
      <c r="EK194" s="18">
        <f>EJ194*VLOOKUP('Données projet'!$B$15,Paramètres!$A$1:$I$89,3,0)*VLOOKUP('Données projet'!$B$15,Paramètres!$A$1:$I$89,5,0)</f>
        <v>-1.3596945791505279E-13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392.62423122800357</v>
      </c>
      <c r="EP194" s="60">
        <f t="shared" si="154"/>
        <v>314.09619163968642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0.13067807130235146</v>
      </c>
      <c r="EX194" s="23">
        <f>EXP(-LN(2)/2)*EX193+(1-EXP(-LN(2)/2))/(LN(2)/2)*ER194*EU194*VLOOKUP('Données projet'!$B$15,Paramètres!$A$1:$I$89,3,0)*0.475*44/12</f>
        <v>1.0296637424859204E-23</v>
      </c>
      <c r="EY194" s="24">
        <f t="shared" si="181"/>
        <v>0.13067807130235146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207.03241199974599</v>
      </c>
      <c r="FK194" s="60">
        <f t="shared" si="156"/>
        <v>314.188568589113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0.55670633525301183</v>
      </c>
      <c r="FR194" s="23">
        <f>EXP(-LN(2)/25)*FR193+(1-EXP(-LN(2)/25))/(LN(2)/25)*Calculateur!FM194*Calculateur!FO194*VLOOKUP('Données projet'!$B$16,Paramètres!$A$1:$I$89,3,0)*0.475*44/12</f>
        <v>0.11229109690233985</v>
      </c>
      <c r="FS194" s="23">
        <f>EXP(-LN(2)/2)*FS193+(1-EXP(-LN(2)/2))/(LN(2)/2)*FM194*FP194*VLOOKUP('Données projet'!$B$16,Paramètres!$A$1:$I$89,3,0)*0.475*44/12</f>
        <v>1.7105124417278033E-24</v>
      </c>
      <c r="FT194" s="24">
        <f t="shared" si="184"/>
        <v>0.66899743215535168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10.256410256410078</v>
      </c>
      <c r="O195" s="14">
        <f>N195*VLOOKUP('Données projet'!$B$9,Paramètres!$A$1:$I$89,3,0)*VLOOKUP('Données projet'!$B$9,Paramètres!$A$1:$I$89,5,0)</f>
        <v>9.7599999999998293</v>
      </c>
      <c r="P195" s="14">
        <f t="shared" si="141"/>
        <v>3.4500860232767008</v>
      </c>
      <c r="Q195" s="22">
        <f t="shared" si="162"/>
        <v>23.007566490539954</v>
      </c>
      <c r="R195" s="60">
        <f t="shared" ref="R195:R203" si="191">Q195+(I195+J195)*44/12</f>
        <v>316.34089982387326</v>
      </c>
      <c r="S195" s="60">
        <f ca="1">AVERAGE(OFFSET($R$3,0,0,'Données projet'!$E$9+1,1))-AVERAGE(OFFSET($H$3,0,0,'Données projet'!$E$9+1,1))</f>
        <v>353.61481736740694</v>
      </c>
      <c r="T195" s="60">
        <f t="shared" si="142"/>
        <v>244.7141066773861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-9.3464223027694966E-13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455.50822833641354</v>
      </c>
      <c r="AO195" s="60">
        <f t="shared" si="144"/>
        <v>261.14722581688039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-1.0100166036863811E-12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488.7825919901664</v>
      </c>
      <c r="BJ195" s="60">
        <f t="shared" si="146"/>
        <v>278.78817181412438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-9.7986685432260874E-13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475.47920969424894</v>
      </c>
      <c r="CE195" s="60">
        <f t="shared" si="148"/>
        <v>271.73544012419364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-8.7434273154940449E-13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428.8489304403459</v>
      </c>
      <c r="CZ195" s="60">
        <f t="shared" si="150"/>
        <v>247.01165577562966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-1.0401663530501537E-12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502.07782026233912</v>
      </c>
      <c r="DU195" s="60">
        <f t="shared" si="152"/>
        <v>285.83623046025156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-2.2737367544323206E-13</v>
      </c>
      <c r="EK195" s="18">
        <f>EJ195*VLOOKUP('Données projet'!$B$15,Paramètres!$A$1:$I$89,3,0)*VLOOKUP('Données projet'!$B$15,Paramètres!$A$1:$I$89,5,0)</f>
        <v>-1.3596945791505279E-13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392.62423122800357</v>
      </c>
      <c r="EP195" s="60">
        <f t="shared" si="154"/>
        <v>314.09619163968642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0.12710467257052754</v>
      </c>
      <c r="EX195" s="23">
        <f>EXP(-LN(2)/2)*EX194+(1-EXP(-LN(2)/2))/(LN(2)/2)*ER195*EU195*VLOOKUP('Données projet'!$B$15,Paramètres!$A$1:$I$89,3,0)*0.475*44/12</f>
        <v>7.280822146537133E-24</v>
      </c>
      <c r="EY195" s="24">
        <f t="shared" si="181"/>
        <v>0.12710467257052754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207.03241199974599</v>
      </c>
      <c r="FK195" s="60">
        <f t="shared" si="156"/>
        <v>314.188568589113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0.54578966357603631</v>
      </c>
      <c r="FR195" s="23">
        <f>EXP(-LN(2)/25)*FR194+(1-EXP(-LN(2)/25))/(LN(2)/25)*Calculateur!FM195*Calculateur!FO195*VLOOKUP('Données projet'!$B$16,Paramètres!$A$1:$I$89,3,0)*0.475*44/12</f>
        <v>0.10922049095241322</v>
      </c>
      <c r="FS195" s="23">
        <f>EXP(-LN(2)/2)*FS194+(1-EXP(-LN(2)/2))/(LN(2)/2)*FM195*FP195*VLOOKUP('Données projet'!$B$16,Paramètres!$A$1:$I$89,3,0)*0.475*44/12</f>
        <v>1.209514946849689E-24</v>
      </c>
      <c r="FT195" s="24">
        <f t="shared" si="184"/>
        <v>0.65501015452844957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10.256410256410078</v>
      </c>
      <c r="O196" s="14">
        <f>N196*VLOOKUP('Données projet'!$B$9,Paramètres!$A$1:$I$89,3,0)*VLOOKUP('Données projet'!$B$9,Paramètres!$A$1:$I$89,5,0)</f>
        <v>9.7599999999998293</v>
      </c>
      <c r="P196" s="14">
        <f t="shared" si="141"/>
        <v>3.4500860232767008</v>
      </c>
      <c r="Q196" s="22">
        <f t="shared" si="162"/>
        <v>23.007566490539954</v>
      </c>
      <c r="R196" s="60">
        <f t="shared" si="191"/>
        <v>316.34089982387326</v>
      </c>
      <c r="S196" s="60">
        <f ca="1">AVERAGE(OFFSET($R$3,0,0,'Données projet'!$E$9+1,1))-AVERAGE(OFFSET($H$3,0,0,'Données projet'!$E$9+1,1))</f>
        <v>353.61481736740694</v>
      </c>
      <c r="T196" s="60">
        <f t="shared" si="142"/>
        <v>244.7141066773861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-9.3464223027694966E-13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455.50822833641354</v>
      </c>
      <c r="AO196" s="60">
        <f t="shared" si="144"/>
        <v>261.14722581688039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-1.0100166036863811E-12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488.7825919901664</v>
      </c>
      <c r="BJ196" s="60">
        <f t="shared" si="146"/>
        <v>278.78817181412438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-9.7986685432260874E-13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475.47920969424894</v>
      </c>
      <c r="CE196" s="60">
        <f t="shared" si="148"/>
        <v>271.73544012419364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-8.7434273154940449E-13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428.8489304403459</v>
      </c>
      <c r="CZ196" s="60">
        <f t="shared" si="150"/>
        <v>247.01165577562966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-1.0401663530501537E-12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502.07782026233912</v>
      </c>
      <c r="DU196" s="60">
        <f t="shared" si="152"/>
        <v>285.83623046025156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-2.2737367544323206E-13</v>
      </c>
      <c r="EK196" s="18">
        <f>EJ196*VLOOKUP('Données projet'!$B$15,Paramètres!$A$1:$I$89,3,0)*VLOOKUP('Données projet'!$B$15,Paramètres!$A$1:$I$89,5,0)</f>
        <v>-1.3596945791505279E-13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392.62423122800357</v>
      </c>
      <c r="EP196" s="60">
        <f t="shared" si="154"/>
        <v>314.09619163968642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0.12362898861494225</v>
      </c>
      <c r="EX196" s="23">
        <f>EXP(-LN(2)/2)*EX195+(1-EXP(-LN(2)/2))/(LN(2)/2)*ER196*EU196*VLOOKUP('Données projet'!$B$15,Paramètres!$A$1:$I$89,3,0)*0.475*44/12</f>
        <v>5.1483187124296018E-24</v>
      </c>
      <c r="EY196" s="24">
        <f t="shared" si="181"/>
        <v>0.12362898861494225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207.03241199974599</v>
      </c>
      <c r="FK196" s="60">
        <f t="shared" si="156"/>
        <v>314.188568589113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0.535087061172134</v>
      </c>
      <c r="FR196" s="23">
        <f>EXP(-LN(2)/25)*FR195+(1-EXP(-LN(2)/25))/(LN(2)/25)*Calculateur!FM196*Calculateur!FO196*VLOOKUP('Données projet'!$B$16,Paramètres!$A$1:$I$89,3,0)*0.475*44/12</f>
        <v>0.10623385088366349</v>
      </c>
      <c r="FS196" s="23">
        <f>EXP(-LN(2)/2)*FS195+(1-EXP(-LN(2)/2))/(LN(2)/2)*FM196*FP196*VLOOKUP('Données projet'!$B$16,Paramètres!$A$1:$I$89,3,0)*0.475*44/12</f>
        <v>8.5525622086390167E-25</v>
      </c>
      <c r="FT196" s="24">
        <f t="shared" si="184"/>
        <v>0.64132091205579744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10.256410256410078</v>
      </c>
      <c r="O197" s="14">
        <f>N197*VLOOKUP('Données projet'!$B$9,Paramètres!$A$1:$I$89,3,0)*VLOOKUP('Données projet'!$B$9,Paramètres!$A$1:$I$89,5,0)</f>
        <v>9.7599999999998293</v>
      </c>
      <c r="P197" s="14">
        <f t="shared" ref="P197:P203" si="203">EXP(-1.0587+0.8836*LN(O197)+0.284)</f>
        <v>3.4500860232767008</v>
      </c>
      <c r="Q197" s="22">
        <f t="shared" si="162"/>
        <v>23.007566490539954</v>
      </c>
      <c r="R197" s="60">
        <f t="shared" si="191"/>
        <v>316.34089982387326</v>
      </c>
      <c r="S197" s="60">
        <f ca="1">AVERAGE(OFFSET($R$3,0,0,'Données projet'!$E$9+1,1))-AVERAGE(OFFSET($H$3,0,0,'Données projet'!$E$9+1,1))</f>
        <v>353.61481736740694</v>
      </c>
      <c r="T197" s="60">
        <f t="shared" ref="T197:T203" si="204">$T$3</f>
        <v>244.7141066773861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-9.3464223027694966E-13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455.50822833641354</v>
      </c>
      <c r="AO197" s="60">
        <f t="shared" ref="AO197:AO203" si="205">$AO$3</f>
        <v>261.14722581688039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-1.0100166036863811E-12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488.7825919901664</v>
      </c>
      <c r="BJ197" s="60">
        <f t="shared" ref="BJ197:BJ203" si="206">$BJ$3</f>
        <v>278.78817181412438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-9.7986685432260874E-13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475.47920969424894</v>
      </c>
      <c r="CE197" s="60">
        <f t="shared" ref="CE197:CE203" si="207">$CE$3</f>
        <v>271.73544012419364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-8.7434273154940449E-13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428.8489304403459</v>
      </c>
      <c r="CZ197" s="60">
        <f t="shared" ref="CZ197:CZ203" si="208">$CZ$3</f>
        <v>247.01165577562966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-1.0401663530501537E-12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502.07782026233912</v>
      </c>
      <c r="DU197" s="60">
        <f t="shared" ref="DU197:DU203" si="209">$DU$3</f>
        <v>285.83623046025156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-2.2737367544323206E-13</v>
      </c>
      <c r="EK197" s="18">
        <f>EJ197*VLOOKUP('Données projet'!$B$15,Paramètres!$A$1:$I$89,3,0)*VLOOKUP('Données projet'!$B$15,Paramètres!$A$1:$I$89,5,0)</f>
        <v>-1.3596945791505279E-13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392.62423122800357</v>
      </c>
      <c r="EP197" s="60">
        <f t="shared" ref="EP197:EP203" si="210">$EP$3</f>
        <v>314.09619163968642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0.1202483474199007</v>
      </c>
      <c r="EX197" s="23">
        <f>EXP(-LN(2)/2)*EX196+(1-EXP(-LN(2)/2))/(LN(2)/2)*ER197*EU197*VLOOKUP('Données projet'!$B$15,Paramètres!$A$1:$I$89,3,0)*0.475*44/12</f>
        <v>3.6404110732685665E-24</v>
      </c>
      <c r="EY197" s="24">
        <f t="shared" si="181"/>
        <v>0.1202483474199007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207.03241199974599</v>
      </c>
      <c r="FK197" s="60">
        <f t="shared" ref="FK197:FK203" si="211">$FK$3</f>
        <v>314.188568589113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0.52459433027342928</v>
      </c>
      <c r="FR197" s="23">
        <f>EXP(-LN(2)/25)*FR196+(1-EXP(-LN(2)/25))/(LN(2)/25)*Calculateur!FM197*Calculateur!FO197*VLOOKUP('Données projet'!$B$16,Paramètres!$A$1:$I$89,3,0)*0.475*44/12</f>
        <v>0.1033288806446543</v>
      </c>
      <c r="FS197" s="23">
        <f>EXP(-LN(2)/2)*FS196+(1-EXP(-LN(2)/2))/(LN(2)/2)*FM197*FP197*VLOOKUP('Données projet'!$B$16,Paramètres!$A$1:$I$89,3,0)*0.475*44/12</f>
        <v>6.0475747342484449E-25</v>
      </c>
      <c r="FT197" s="24">
        <f t="shared" si="184"/>
        <v>0.62792321091808356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10.256410256410078</v>
      </c>
      <c r="O198" s="14">
        <f>N198*VLOOKUP('Données projet'!$B$9,Paramètres!$A$1:$I$89,3,0)*VLOOKUP('Données projet'!$B$9,Paramètres!$A$1:$I$89,5,0)</f>
        <v>9.7599999999998293</v>
      </c>
      <c r="P198" s="14">
        <f t="shared" si="203"/>
        <v>3.4500860232767008</v>
      </c>
      <c r="Q198" s="22">
        <f t="shared" si="162"/>
        <v>23.007566490539954</v>
      </c>
      <c r="R198" s="60">
        <f t="shared" si="191"/>
        <v>316.34089982387326</v>
      </c>
      <c r="S198" s="60">
        <f ca="1">AVERAGE(OFFSET($R$3,0,0,'Données projet'!$E$9+1,1))-AVERAGE(OFFSET($H$3,0,0,'Données projet'!$E$9+1,1))</f>
        <v>353.61481736740694</v>
      </c>
      <c r="T198" s="60">
        <f t="shared" si="204"/>
        <v>244.7141066773861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-9.3464223027694966E-13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455.50822833641354</v>
      </c>
      <c r="AO198" s="60">
        <f t="shared" si="205"/>
        <v>261.14722581688039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-1.0100166036863811E-12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488.7825919901664</v>
      </c>
      <c r="BJ198" s="60">
        <f t="shared" si="206"/>
        <v>278.78817181412438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-9.7986685432260874E-13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475.47920969424894</v>
      </c>
      <c r="CE198" s="60">
        <f t="shared" si="207"/>
        <v>271.73544012419364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-8.7434273154940449E-13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428.8489304403459</v>
      </c>
      <c r="CZ198" s="60">
        <f t="shared" si="208"/>
        <v>247.01165577562966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-1.0401663530501537E-12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502.07782026233912</v>
      </c>
      <c r="DU198" s="60">
        <f t="shared" si="209"/>
        <v>285.83623046025156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-2.2737367544323206E-13</v>
      </c>
      <c r="EK198" s="18">
        <f>EJ198*VLOOKUP('Données projet'!$B$15,Paramètres!$A$1:$I$89,3,0)*VLOOKUP('Données projet'!$B$15,Paramètres!$A$1:$I$89,5,0)</f>
        <v>-1.3596945791505279E-13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392.62423122800357</v>
      </c>
      <c r="EP198" s="60">
        <f t="shared" si="210"/>
        <v>314.09619163968642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0.11696015003611776</v>
      </c>
      <c r="EX198" s="23">
        <f>EXP(-LN(2)/2)*EX197+(1-EXP(-LN(2)/2))/(LN(2)/2)*ER198*EU198*VLOOKUP('Données projet'!$B$15,Paramètres!$A$1:$I$89,3,0)*0.475*44/12</f>
        <v>2.5741593562148009E-24</v>
      </c>
      <c r="EY198" s="24">
        <f t="shared" si="181"/>
        <v>0.11696015003611776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207.03241199974599</v>
      </c>
      <c r="FK198" s="60">
        <f t="shared" si="211"/>
        <v>314.188568589113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0.51430735542771433</v>
      </c>
      <c r="FR198" s="23">
        <f>EXP(-LN(2)/25)*FR197+(1-EXP(-LN(2)/25))/(LN(2)/25)*Calculateur!FM198*Calculateur!FO198*VLOOKUP('Données projet'!$B$16,Paramètres!$A$1:$I$89,3,0)*0.475*44/12</f>
        <v>0.10050334696959656</v>
      </c>
      <c r="FS198" s="23">
        <f>EXP(-LN(2)/2)*FS197+(1-EXP(-LN(2)/2))/(LN(2)/2)*FM198*FP198*VLOOKUP('Données projet'!$B$16,Paramètres!$A$1:$I$89,3,0)*0.475*44/12</f>
        <v>4.2762811043195084E-25</v>
      </c>
      <c r="FT198" s="24">
        <f t="shared" si="184"/>
        <v>0.61481070239731084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10.256410256410078</v>
      </c>
      <c r="O199" s="14">
        <f>N199*VLOOKUP('Données projet'!$B$9,Paramètres!$A$1:$I$89,3,0)*VLOOKUP('Données projet'!$B$9,Paramètres!$A$1:$I$89,5,0)</f>
        <v>9.7599999999998293</v>
      </c>
      <c r="P199" s="14">
        <f t="shared" si="203"/>
        <v>3.4500860232767008</v>
      </c>
      <c r="Q199" s="22">
        <f t="shared" si="162"/>
        <v>23.007566490539954</v>
      </c>
      <c r="R199" s="60">
        <f t="shared" si="191"/>
        <v>316.34089982387326</v>
      </c>
      <c r="S199" s="60">
        <f ca="1">AVERAGE(OFFSET($R$3,0,0,'Données projet'!$E$9+1,1))-AVERAGE(OFFSET($H$3,0,0,'Données projet'!$E$9+1,1))</f>
        <v>353.61481736740694</v>
      </c>
      <c r="T199" s="60">
        <f t="shared" si="204"/>
        <v>244.7141066773861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-9.3464223027694966E-13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455.50822833641354</v>
      </c>
      <c r="AO199" s="60">
        <f t="shared" si="205"/>
        <v>261.14722581688039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-1.0100166036863811E-12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488.7825919901664</v>
      </c>
      <c r="BJ199" s="60">
        <f t="shared" si="206"/>
        <v>278.78817181412438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-9.7986685432260874E-13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475.47920969424894</v>
      </c>
      <c r="CE199" s="60">
        <f t="shared" si="207"/>
        <v>271.73544012419364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-8.7434273154940449E-13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428.8489304403459</v>
      </c>
      <c r="CZ199" s="60">
        <f t="shared" si="208"/>
        <v>247.01165577562966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-1.0401663530501537E-12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502.07782026233912</v>
      </c>
      <c r="DU199" s="60">
        <f t="shared" si="209"/>
        <v>285.83623046025156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-2.2737367544323206E-13</v>
      </c>
      <c r="EK199" s="18">
        <f>EJ199*VLOOKUP('Données projet'!$B$15,Paramètres!$A$1:$I$89,3,0)*VLOOKUP('Données projet'!$B$15,Paramètres!$A$1:$I$89,5,0)</f>
        <v>-1.3596945791505279E-13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392.62423122800357</v>
      </c>
      <c r="EP199" s="60">
        <f t="shared" si="210"/>
        <v>314.09619163968642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0.11376186858271314</v>
      </c>
      <c r="EX199" s="23">
        <f>EXP(-LN(2)/2)*EX198+(1-EXP(-LN(2)/2))/(LN(2)/2)*ER199*EU199*VLOOKUP('Données projet'!$B$15,Paramètres!$A$1:$I$89,3,0)*0.475*44/12</f>
        <v>1.8202055366342833E-24</v>
      </c>
      <c r="EY199" s="24">
        <f t="shared" si="181"/>
        <v>0.11376186858271314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207.03241199974599</v>
      </c>
      <c r="FK199" s="60">
        <f t="shared" si="211"/>
        <v>314.188568589113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0.50422210188428873</v>
      </c>
      <c r="FR199" s="23">
        <f>EXP(-LN(2)/25)*FR198+(1-EXP(-LN(2)/25))/(LN(2)/25)*Calculateur!FM199*Calculateur!FO199*VLOOKUP('Données projet'!$B$16,Paramètres!$A$1:$I$89,3,0)*0.475*44/12</f>
        <v>9.7755077661471637E-2</v>
      </c>
      <c r="FS199" s="23">
        <f>EXP(-LN(2)/2)*FS198+(1-EXP(-LN(2)/2))/(LN(2)/2)*FM199*FP199*VLOOKUP('Données projet'!$B$16,Paramètres!$A$1:$I$89,3,0)*0.475*44/12</f>
        <v>3.0237873671242225E-25</v>
      </c>
      <c r="FT199" s="24">
        <f t="shared" si="184"/>
        <v>0.60197717954576035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10.256410256410078</v>
      </c>
      <c r="O200" s="14">
        <f>N200*VLOOKUP('Données projet'!$B$9,Paramètres!$A$1:$I$89,3,0)*VLOOKUP('Données projet'!$B$9,Paramètres!$A$1:$I$89,5,0)</f>
        <v>9.7599999999998293</v>
      </c>
      <c r="P200" s="14">
        <f t="shared" si="203"/>
        <v>3.4500860232767008</v>
      </c>
      <c r="Q200" s="22">
        <f t="shared" si="162"/>
        <v>23.007566490539954</v>
      </c>
      <c r="R200" s="60">
        <f t="shared" si="191"/>
        <v>316.34089982387326</v>
      </c>
      <c r="S200" s="60">
        <f ca="1">AVERAGE(OFFSET($R$3,0,0,'Données projet'!$E$9+1,1))-AVERAGE(OFFSET($H$3,0,0,'Données projet'!$E$9+1,1))</f>
        <v>353.61481736740694</v>
      </c>
      <c r="T200" s="60">
        <f t="shared" si="204"/>
        <v>244.7141066773861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-9.3464223027694966E-13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455.50822833641354</v>
      </c>
      <c r="AO200" s="60">
        <f t="shared" si="205"/>
        <v>261.14722581688039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-1.0100166036863811E-12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488.7825919901664</v>
      </c>
      <c r="BJ200" s="60">
        <f t="shared" si="206"/>
        <v>278.78817181412438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-9.7986685432260874E-13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475.47920969424894</v>
      </c>
      <c r="CE200" s="60">
        <f t="shared" si="207"/>
        <v>271.73544012419364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-8.7434273154940449E-13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428.8489304403459</v>
      </c>
      <c r="CZ200" s="60">
        <f t="shared" si="208"/>
        <v>247.01165577562966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-1.0401663530501537E-12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502.07782026233912</v>
      </c>
      <c r="DU200" s="60">
        <f t="shared" si="209"/>
        <v>285.83623046025156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-2.2737367544323206E-13</v>
      </c>
      <c r="EK200" s="18">
        <f>EJ200*VLOOKUP('Données projet'!$B$15,Paramètres!$A$1:$I$89,3,0)*VLOOKUP('Données projet'!$B$15,Paramètres!$A$1:$I$89,5,0)</f>
        <v>-1.3596945791505279E-13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392.62423122800357</v>
      </c>
      <c r="EP200" s="60">
        <f t="shared" si="210"/>
        <v>314.09619163968642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0.11065104430384219</v>
      </c>
      <c r="EX200" s="23">
        <f>EXP(-LN(2)/2)*EX199+(1-EXP(-LN(2)/2))/(LN(2)/2)*ER200*EU200*VLOOKUP('Données projet'!$B$15,Paramètres!$A$1:$I$89,3,0)*0.475*44/12</f>
        <v>1.2870796781074005E-24</v>
      </c>
      <c r="EY200" s="24">
        <f t="shared" si="181"/>
        <v>0.11065104430384219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207.03241199974599</v>
      </c>
      <c r="FK200" s="60">
        <f t="shared" si="211"/>
        <v>314.188568589113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0.4943346140114524</v>
      </c>
      <c r="FR200" s="23">
        <f>EXP(-LN(2)/25)*FR199+(1-EXP(-LN(2)/25))/(LN(2)/25)*Calculateur!FM200*Calculateur!FO200*VLOOKUP('Données projet'!$B$16,Paramètres!$A$1:$I$89,3,0)*0.475*44/12</f>
        <v>9.5081959922102582E-2</v>
      </c>
      <c r="FS200" s="23">
        <f>EXP(-LN(2)/2)*FS199+(1-EXP(-LN(2)/2))/(LN(2)/2)*FM200*FP200*VLOOKUP('Données projet'!$B$16,Paramètres!$A$1:$I$89,3,0)*0.475*44/12</f>
        <v>2.1381405521597542E-25</v>
      </c>
      <c r="FT200" s="24">
        <f t="shared" si="184"/>
        <v>0.58941657393355495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10.256410256410078</v>
      </c>
      <c r="O201" s="14">
        <f>N201*VLOOKUP('Données projet'!$B$9,Paramètres!$A$1:$I$89,3,0)*VLOOKUP('Données projet'!$B$9,Paramètres!$A$1:$I$89,5,0)</f>
        <v>9.7599999999998293</v>
      </c>
      <c r="P201" s="14">
        <f t="shared" si="203"/>
        <v>3.4500860232767008</v>
      </c>
      <c r="Q201" s="22">
        <f t="shared" si="162"/>
        <v>23.007566490539954</v>
      </c>
      <c r="R201" s="60">
        <f t="shared" si="191"/>
        <v>316.34089982387326</v>
      </c>
      <c r="S201" s="60">
        <f ca="1">AVERAGE(OFFSET($R$3,0,0,'Données projet'!$E$9+1,1))-AVERAGE(OFFSET($H$3,0,0,'Données projet'!$E$9+1,1))</f>
        <v>353.61481736740694</v>
      </c>
      <c r="T201" s="60">
        <f t="shared" si="204"/>
        <v>244.7141066773861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-9.3464223027694966E-13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455.50822833641354</v>
      </c>
      <c r="AO201" s="60">
        <f t="shared" si="205"/>
        <v>261.14722581688039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-1.0100166036863811E-12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488.7825919901664</v>
      </c>
      <c r="BJ201" s="60">
        <f t="shared" si="206"/>
        <v>278.78817181412438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-9.7986685432260874E-13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475.47920969424894</v>
      </c>
      <c r="CE201" s="60">
        <f t="shared" si="207"/>
        <v>271.73544012419364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-8.7434273154940449E-13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428.8489304403459</v>
      </c>
      <c r="CZ201" s="60">
        <f t="shared" si="208"/>
        <v>247.01165577562966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-1.0401663530501537E-12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502.07782026233912</v>
      </c>
      <c r="DU201" s="60">
        <f t="shared" si="209"/>
        <v>285.83623046025156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-2.2737367544323206E-13</v>
      </c>
      <c r="EK201" s="18">
        <f>EJ201*VLOOKUP('Données projet'!$B$15,Paramètres!$A$1:$I$89,3,0)*VLOOKUP('Données projet'!$B$15,Paramètres!$A$1:$I$89,5,0)</f>
        <v>-1.3596945791505279E-13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392.62423122800357</v>
      </c>
      <c r="EP201" s="60">
        <f t="shared" si="210"/>
        <v>314.09619163968642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0.1076252856784681</v>
      </c>
      <c r="EX201" s="23">
        <f>EXP(-LN(2)/2)*EX200+(1-EXP(-LN(2)/2))/(LN(2)/2)*ER201*EU201*VLOOKUP('Données projet'!$B$15,Paramètres!$A$1:$I$89,3,0)*0.475*44/12</f>
        <v>9.1010276831714163E-25</v>
      </c>
      <c r="EY201" s="24">
        <f t="shared" si="181"/>
        <v>0.1076252856784681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207.03241199974599</v>
      </c>
      <c r="FK201" s="60">
        <f t="shared" si="211"/>
        <v>314.188568589113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0.48464101374503032</v>
      </c>
      <c r="FR201" s="23">
        <f>EXP(-LN(2)/25)*FR200+(1-EXP(-LN(2)/25))/(LN(2)/25)*Calculateur!FM201*Calculateur!FO201*VLOOKUP('Données projet'!$B$16,Paramètres!$A$1:$I$89,3,0)*0.475*44/12</f>
        <v>9.2481938727889734E-2</v>
      </c>
      <c r="FS201" s="23">
        <f>EXP(-LN(2)/2)*FS200+(1-EXP(-LN(2)/2))/(LN(2)/2)*FM201*FP201*VLOOKUP('Données projet'!$B$16,Paramètres!$A$1:$I$89,3,0)*0.475*44/12</f>
        <v>1.5118936835621112E-25</v>
      </c>
      <c r="FT201" s="24">
        <f t="shared" si="184"/>
        <v>0.57712295247292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10.256410256410078</v>
      </c>
      <c r="O202" s="14">
        <f>N202*VLOOKUP('Données projet'!$B$9,Paramètres!$A$1:$I$89,3,0)*VLOOKUP('Données projet'!$B$9,Paramètres!$A$1:$I$89,5,0)</f>
        <v>9.7599999999998293</v>
      </c>
      <c r="P202" s="14">
        <f t="shared" si="203"/>
        <v>3.4500860232767008</v>
      </c>
      <c r="Q202" s="22">
        <f t="shared" si="162"/>
        <v>23.007566490539954</v>
      </c>
      <c r="R202" s="60">
        <f t="shared" si="191"/>
        <v>316.34089982387326</v>
      </c>
      <c r="S202" s="60">
        <f ca="1">AVERAGE(OFFSET($R$3,0,0,'Données projet'!$E$9+1,1))-AVERAGE(OFFSET($H$3,0,0,'Données projet'!$E$9+1,1))</f>
        <v>353.61481736740694</v>
      </c>
      <c r="T202" s="60">
        <f t="shared" si="204"/>
        <v>244.7141066773861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-9.3464223027694966E-13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455.50822833641354</v>
      </c>
      <c r="AO202" s="60">
        <f t="shared" si="205"/>
        <v>261.14722581688039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-1.0100166036863811E-12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488.7825919901664</v>
      </c>
      <c r="BJ202" s="60">
        <f t="shared" si="206"/>
        <v>278.78817181412438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-9.7986685432260874E-13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475.47920969424894</v>
      </c>
      <c r="CE202" s="60">
        <f t="shared" si="207"/>
        <v>271.73544012419364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-8.7434273154940449E-13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428.8489304403459</v>
      </c>
      <c r="CZ202" s="60">
        <f t="shared" si="208"/>
        <v>247.01165577562966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-1.0401663530501537E-12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502.07782026233912</v>
      </c>
      <c r="DU202" s="60">
        <f t="shared" si="209"/>
        <v>285.83623046025156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-2.2737367544323206E-13</v>
      </c>
      <c r="EK202" s="18">
        <f>EJ202*VLOOKUP('Données projet'!$B$15,Paramètres!$A$1:$I$89,3,0)*VLOOKUP('Données projet'!$B$15,Paramètres!$A$1:$I$89,5,0)</f>
        <v>-1.3596945791505279E-13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392.62423122800357</v>
      </c>
      <c r="EP202" s="60">
        <f t="shared" si="210"/>
        <v>314.09619163968642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0.1046822665818226</v>
      </c>
      <c r="EX202" s="23">
        <f>EXP(-LN(2)/2)*EX201+(1-EXP(-LN(2)/2))/(LN(2)/2)*ER202*EU202*VLOOKUP('Données projet'!$B$15,Paramètres!$A$1:$I$89,3,0)*0.475*44/12</f>
        <v>6.4353983905370023E-25</v>
      </c>
      <c r="EY202" s="24">
        <f t="shared" si="181"/>
        <v>0.1046822665818226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207.03241199974599</v>
      </c>
      <c r="FK202" s="60">
        <f t="shared" si="211"/>
        <v>314.188568589113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0.47513749906732039</v>
      </c>
      <c r="FR202" s="23">
        <f>EXP(-LN(2)/25)*FR201+(1-EXP(-LN(2)/25))/(LN(2)/25)*Calculateur!FM202*Calculateur!FO202*VLOOKUP('Données projet'!$B$16,Paramètres!$A$1:$I$89,3,0)*0.475*44/12</f>
        <v>8.9953015249961799E-2</v>
      </c>
      <c r="FS202" s="23">
        <f>EXP(-LN(2)/2)*FS201+(1-EXP(-LN(2)/2))/(LN(2)/2)*FM202*FP202*VLOOKUP('Données projet'!$B$16,Paramètres!$A$1:$I$89,3,0)*0.475*44/12</f>
        <v>1.0690702760798771E-25</v>
      </c>
      <c r="FT202" s="24">
        <f t="shared" si="184"/>
        <v>0.56509051431728219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10.256410256410078</v>
      </c>
      <c r="O203" s="14">
        <f>N203*VLOOKUP('Données projet'!$B$9,Paramètres!$A$1:$I$89,3,0)*VLOOKUP('Données projet'!$B$9,Paramètres!$A$1:$I$89,5,0)</f>
        <v>9.7599999999998293</v>
      </c>
      <c r="P203" s="14">
        <f t="shared" si="203"/>
        <v>3.4500860232767008</v>
      </c>
      <c r="Q203" s="22">
        <f t="shared" si="162"/>
        <v>23.007566490539954</v>
      </c>
      <c r="R203" s="60">
        <f t="shared" si="191"/>
        <v>316.34089982387326</v>
      </c>
      <c r="S203" s="60">
        <f ca="1">AVERAGE(OFFSET($R$3,0,0,'Données projet'!$E$9+1,1))-AVERAGE(OFFSET($H$3,0,0,'Données projet'!$E$9+1,1))</f>
        <v>353.61481736740694</v>
      </c>
      <c r="T203" s="60">
        <f t="shared" si="204"/>
        <v>244.7141066773861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-9.3464223027694966E-13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455.50822833641354</v>
      </c>
      <c r="AO203" s="60">
        <f t="shared" si="205"/>
        <v>261.14722581688039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-1.0100166036863811E-12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488.7825919901664</v>
      </c>
      <c r="BJ203" s="60">
        <f t="shared" si="206"/>
        <v>278.78817181412438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-9.7986685432260874E-13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475.47920969424894</v>
      </c>
      <c r="CE203" s="60">
        <f t="shared" si="207"/>
        <v>271.73544012419364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-8.7434273154940449E-13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428.8489304403459</v>
      </c>
      <c r="CZ203" s="60">
        <f t="shared" si="208"/>
        <v>247.01165577562966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-1.0401663530501537E-12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502.07782026233912</v>
      </c>
      <c r="DU203" s="60">
        <f t="shared" si="209"/>
        <v>285.83623046025156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-2.2737367544323206E-13</v>
      </c>
      <c r="EK203" s="18">
        <f>EJ203*VLOOKUP('Données projet'!$B$15,Paramètres!$A$1:$I$89,3,0)*VLOOKUP('Données projet'!$B$15,Paramètres!$A$1:$I$89,5,0)</f>
        <v>-1.3596945791505279E-13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392.62423122800357</v>
      </c>
      <c r="EP203" s="60">
        <f t="shared" si="210"/>
        <v>314.09619163968642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0.10181972449714152</v>
      </c>
      <c r="EX203" s="23">
        <f>EXP(-LN(2)/2)*EX202+(1-EXP(-LN(2)/2))/(LN(2)/2)*ER203*EU203*VLOOKUP('Données projet'!$B$15,Paramètres!$A$1:$I$89,3,0)*0.475*44/12</f>
        <v>4.5505138415857082E-25</v>
      </c>
      <c r="EY203" s="24">
        <f t="shared" si="181"/>
        <v>0.10181972449714152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207.03241199974599</v>
      </c>
      <c r="FK203" s="60">
        <f t="shared" si="211"/>
        <v>314.188568589113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0.46582034251586879</v>
      </c>
      <c r="FR203" s="23">
        <f>EXP(-LN(2)/25)*FR202+(1-EXP(-LN(2)/25))/(LN(2)/25)*Calculateur!FM203*Calculateur!FO203*VLOOKUP('Données projet'!$B$16,Paramètres!$A$1:$I$89,3,0)*0.475*44/12</f>
        <v>8.7493245317528112E-2</v>
      </c>
      <c r="FS203" s="23">
        <f>EXP(-LN(2)/2)*FS202+(1-EXP(-LN(2)/2))/(LN(2)/2)*FM203*FP203*VLOOKUP('Données projet'!$B$16,Paramètres!$A$1:$I$89,3,0)*0.475*44/12</f>
        <v>7.5594684178105561E-26</v>
      </c>
      <c r="FT203" s="24">
        <f t="shared" si="184"/>
        <v>0.5533135878333969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1.2649598798623627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1.2054868146447177</v>
      </c>
      <c r="BA205" s="85">
        <f>EXP(LN('Données projet'!B88)/'Données projet'!A88)</f>
        <v>1.2054868146447177</v>
      </c>
      <c r="BV205" s="85">
        <f>EXP(LN('Données projet'!B114)/'Données projet'!A114)</f>
        <v>1.2054868146447177</v>
      </c>
      <c r="CQ205" s="85">
        <f>EXP(LN('Données projet'!B140)/'Données projet'!A140)</f>
        <v>1.2054868146447177</v>
      </c>
      <c r="DL205" s="85">
        <f>EXP(LN('Données projet'!B166)/'Données projet'!A166)</f>
        <v>1.2054868146447177</v>
      </c>
      <c r="EG205" s="85">
        <f>EXP(LN('Données projet'!B192)/'Données projet'!A192)</f>
        <v>1.244502252163008</v>
      </c>
      <c r="FB205" s="85">
        <f>EXP(LN('Données projet'!B218)/'Données projet'!A218)</f>
        <v>1.3566516392624868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3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3" t="s">
        <v>238</v>
      </c>
      <c r="P2" s="126">
        <v>0</v>
      </c>
    </row>
    <row r="3" spans="1:16" ht="15" thickBot="1" x14ac:dyDescent="0.3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4"/>
      <c r="P3" s="133">
        <v>0.2</v>
      </c>
    </row>
    <row r="4" spans="1:16" ht="15" thickBot="1" x14ac:dyDescent="0.3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3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3" t="s">
        <v>237</v>
      </c>
      <c r="P5" s="126">
        <v>0</v>
      </c>
    </row>
    <row r="6" spans="1:16" x14ac:dyDescent="0.3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5"/>
      <c r="P6" s="134">
        <v>0.05</v>
      </c>
    </row>
    <row r="7" spans="1:16" x14ac:dyDescent="0.3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5"/>
      <c r="P7" s="134">
        <v>0.1</v>
      </c>
    </row>
    <row r="8" spans="1:16" ht="15" thickBot="1" x14ac:dyDescent="0.3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4"/>
      <c r="P8" s="133">
        <v>0.15</v>
      </c>
    </row>
    <row r="9" spans="1:16" ht="15" thickBot="1" x14ac:dyDescent="0.3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3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3" t="s">
        <v>236</v>
      </c>
      <c r="P10" s="126">
        <v>0</v>
      </c>
    </row>
    <row r="11" spans="1:16" ht="15" thickBot="1" x14ac:dyDescent="0.3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4"/>
      <c r="P11" s="133">
        <v>0.1</v>
      </c>
    </row>
    <row r="12" spans="1:16" x14ac:dyDescent="0.3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3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3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3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3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3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3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3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3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3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3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3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3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3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3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3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3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3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3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3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3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3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3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3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3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3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3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3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3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3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3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3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3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3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3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3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3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3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3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3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3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3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3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3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3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3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3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3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3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3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3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3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3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3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3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3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3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3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3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3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3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3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3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3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3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3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3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3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3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3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3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3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3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3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3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3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3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" thickBot="1" x14ac:dyDescent="0.35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3">
      <c r="A93" s="127" t="s">
        <v>208</v>
      </c>
    </row>
    <row r="94" spans="1:14" x14ac:dyDescent="0.3">
      <c r="A94" s="127" t="s">
        <v>209</v>
      </c>
    </row>
    <row r="95" spans="1:14" x14ac:dyDescent="0.3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B1" sqref="B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0" t="str">
        <f>IF('Données projet'!$B$9="","",'Données projet'!$B$9)</f>
        <v>Charme</v>
      </c>
      <c r="B6" s="151">
        <f>'Données projet'!D9</f>
        <v>0.26963199999999998</v>
      </c>
      <c r="C6" s="152">
        <f ca="1">IF(OR('Données projet'!B9="",'Données projet'!C9="",'Données projet'!C9=0%),0,Calculateur!S3)</f>
        <v>353.61481736740694</v>
      </c>
      <c r="D6" s="152">
        <f>IF(OR('Données projet'!B9="",'Données projet'!C9="",'Données projet'!C9=0%),0,Calculateur!T3)</f>
        <v>244.7141066773861</v>
      </c>
      <c r="E6" s="152">
        <f ca="1">MIN(C6,D6)</f>
        <v>244.7141066773861</v>
      </c>
      <c r="F6" s="152">
        <f ca="1">E6*B6</f>
        <v>65.98275401163697</v>
      </c>
      <c r="G6" s="152">
        <f ca="1">F6*(100%-'Données projet'!$C$24)*(100%-'Données projet'!$C$25)*(100%-'Données projet'!$C$26)*(100%-'Données projet'!$C$27)</f>
        <v>53.446030749425944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1.814830769230769</v>
      </c>
      <c r="K6" s="156">
        <f>J6*(100%-'Données projet'!$C$24)*(100%-'Données projet'!$C$25)*(100%-'Données projet'!$C$26)*(100%-'Données projet'!$C$27)</f>
        <v>1.470012923076923</v>
      </c>
      <c r="L6" s="157">
        <f ca="1">G6+I6+K6</f>
        <v>54.916043672502866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8" t="str">
        <f>IF('Données projet'!$B$10="","",'Données projet'!$B$10)</f>
        <v>Alisier torminal</v>
      </c>
      <c r="B7" s="159">
        <f>'Données projet'!D10</f>
        <v>0.26963199999999998</v>
      </c>
      <c r="C7" s="152">
        <f ca="1">IF(OR('Données projet'!B10="",'Données projet'!C10="",'Données projet'!C10=0%),0,Calculateur!AN3)</f>
        <v>455.50822833641354</v>
      </c>
      <c r="D7" s="152">
        <f>IF(OR('Données projet'!B10="",'Données projet'!C10="",'Données projet'!C10=0%),0,Calculateur!AO3)</f>
        <v>261.14722581688039</v>
      </c>
      <c r="E7" s="152">
        <f t="shared" ref="E7:E15" ca="1" si="0">MIN(C7,D7)</f>
        <v>261.14722581688039</v>
      </c>
      <c r="F7" s="152">
        <f t="shared" ref="F7:F15" ca="1" si="1">E7*B7</f>
        <v>70.413648791457092</v>
      </c>
      <c r="G7" s="152">
        <f ca="1">F7*(100%-'Données projet'!$C$24)*(100%-'Données projet'!$C$25)*(100%-'Données projet'!$C$26)*(100%-'Données projet'!$C$27)</f>
        <v>57.035055521080245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1.9548319999999999</v>
      </c>
      <c r="K7" s="156">
        <f>J7*(100%-'Données projet'!$C$24)*(100%-'Données projet'!$C$25)*(100%-'Données projet'!$C$26)*(100%-'Données projet'!$C$27)</f>
        <v>1.5834139199999999</v>
      </c>
      <c r="L7" s="157">
        <f t="shared" ref="L7:L15" ca="1" si="2">G7+I7+K7</f>
        <v>58.618469441080244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8" t="str">
        <f>IF('Données projet'!$B$11="","",'Données projet'!$B$11)</f>
        <v>Chêne chevelu</v>
      </c>
      <c r="B8" s="159">
        <f>'Données projet'!D11</f>
        <v>0.26963199999999998</v>
      </c>
      <c r="C8" s="152">
        <f ca="1">IF(OR('Données projet'!B11="",'Données projet'!C11="",'Données projet'!C11=0%),0,Calculateur!BI3)</f>
        <v>488.7825919901664</v>
      </c>
      <c r="D8" s="152">
        <f>IF(OR('Données projet'!B11="",'Données projet'!C11="",'Données projet'!C11=0%),0,Calculateur!BJ3)</f>
        <v>278.78817181412438</v>
      </c>
      <c r="E8" s="152">
        <f t="shared" ca="1" si="0"/>
        <v>278.78817181412438</v>
      </c>
      <c r="F8" s="152">
        <f t="shared" ca="1" si="1"/>
        <v>75.170212342585984</v>
      </c>
      <c r="G8" s="152">
        <f ca="1">F8*(100%-'Données projet'!$C$24)*(100%-'Données projet'!$C$25)*(100%-'Données projet'!$C$26)*(100%-'Données projet'!$C$27)</f>
        <v>60.887871997494656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1.9548319999999999</v>
      </c>
      <c r="K8" s="156">
        <f>J8*(100%-'Données projet'!$C$24)*(100%-'Données projet'!$C$25)*(100%-'Données projet'!$C$26)*(100%-'Données projet'!$C$27)</f>
        <v>1.5834139199999999</v>
      </c>
      <c r="L8" s="157">
        <f t="shared" ca="1" si="2"/>
        <v>62.471285917494654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8" t="str">
        <f>IF('Données projet'!$B$12="","",'Données projet'!$B$12)</f>
        <v>Chêne pubescent</v>
      </c>
      <c r="B9" s="159">
        <f>'Données projet'!D12</f>
        <v>0.53926399999999997</v>
      </c>
      <c r="C9" s="152">
        <f ca="1">IF(OR('Données projet'!B12="",'Données projet'!C12="",'Données projet'!C12=0%),0,Calculateur!CD3)</f>
        <v>475.47920969424894</v>
      </c>
      <c r="D9" s="152">
        <f>IF(OR('Données projet'!B12="",'Données projet'!C12="",'Données projet'!C12=0%),0,Calculateur!CE3)</f>
        <v>271.73544012419364</v>
      </c>
      <c r="E9" s="152">
        <f t="shared" ca="1" si="0"/>
        <v>271.73544012419364</v>
      </c>
      <c r="F9" s="152">
        <f t="shared" ca="1" si="1"/>
        <v>146.53714038313316</v>
      </c>
      <c r="G9" s="152">
        <f ca="1">F9*(100%-'Données projet'!$C$24)*(100%-'Données projet'!$C$25)*(100%-'Données projet'!$C$26)*(100%-'Données projet'!$C$27)</f>
        <v>118.69508371033785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3.9096639999999998</v>
      </c>
      <c r="K9" s="156">
        <f>J9*(100%-'Données projet'!$C$24)*(100%-'Données projet'!$C$25)*(100%-'Données projet'!$C$26)*(100%-'Données projet'!$C$27)</f>
        <v>3.1668278399999998</v>
      </c>
      <c r="L9" s="157">
        <f t="shared" ca="1" si="2"/>
        <v>121.86191155033785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8" t="str">
        <f>IF('Données projet'!$B$13="","",'Données projet'!$B$13)</f>
        <v>Chêne sessile</v>
      </c>
      <c r="B10" s="159">
        <f>'Données projet'!D13</f>
        <v>3.2334719999999999</v>
      </c>
      <c r="C10" s="152">
        <f ca="1">IF(OR('Données projet'!B13="",'Données projet'!C13="",'Données projet'!C13=0%),0,Calculateur!CY3)</f>
        <v>428.8489304403459</v>
      </c>
      <c r="D10" s="152">
        <f>IF(OR('Données projet'!B13="",'Données projet'!C13="",'Données projet'!C13=0%),0,Calculateur!CZ3)</f>
        <v>247.01165577562966</v>
      </c>
      <c r="E10" s="152">
        <f t="shared" ca="1" si="0"/>
        <v>247.01165577562966</v>
      </c>
      <c r="F10" s="152">
        <f t="shared" ca="1" si="1"/>
        <v>798.7052726241368</v>
      </c>
      <c r="G10" s="152">
        <f ca="1">F10*(100%-'Données projet'!$C$24)*(100%-'Données projet'!$C$25)*(100%-'Données projet'!$C$26)*(100%-'Données projet'!$C$27)</f>
        <v>646.95127082555075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23.442671999999998</v>
      </c>
      <c r="K10" s="156">
        <f>J10*(100%-'Données projet'!$C$24)*(100%-'Données projet'!$C$25)*(100%-'Données projet'!$C$26)*(100%-'Données projet'!$C$27)</f>
        <v>18.988564319999998</v>
      </c>
      <c r="L10" s="157">
        <f t="shared" ca="1" si="2"/>
        <v>665.93983514555077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8" t="str">
        <f>IF('Données projet'!$B$14="","",'Données projet'!$B$14)</f>
        <v>Cormier</v>
      </c>
      <c r="B11" s="159">
        <f>'Données projet'!D14</f>
        <v>0.40409600000000001</v>
      </c>
      <c r="C11" s="152">
        <f ca="1">IF(OR('Données projet'!B14="",'Données projet'!C14="",'Données projet'!C14=0%),0,Calculateur!DT3)</f>
        <v>502.07782026233912</v>
      </c>
      <c r="D11" s="152">
        <f>IF(OR('Données projet'!B14="",'Données projet'!C14="",'Données projet'!C14=0%),0,Calculateur!DU3)</f>
        <v>285.83623046025156</v>
      </c>
      <c r="E11" s="152">
        <f t="shared" ca="1" si="0"/>
        <v>285.83623046025156</v>
      </c>
      <c r="F11" s="152">
        <f t="shared" ca="1" si="1"/>
        <v>115.50527738406582</v>
      </c>
      <c r="G11" s="152">
        <f ca="1">F11*(100%-'Données projet'!$C$24)*(100%-'Données projet'!$C$25)*(100%-'Données projet'!$C$26)*(100%-'Données projet'!$C$27)</f>
        <v>93.559274681093314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2.9296959999999999</v>
      </c>
      <c r="K11" s="156">
        <f>J11*(100%-'Données projet'!$C$24)*(100%-'Données projet'!$C$25)*(100%-'Données projet'!$C$26)*(100%-'Données projet'!$C$27)</f>
        <v>2.3730537600000003</v>
      </c>
      <c r="L11" s="157">
        <f t="shared" ca="1" si="2"/>
        <v>95.932328441093318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8" t="str">
        <f>IF('Données projet'!$B$15="","",'Données projet'!$B$15)</f>
        <v>Pin laricio</v>
      </c>
      <c r="B12" s="159">
        <f>'Données projet'!D15</f>
        <v>0.80819200000000002</v>
      </c>
      <c r="C12" s="152">
        <f ca="1">IF(OR('Données projet'!B15="",'Données projet'!C15="",'Données projet'!C15=0%),0,Calculateur!EO3)</f>
        <v>392.62423122800357</v>
      </c>
      <c r="D12" s="152">
        <f>IF(OR('Données projet'!B15="",'Données projet'!C15="",'Données projet'!C15=0%),0,Calculateur!EP3)</f>
        <v>314.09619163968642</v>
      </c>
      <c r="E12" s="152">
        <f t="shared" ca="1" si="0"/>
        <v>314.09619163968642</v>
      </c>
      <c r="F12" s="152">
        <f t="shared" ca="1" si="1"/>
        <v>253.85002931366145</v>
      </c>
      <c r="G12" s="152">
        <f ca="1">F12*(100%-'Données projet'!$C$24)*(100%-'Données projet'!$C$25)*(100%-'Données projet'!$C$26)*(100%-'Données projet'!$C$27)</f>
        <v>205.61852374406578</v>
      </c>
      <c r="H12" s="160">
        <f>IF(OR('Données projet'!B15="",'Données projet'!C15="",'Données projet'!C15=0%),0,AVERAGE(Calculateur!$EY$3:$EY$33)*B12)</f>
        <v>1.7462465324208027</v>
      </c>
      <c r="I12" s="154">
        <f>H12*(100%-'Données projet'!$C$24)*(100%-'Données projet'!$C$25)*(100%-'Données projet'!$C$26)*(100%-'Données projet'!$C$27)</f>
        <v>1.4144596912608502</v>
      </c>
      <c r="J12" s="155">
        <f>IF(OR('Données projet'!B15="",'Données projet'!C15="",'Données projet'!C15=0%),0,SUM(Calculateur!$ER$3:$ER$33)*VLOOKUP('Données projet'!$B$15,Paramètres!$A$1:$I$89,9,0)*B12)</f>
        <v>23.28401152</v>
      </c>
      <c r="K12" s="156">
        <f>J12*(100%-'Données projet'!$C$24)*(100%-'Données projet'!$C$25)*(100%-'Données projet'!$C$26)*(100%-'Données projet'!$C$27)</f>
        <v>18.860049331200003</v>
      </c>
      <c r="L12" s="157">
        <f t="shared" ca="1" si="2"/>
        <v>225.89303276652663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8" t="str">
        <f>IF('Données projet'!$B$16="","",'Données projet'!$B$16)</f>
        <v>Pin maritime</v>
      </c>
      <c r="B13" s="159">
        <f>'Données projet'!D16</f>
        <v>0.53926399999999997</v>
      </c>
      <c r="C13" s="152">
        <f ca="1">IF(OR('Données projet'!B16="",'Données projet'!C16="",'Données projet'!C16=0%),0,Calculateur!FJ3)</f>
        <v>207.03241199974599</v>
      </c>
      <c r="D13" s="152">
        <f>IF(OR('Données projet'!B16="",'Données projet'!C16="",'Données projet'!C16=0%),0,Calculateur!FK3)</f>
        <v>314.188568589113</v>
      </c>
      <c r="E13" s="152">
        <f t="shared" ca="1" si="0"/>
        <v>207.03241199974599</v>
      </c>
      <c r="F13" s="152">
        <f t="shared" ca="1" si="1"/>
        <v>111.64512662463102</v>
      </c>
      <c r="G13" s="152">
        <f ca="1">F13*(100%-'Données projet'!$C$24)*(100%-'Données projet'!$C$25)*(100%-'Données projet'!$C$26)*(100%-'Données projet'!$C$27)</f>
        <v>90.432552565951127</v>
      </c>
      <c r="H13" s="160">
        <f>IF(OR('Données projet'!B16="",'Données projet'!C16="",'Données projet'!C16=0%),0,AVERAGE(Calculateur!$FT$3:$FT$33)*B13)</f>
        <v>4.5806853813372426</v>
      </c>
      <c r="I13" s="154">
        <f>H13*(100%-'Données projet'!$C$24)*(100%-'Données projet'!$C$25)*(100%-'Données projet'!$C$26)*(100%-'Données projet'!$C$27)</f>
        <v>3.7103551588831665</v>
      </c>
      <c r="J13" s="155">
        <f>IF(OR('Données projet'!C16="",'Données projet'!C16=0%),0,SUM(Calculateur!$FM$3:$FM$33)*VLOOKUP('Données projet'!$B$16,Paramètres!$A$1:$I$89,9,0)*B13)</f>
        <v>35.617066003199987</v>
      </c>
      <c r="K13" s="156">
        <f>J13*(100%-'Données projet'!$C$24)*(100%-'Données projet'!$C$25)*(100%-'Données projet'!$C$26)*(100%-'Données projet'!$C$27)</f>
        <v>28.849823462591988</v>
      </c>
      <c r="L13" s="157">
        <f t="shared" ca="1" si="2"/>
        <v>122.99273118742627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2"/>
      <c r="B16" s="229"/>
      <c r="C16" s="230"/>
      <c r="D16" s="25"/>
      <c r="E16" s="25"/>
      <c r="F16" s="170">
        <f t="shared" ref="F16:L16" ca="1" si="3">SUM(F6:F15)</f>
        <v>1637.8094614753084</v>
      </c>
      <c r="G16" s="171">
        <f t="shared" ca="1" si="3"/>
        <v>1326.6256637949996</v>
      </c>
      <c r="H16" s="172">
        <f t="shared" si="3"/>
        <v>6.3269319137580453</v>
      </c>
      <c r="I16" s="172">
        <f t="shared" si="3"/>
        <v>5.1248148501440163</v>
      </c>
      <c r="J16" s="173">
        <f t="shared" si="3"/>
        <v>94.907604292430761</v>
      </c>
      <c r="K16" s="173">
        <f t="shared" si="3"/>
        <v>76.875159476868916</v>
      </c>
      <c r="L16" s="174">
        <f t="shared" ca="1" si="3"/>
        <v>1408.6256381220126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5" t="str">
        <f>A6</f>
        <v>Charme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5" t="str">
        <f>A7</f>
        <v>Alisier torminal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5" t="str">
        <f>A8</f>
        <v>Chêne chevelu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5" t="str">
        <f>A9</f>
        <v>Chêne pubescent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5" t="str">
        <f>A10</f>
        <v>Chêne sessile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5" t="str">
        <f>A11</f>
        <v>Cormier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5" t="str">
        <f>A12</f>
        <v>Pin laricio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5" t="str">
        <f>A13</f>
        <v>Pin maritime</v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1" zoomScale="70" zoomScaleNormal="70" workbookViewId="0">
      <selection activeCell="T18" sqref="T1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3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3">
      <c r="A4" s="95"/>
      <c r="B4" s="95"/>
      <c r="C4" s="95"/>
      <c r="D4" s="95"/>
      <c r="E4" s="95"/>
      <c r="G4" s="176"/>
      <c r="H4" s="336" t="s">
        <v>315</v>
      </c>
      <c r="I4" s="336"/>
      <c r="K4" s="333" t="s">
        <v>253</v>
      </c>
      <c r="L4" s="334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3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" thickBot="1" x14ac:dyDescent="0.35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55000000000000004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5" t="s">
        <v>310</v>
      </c>
      <c r="S7" s="326"/>
      <c r="T7" s="326"/>
      <c r="U7" s="326"/>
      <c r="V7" s="327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3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Charme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414.13428926873081</v>
      </c>
      <c r="U10" s="186">
        <f>'Données projet'!D9</f>
        <v>0.26963199999999998</v>
      </c>
      <c r="V10" s="185">
        <f>U10*T10</f>
        <v>111.66385668410642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Alisier torminal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709.40710147359903</v>
      </c>
      <c r="U11" s="186">
        <f>'Données projet'!D10</f>
        <v>0.26963199999999998</v>
      </c>
      <c r="V11" s="185">
        <f t="shared" ref="V11" si="0">U11*T11</f>
        <v>191.27885558452945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Chêne chevelu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709.40710147359903</v>
      </c>
      <c r="U12" s="186">
        <f>'Données projet'!D11</f>
        <v>0.26963199999999998</v>
      </c>
      <c r="V12" s="185">
        <f t="shared" ref="V12:V19" si="1">U12*T12</f>
        <v>191.27885558452945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Chêne pubescent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709.40710147359903</v>
      </c>
      <c r="U13" s="186">
        <f>'Données projet'!D12</f>
        <v>0.53926399999999997</v>
      </c>
      <c r="V13" s="185">
        <f t="shared" si="1"/>
        <v>382.5577111690589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2" t="str">
        <f>IF('Données projet'!$B$9="","",'Données projet'!$B$9)</f>
        <v>Charme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Chêne sessile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709.40710147359903</v>
      </c>
      <c r="U14" s="186">
        <f>'Données projet'!D13</f>
        <v>3.2334719999999999</v>
      </c>
      <c r="V14" s="185">
        <f t="shared" si="1"/>
        <v>2293.847999216041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7"/>
      <c r="G15" s="337" t="s">
        <v>318</v>
      </c>
      <c r="H15" s="199"/>
      <c r="I15" s="200"/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Cormier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709.40710147359903</v>
      </c>
      <c r="U15" s="186">
        <f>'Données projet'!D14</f>
        <v>0.40409600000000001</v>
      </c>
      <c r="V15" s="185">
        <f t="shared" si="1"/>
        <v>286.66857207707545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37"/>
      <c r="H16" s="199"/>
      <c r="I16" s="200"/>
      <c r="J16" s="212"/>
      <c r="K16" s="221"/>
      <c r="L16" s="333" t="s">
        <v>254</v>
      </c>
      <c r="M16" s="334"/>
      <c r="N16" s="2"/>
      <c r="O16" s="25"/>
      <c r="P16" s="25"/>
      <c r="Q16" s="261"/>
      <c r="R16" s="25"/>
      <c r="S16" s="181" t="str">
        <f>B200</f>
        <v>Pin laricio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1613.6661635763362</v>
      </c>
      <c r="U16" s="186">
        <f>'Données projet'!D15</f>
        <v>0.80819200000000002</v>
      </c>
      <c r="V16" s="185">
        <f t="shared" si="1"/>
        <v>1304.1520840730864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37"/>
      <c r="J17" s="212"/>
      <c r="K17" s="221"/>
      <c r="L17" s="291" t="s">
        <v>289</v>
      </c>
      <c r="M17" s="293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>Pin maritime</v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2996.3021477436941</v>
      </c>
      <c r="U17" s="186">
        <f>'Données projet'!D16</f>
        <v>0.53926399999999997</v>
      </c>
      <c r="V17" s="185">
        <f t="shared" si="1"/>
        <v>1615.7978814008554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37"/>
      <c r="J18" s="212"/>
      <c r="K18" s="221"/>
      <c r="L18" s="291" t="s">
        <v>255</v>
      </c>
      <c r="M18" s="293"/>
      <c r="N18" s="201"/>
      <c r="O18" s="25"/>
      <c r="P18" s="25"/>
      <c r="Q18" s="261"/>
      <c r="R18" s="25"/>
      <c r="S18" s="181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37"/>
      <c r="H19" s="228" t="s">
        <v>178</v>
      </c>
      <c r="I19" s="228" t="s">
        <v>287</v>
      </c>
      <c r="J19" s="256"/>
      <c r="K19" s="179"/>
      <c r="L19" s="333" t="s">
        <v>288</v>
      </c>
      <c r="M19" s="334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37"/>
      <c r="H20" s="199">
        <v>1</v>
      </c>
      <c r="I20" s="200">
        <v>8000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8">
        <f>'Données projet'!A36</f>
        <v>15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35" t="s">
        <v>260</v>
      </c>
      <c r="M23" s="335"/>
      <c r="N23" s="335"/>
      <c r="O23" s="25"/>
      <c r="P23" s="25"/>
      <c r="Q23" s="261"/>
      <c r="R23" s="25"/>
      <c r="S23" s="181" t="s">
        <v>264</v>
      </c>
      <c r="T23" s="33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-47517.491026315984</v>
      </c>
      <c r="U23" s="330"/>
      <c r="V23" s="33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8">
        <f>'Données projet'!A37</f>
        <v>20</v>
      </c>
      <c r="B24" s="189">
        <f>'Données projet'!D37</f>
        <v>0</v>
      </c>
      <c r="C24" s="202"/>
      <c r="D24" s="190">
        <f t="shared" ref="D24:D42" si="2">B24*C24</f>
        <v>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1"/>
      <c r="V24" s="33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8">
        <f>'Données projet'!A38</f>
        <v>25</v>
      </c>
      <c r="B25" s="189">
        <f>'Données projet'!D38</f>
        <v>26.923076923076923</v>
      </c>
      <c r="C25" s="200">
        <v>10</v>
      </c>
      <c r="D25" s="190">
        <f t="shared" si="2"/>
        <v>269.23076923076923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/>
      <c r="Q25" s="261"/>
      <c r="R25" s="25"/>
      <c r="S25" s="194" t="s">
        <v>266</v>
      </c>
      <c r="T25" s="332">
        <f ca="1">T23-T24</f>
        <v>-47517.491026315984</v>
      </c>
      <c r="U25" s="332"/>
      <c r="V25" s="33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8">
        <f>'Données projet'!A39</f>
        <v>30</v>
      </c>
      <c r="B26" s="189">
        <f>'Données projet'!D39</f>
        <v>0</v>
      </c>
      <c r="C26" s="200"/>
      <c r="D26" s="190">
        <f t="shared" si="2"/>
        <v>0</v>
      </c>
      <c r="E26" s="202"/>
      <c r="F26" s="260"/>
      <c r="G26" s="255"/>
      <c r="H26" s="199"/>
      <c r="I26" s="200"/>
      <c r="K26" s="221"/>
      <c r="L26" s="319" t="s">
        <v>258</v>
      </c>
      <c r="M26" s="320"/>
      <c r="N26" s="320"/>
      <c r="O26" s="320"/>
      <c r="P26" s="321"/>
      <c r="Q26" s="261"/>
      <c r="R26" s="25"/>
      <c r="S26" s="194" t="s">
        <v>265</v>
      </c>
      <c r="T26" s="329" t="str">
        <f ca="1">IF(T25&lt;0,"Votre projet est additionnel","Votre projet n'est pas additionnel")</f>
        <v>Votre projet est additionnel</v>
      </c>
      <c r="U26" s="329"/>
      <c r="V26" s="32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8">
        <f>'Données projet'!A40</f>
        <v>35</v>
      </c>
      <c r="B27" s="189">
        <f>'Données projet'!D40</f>
        <v>26.282051282051281</v>
      </c>
      <c r="C27" s="200">
        <v>10</v>
      </c>
      <c r="D27" s="190">
        <f t="shared" si="2"/>
        <v>262.82051282051282</v>
      </c>
      <c r="E27" s="202"/>
      <c r="F27" s="260"/>
      <c r="G27" s="255"/>
      <c r="H27" s="199"/>
      <c r="I27" s="200"/>
      <c r="K27" s="221"/>
      <c r="L27" s="322"/>
      <c r="M27" s="323"/>
      <c r="N27" s="323"/>
      <c r="O27" s="323"/>
      <c r="P27" s="324"/>
      <c r="Q27" s="261"/>
      <c r="R27" s="25"/>
      <c r="S27" s="328" t="s">
        <v>267</v>
      </c>
      <c r="T27" s="328"/>
      <c r="U27" s="328"/>
      <c r="V27" s="32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8">
        <f>'Données projet'!A41</f>
        <v>40</v>
      </c>
      <c r="B28" s="189">
        <f>'Données projet'!D41</f>
        <v>0</v>
      </c>
      <c r="C28" s="200"/>
      <c r="D28" s="190">
        <f t="shared" si="2"/>
        <v>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8">
        <f>'Données projet'!A42</f>
        <v>45</v>
      </c>
      <c r="B29" s="189">
        <f>'Données projet'!D42</f>
        <v>28.205128205128204</v>
      </c>
      <c r="C29" s="200">
        <v>15</v>
      </c>
      <c r="D29" s="190">
        <f t="shared" si="2"/>
        <v>423.07692307692309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8">
        <f>'Données projet'!A43</f>
        <v>50</v>
      </c>
      <c r="B30" s="189">
        <f>'Données projet'!D43</f>
        <v>0</v>
      </c>
      <c r="C30" s="200"/>
      <c r="D30" s="190">
        <f t="shared" si="2"/>
        <v>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8">
        <f>'Données projet'!A44</f>
        <v>55</v>
      </c>
      <c r="B31" s="189">
        <f>'Données projet'!D44</f>
        <v>28.205128205128204</v>
      </c>
      <c r="C31" s="200">
        <v>20</v>
      </c>
      <c r="D31" s="190">
        <f t="shared" si="2"/>
        <v>564.10256410256409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8">
        <f>'Données projet'!A45</f>
        <v>60</v>
      </c>
      <c r="B32" s="189">
        <f>'Données projet'!D45</f>
        <v>0</v>
      </c>
      <c r="C32" s="200"/>
      <c r="D32" s="190">
        <f t="shared" si="2"/>
        <v>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8">
        <f>'Données projet'!A46</f>
        <v>65</v>
      </c>
      <c r="B33" s="189">
        <f>'Données projet'!D46</f>
        <v>28.205128205128204</v>
      </c>
      <c r="C33" s="200">
        <v>20</v>
      </c>
      <c r="D33" s="190">
        <f t="shared" si="2"/>
        <v>564.10256410256409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8">
        <f>'Données projet'!A47</f>
        <v>70</v>
      </c>
      <c r="B34" s="189">
        <f>'Données projet'!D47</f>
        <v>0</v>
      </c>
      <c r="C34" s="200"/>
      <c r="D34" s="190">
        <f t="shared" si="2"/>
        <v>0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8">
        <f>'Données projet'!A48</f>
        <v>75</v>
      </c>
      <c r="B35" s="189">
        <f>'Données projet'!D48</f>
        <v>26.923076923076923</v>
      </c>
      <c r="C35" s="200">
        <v>25</v>
      </c>
      <c r="D35" s="190">
        <f t="shared" si="2"/>
        <v>673.07692307692309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8">
        <f>'Données projet'!A49</f>
        <v>80</v>
      </c>
      <c r="B36" s="189">
        <f>'Données projet'!D49</f>
        <v>0</v>
      </c>
      <c r="C36" s="200"/>
      <c r="D36" s="190">
        <f t="shared" si="2"/>
        <v>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8">
        <f>'Données projet'!A50</f>
        <v>85</v>
      </c>
      <c r="B37" s="189">
        <f>'Données projet'!D50</f>
        <v>25.641025641025639</v>
      </c>
      <c r="C37" s="200">
        <v>30</v>
      </c>
      <c r="D37" s="190">
        <f t="shared" si="2"/>
        <v>769.23076923076917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8">
        <f>'Données projet'!A51</f>
        <v>90</v>
      </c>
      <c r="B38" s="189">
        <f>'Données projet'!D51</f>
        <v>0</v>
      </c>
      <c r="C38" s="202"/>
      <c r="D38" s="190">
        <f t="shared" si="2"/>
        <v>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8">
        <f>'Données projet'!A52</f>
        <v>95</v>
      </c>
      <c r="B39" s="189">
        <f>'Données projet'!D52</f>
        <v>23.717948717948715</v>
      </c>
      <c r="C39" s="202">
        <v>35</v>
      </c>
      <c r="D39" s="190">
        <f t="shared" si="2"/>
        <v>830.12820512820508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8">
        <f>'Données projet'!A53</f>
        <v>100</v>
      </c>
      <c r="B40" s="189">
        <f>'Données projet'!D53</f>
        <v>0</v>
      </c>
      <c r="C40" s="202"/>
      <c r="D40" s="190">
        <f t="shared" si="2"/>
        <v>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8">
        <f>'Données projet'!A54</f>
        <v>110</v>
      </c>
      <c r="B41" s="189">
        <f>'Données projet'!D54</f>
        <v>33.333333333333336</v>
      </c>
      <c r="C41" s="202">
        <v>40</v>
      </c>
      <c r="D41" s="190">
        <f t="shared" si="2"/>
        <v>1333.3333333333335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8">
        <f>'Données projet'!A55</f>
        <v>120</v>
      </c>
      <c r="B42" s="189">
        <f>'Données projet'!D55</f>
        <v>241.02564102564102</v>
      </c>
      <c r="C42" s="202">
        <v>50</v>
      </c>
      <c r="D42" s="190">
        <f t="shared" si="2"/>
        <v>12051.282051282051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2" t="str">
        <f>IF('Données projet'!$B$10="","",'Données projet'!$B$10)</f>
        <v>Alisier torminal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3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3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8">
        <f>'Données projet'!A62</f>
        <v>20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8">
        <f>'Données projet'!A63</f>
        <v>25</v>
      </c>
      <c r="B55" s="189">
        <f>'Données projet'!D63</f>
        <v>0</v>
      </c>
      <c r="C55" s="200"/>
      <c r="D55" s="187">
        <f t="shared" ref="D55:D73" si="4">B55*C55</f>
        <v>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8">
        <f>'Données projet'!A64</f>
        <v>30</v>
      </c>
      <c r="B56" s="189">
        <f>'Données projet'!D64</f>
        <v>29</v>
      </c>
      <c r="C56" s="200">
        <v>10</v>
      </c>
      <c r="D56" s="187">
        <f t="shared" si="4"/>
        <v>290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8">
        <f>'Données projet'!A65</f>
        <v>35</v>
      </c>
      <c r="B57" s="189">
        <f>'Données projet'!D65</f>
        <v>0</v>
      </c>
      <c r="C57" s="200"/>
      <c r="D57" s="187">
        <f t="shared" si="4"/>
        <v>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8">
        <f>'Données projet'!A66</f>
        <v>40</v>
      </c>
      <c r="B58" s="189">
        <f>'Données projet'!D66</f>
        <v>42</v>
      </c>
      <c r="C58" s="200">
        <v>10</v>
      </c>
      <c r="D58" s="187">
        <f t="shared" si="4"/>
        <v>420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8">
        <f>'Données projet'!A67</f>
        <v>45</v>
      </c>
      <c r="B59" s="189">
        <f>'Données projet'!D67</f>
        <v>0</v>
      </c>
      <c r="C59" s="200"/>
      <c r="D59" s="187">
        <f t="shared" si="4"/>
        <v>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8">
        <f>'Données projet'!A68</f>
        <v>50</v>
      </c>
      <c r="B60" s="189">
        <f>'Données projet'!D68</f>
        <v>42</v>
      </c>
      <c r="C60" s="200">
        <v>15</v>
      </c>
      <c r="D60" s="187">
        <f t="shared" si="4"/>
        <v>630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8">
        <f>'Données projet'!A69</f>
        <v>55</v>
      </c>
      <c r="B61" s="189">
        <f>'Données projet'!D69</f>
        <v>0</v>
      </c>
      <c r="C61" s="200"/>
      <c r="D61" s="187">
        <f t="shared" si="4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8">
        <f>'Données projet'!A70</f>
        <v>60</v>
      </c>
      <c r="B62" s="189">
        <f>'Données projet'!D70</f>
        <v>42</v>
      </c>
      <c r="C62" s="200">
        <v>20</v>
      </c>
      <c r="D62" s="187">
        <f t="shared" si="4"/>
        <v>840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8">
        <f>'Données projet'!A71</f>
        <v>65</v>
      </c>
      <c r="B63" s="189">
        <f>'Données projet'!D71</f>
        <v>0</v>
      </c>
      <c r="C63" s="200"/>
      <c r="D63" s="187">
        <f t="shared" si="4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8">
        <f>'Données projet'!A72</f>
        <v>70</v>
      </c>
      <c r="B64" s="189">
        <f>'Données projet'!D72</f>
        <v>42</v>
      </c>
      <c r="C64" s="200">
        <v>40</v>
      </c>
      <c r="D64" s="187">
        <f t="shared" si="4"/>
        <v>1680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8">
        <f>'Données projet'!A73</f>
        <v>75</v>
      </c>
      <c r="B65" s="189">
        <f>'Données projet'!D73</f>
        <v>0</v>
      </c>
      <c r="C65" s="200"/>
      <c r="D65" s="187">
        <f t="shared" si="4"/>
        <v>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8">
        <f>'Données projet'!A74</f>
        <v>80</v>
      </c>
      <c r="B66" s="189">
        <f>'Données projet'!D74</f>
        <v>42</v>
      </c>
      <c r="C66" s="200">
        <v>60</v>
      </c>
      <c r="D66" s="187">
        <f t="shared" si="4"/>
        <v>2520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8">
        <f>'Données projet'!A75</f>
        <v>90</v>
      </c>
      <c r="B67" s="189">
        <f>'Données projet'!D75</f>
        <v>42</v>
      </c>
      <c r="C67" s="200">
        <v>80</v>
      </c>
      <c r="D67" s="187">
        <f t="shared" si="4"/>
        <v>3360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8">
        <f>'Données projet'!A76</f>
        <v>100</v>
      </c>
      <c r="B68" s="189">
        <f>'Données projet'!D76</f>
        <v>42</v>
      </c>
      <c r="C68" s="200">
        <v>100</v>
      </c>
      <c r="D68" s="187">
        <f t="shared" si="4"/>
        <v>4200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8">
        <f>'Données projet'!A77</f>
        <v>110</v>
      </c>
      <c r="B69" s="189">
        <f>'Données projet'!D77</f>
        <v>39</v>
      </c>
      <c r="C69" s="200">
        <v>110</v>
      </c>
      <c r="D69" s="187">
        <f t="shared" si="4"/>
        <v>4290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8">
        <f>'Données projet'!A78</f>
        <v>120</v>
      </c>
      <c r="B70" s="189">
        <f>'Données projet'!D78</f>
        <v>35</v>
      </c>
      <c r="C70" s="200">
        <v>130</v>
      </c>
      <c r="D70" s="187">
        <f t="shared" si="4"/>
        <v>4550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8">
        <f>'Données projet'!A79</f>
        <v>130</v>
      </c>
      <c r="B71" s="189">
        <f>'Données projet'!D79</f>
        <v>31</v>
      </c>
      <c r="C71" s="200">
        <v>150</v>
      </c>
      <c r="D71" s="187">
        <f t="shared" si="4"/>
        <v>4650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8">
        <f>'Données projet'!A80</f>
        <v>140</v>
      </c>
      <c r="B72" s="189">
        <f>'Données projet'!D80</f>
        <v>27</v>
      </c>
      <c r="C72" s="200">
        <v>200</v>
      </c>
      <c r="D72" s="187">
        <f t="shared" si="4"/>
        <v>5400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8">
        <f>'Données projet'!A81</f>
        <v>150</v>
      </c>
      <c r="B73" s="189">
        <f>'Données projet'!D81</f>
        <v>293</v>
      </c>
      <c r="C73" s="200">
        <v>200</v>
      </c>
      <c r="D73" s="187">
        <f t="shared" si="4"/>
        <v>58600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2" t="str">
        <f>IF('Données projet'!B11="","",'Données projet'!B11)</f>
        <v>Chêne chevelu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 t="str">
        <f>IF(O77+1&lt;=MIN('Données projet'!$E$9:$E$18),O77+1,"STOP")</f>
        <v>STOP</v>
      </c>
      <c r="P78" s="193" t="e">
        <f t="shared" si="5"/>
        <v>#VALUE!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 t="e">
        <f>IF(O78+1&lt;=MIN('Données projet'!$E$9:$E$18),O78+1,"STOP")</f>
        <v>#VALUE!</v>
      </c>
      <c r="P79" s="193" t="e">
        <f t="shared" si="5"/>
        <v>#VALUE!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 t="e">
        <f>IF(O79+1&lt;=MIN('Données projet'!$E$9:$E$18),O79+1,"STOP")</f>
        <v>#VALUE!</v>
      </c>
      <c r="P80" s="193" t="e">
        <f t="shared" si="5"/>
        <v>#VALUE!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 t="e">
        <f>IF(O80+1&lt;=MIN('Données projet'!$E$9:$E$18),O80+1,"STOP")</f>
        <v>#VALUE!</v>
      </c>
      <c r="P81" s="193" t="e">
        <f t="shared" si="5"/>
        <v>#VALUE!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 t="e">
        <f>IF(O81+1&lt;=MIN('Données projet'!$E$9:$E$18),O81+1,"STOP")</f>
        <v>#VALUE!</v>
      </c>
      <c r="P82" s="193" t="e">
        <f t="shared" si="5"/>
        <v>#VALUE!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 t="e">
        <f>IF(O82+1&lt;=MIN('Données projet'!$E$9:$E$18),O82+1,"STOP")</f>
        <v>#VALUE!</v>
      </c>
      <c r="P83" s="193" t="e">
        <f t="shared" si="5"/>
        <v>#VALUE!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 t="e">
        <f>IF(O83+1&lt;=MIN('Données projet'!$E$9:$E$18),O83+1,"STOP")</f>
        <v>#VALUE!</v>
      </c>
      <c r="P84" s="193" t="e">
        <f t="shared" si="5"/>
        <v>#VALUE!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8">
        <f>'Données projet'!A88</f>
        <v>20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 t="e">
        <f>IF(O84+1&lt;=MIN('Données projet'!$E$9:$E$18),O84+1,"STOP")</f>
        <v>#VALUE!</v>
      </c>
      <c r="P85" s="193" t="e">
        <f t="shared" si="5"/>
        <v>#VALUE!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8">
        <f>'Données projet'!A89</f>
        <v>25</v>
      </c>
      <c r="B86" s="189">
        <f>'Données projet'!D89</f>
        <v>0</v>
      </c>
      <c r="C86" s="200"/>
      <c r="D86" s="187">
        <f t="shared" ref="D86:D104" si="6">B86*C86</f>
        <v>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 t="e">
        <f>IF(O85+1&lt;=MIN('Données projet'!$E$9:$E$18),O85+1,"STOP")</f>
        <v>#VALUE!</v>
      </c>
      <c r="P86" s="193" t="e">
        <f t="shared" si="5"/>
        <v>#VALUE!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8">
        <f>'Données projet'!A90</f>
        <v>30</v>
      </c>
      <c r="B87" s="189">
        <f>'Données projet'!D90</f>
        <v>29</v>
      </c>
      <c r="C87" s="200">
        <v>10</v>
      </c>
      <c r="D87" s="187">
        <f t="shared" si="6"/>
        <v>290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 t="e">
        <f>IF(O86+1&lt;=MIN('Données projet'!$E$9:$E$18),O86+1,"STOP")</f>
        <v>#VALUE!</v>
      </c>
      <c r="P87" s="193" t="e">
        <f t="shared" si="5"/>
        <v>#VALUE!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8">
        <f>'Données projet'!A91</f>
        <v>35</v>
      </c>
      <c r="B88" s="189">
        <f>'Données projet'!D91</f>
        <v>0</v>
      </c>
      <c r="C88" s="200"/>
      <c r="D88" s="187">
        <f t="shared" si="6"/>
        <v>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 t="e">
        <f>IF(O87+1&lt;=MIN('Données projet'!$E$9:$E$18),O87+1,"STOP")</f>
        <v>#VALUE!</v>
      </c>
      <c r="P88" s="193" t="e">
        <f t="shared" si="5"/>
        <v>#VALUE!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8">
        <f>'Données projet'!A92</f>
        <v>40</v>
      </c>
      <c r="B89" s="189">
        <f>'Données projet'!D92</f>
        <v>42</v>
      </c>
      <c r="C89" s="200">
        <v>10</v>
      </c>
      <c r="D89" s="187">
        <f t="shared" si="6"/>
        <v>420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 t="e">
        <f>IF(O88+1&lt;=MIN('Données projet'!$E$9:$E$18),O88+1,"STOP")</f>
        <v>#VALUE!</v>
      </c>
      <c r="P89" s="193" t="e">
        <f t="shared" si="5"/>
        <v>#VALUE!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8">
        <f>'Données projet'!A93</f>
        <v>45</v>
      </c>
      <c r="B90" s="189">
        <f>'Données projet'!D93</f>
        <v>0</v>
      </c>
      <c r="C90" s="200"/>
      <c r="D90" s="187">
        <f t="shared" si="6"/>
        <v>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 t="e">
        <f>IF(O89+1&lt;=MIN('Données projet'!$E$9:$E$18),O89+1,"STOP")</f>
        <v>#VALUE!</v>
      </c>
      <c r="P90" s="193" t="e">
        <f t="shared" si="5"/>
        <v>#VALUE!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8">
        <f>'Données projet'!A94</f>
        <v>50</v>
      </c>
      <c r="B91" s="189">
        <f>'Données projet'!D94</f>
        <v>42</v>
      </c>
      <c r="C91" s="200">
        <v>15</v>
      </c>
      <c r="D91" s="187">
        <f t="shared" si="6"/>
        <v>630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 t="e">
        <f>IF(O90+1&lt;=MIN('Données projet'!$E$9:$E$18),O90+1,"STOP")</f>
        <v>#VALUE!</v>
      </c>
      <c r="P91" s="193" t="e">
        <f t="shared" si="5"/>
        <v>#VALUE!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8">
        <f>'Données projet'!A95</f>
        <v>55</v>
      </c>
      <c r="B92" s="189">
        <f>'Données projet'!D95</f>
        <v>0</v>
      </c>
      <c r="C92" s="200"/>
      <c r="D92" s="187">
        <f t="shared" si="6"/>
        <v>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 t="e">
        <f>IF(O91+1&lt;=MIN('Données projet'!$E$9:$E$18),O91+1,"STOP")</f>
        <v>#VALUE!</v>
      </c>
      <c r="P92" s="193" t="e">
        <f t="shared" si="5"/>
        <v>#VALUE!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8">
        <f>'Données projet'!A96</f>
        <v>60</v>
      </c>
      <c r="B93" s="189">
        <f>'Données projet'!D96</f>
        <v>42</v>
      </c>
      <c r="C93" s="200">
        <v>20</v>
      </c>
      <c r="D93" s="187">
        <f t="shared" si="6"/>
        <v>840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 t="e">
        <f>IF(O92+1&lt;=MIN('Données projet'!$E$9:$E$18),O92+1,"STOP")</f>
        <v>#VALUE!</v>
      </c>
      <c r="P93" s="193" t="e">
        <f t="shared" si="5"/>
        <v>#VALUE!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8">
        <f>'Données projet'!A97</f>
        <v>65</v>
      </c>
      <c r="B94" s="189">
        <f>'Données projet'!D97</f>
        <v>0</v>
      </c>
      <c r="C94" s="200"/>
      <c r="D94" s="187">
        <f t="shared" si="6"/>
        <v>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 t="e">
        <f>IF(O93+1&lt;=MIN('Données projet'!$E$9:$E$18),O93+1,"STOP")</f>
        <v>#VALUE!</v>
      </c>
      <c r="P94" s="193" t="e">
        <f t="shared" si="5"/>
        <v>#VALUE!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8">
        <f>'Données projet'!A98</f>
        <v>70</v>
      </c>
      <c r="B95" s="189">
        <f>'Données projet'!D98</f>
        <v>42</v>
      </c>
      <c r="C95" s="200">
        <v>40</v>
      </c>
      <c r="D95" s="187">
        <f t="shared" si="6"/>
        <v>1680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 t="e">
        <f>IF(O94+1&lt;=MIN('Données projet'!$E$9:$E$18),O94+1,"STOP")</f>
        <v>#VALUE!</v>
      </c>
      <c r="P95" s="193" t="e">
        <f t="shared" si="5"/>
        <v>#VALUE!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8">
        <f>'Données projet'!A99</f>
        <v>75</v>
      </c>
      <c r="B96" s="189">
        <f>'Données projet'!D99</f>
        <v>0</v>
      </c>
      <c r="C96" s="200"/>
      <c r="D96" s="187">
        <f t="shared" si="6"/>
        <v>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 t="e">
        <f>IF(O95+1&lt;=MIN('Données projet'!$E$9:$E$18),O95+1,"STOP")</f>
        <v>#VALUE!</v>
      </c>
      <c r="P96" s="193" t="e">
        <f t="shared" si="5"/>
        <v>#VALUE!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8">
        <f>'Données projet'!A100</f>
        <v>80</v>
      </c>
      <c r="B97" s="189">
        <f>'Données projet'!D100</f>
        <v>42</v>
      </c>
      <c r="C97" s="200">
        <v>60</v>
      </c>
      <c r="D97" s="187">
        <f t="shared" si="6"/>
        <v>2520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 t="e">
        <f>IF(O96+1&lt;=MIN('Données projet'!$E$9:$E$18),O96+1,"STOP")</f>
        <v>#VALUE!</v>
      </c>
      <c r="P97" s="193" t="e">
        <f t="shared" ref="P97:P128" si="7">$P$25/(1+$M$4)^O97</f>
        <v>#VALUE!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8">
        <f>'Données projet'!A101</f>
        <v>90</v>
      </c>
      <c r="B98" s="189">
        <f>'Données projet'!D101</f>
        <v>42</v>
      </c>
      <c r="C98" s="200">
        <v>80</v>
      </c>
      <c r="D98" s="187">
        <f t="shared" si="6"/>
        <v>3360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 t="e">
        <f>IF(O97+1&lt;=MIN('Données projet'!$E$9:$E$18),O97+1,"STOP")</f>
        <v>#VALUE!</v>
      </c>
      <c r="P98" s="193" t="e">
        <f t="shared" si="7"/>
        <v>#VALUE!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8">
        <f>'Données projet'!A102</f>
        <v>100</v>
      </c>
      <c r="B99" s="189">
        <f>'Données projet'!D102</f>
        <v>42</v>
      </c>
      <c r="C99" s="200">
        <v>100</v>
      </c>
      <c r="D99" s="187">
        <f t="shared" si="6"/>
        <v>4200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 t="e">
        <f>IF(O98+1&lt;=MIN('Données projet'!$E$9:$E$18),O98+1,"STOP")</f>
        <v>#VALUE!</v>
      </c>
      <c r="P99" s="193" t="e">
        <f t="shared" si="7"/>
        <v>#VALUE!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8">
        <f>'Données projet'!A103</f>
        <v>110</v>
      </c>
      <c r="B100" s="189">
        <f>'Données projet'!D103</f>
        <v>39</v>
      </c>
      <c r="C100" s="200">
        <v>110</v>
      </c>
      <c r="D100" s="187">
        <f t="shared" si="6"/>
        <v>4290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 t="e">
        <f>IF(O99+1&lt;=MIN('Données projet'!$E$9:$E$18),O99+1,"STOP")</f>
        <v>#VALUE!</v>
      </c>
      <c r="P100" s="193" t="e">
        <f t="shared" si="7"/>
        <v>#VALUE!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8">
        <f>'Données projet'!A104</f>
        <v>120</v>
      </c>
      <c r="B101" s="189">
        <f>'Données projet'!D104</f>
        <v>35</v>
      </c>
      <c r="C101" s="200">
        <v>130</v>
      </c>
      <c r="D101" s="187">
        <f t="shared" si="6"/>
        <v>4550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 t="e">
        <f>IF(O100+1&lt;=MIN('Données projet'!$E$9:$E$18),O100+1,"STOP")</f>
        <v>#VALUE!</v>
      </c>
      <c r="P101" s="193" t="e">
        <f t="shared" si="7"/>
        <v>#VALUE!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8">
        <f>'Données projet'!A105</f>
        <v>130</v>
      </c>
      <c r="B102" s="189">
        <f>'Données projet'!D105</f>
        <v>31</v>
      </c>
      <c r="C102" s="200">
        <v>150</v>
      </c>
      <c r="D102" s="187">
        <f t="shared" si="6"/>
        <v>4650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 t="e">
        <f>IF(O101+1&lt;=MIN('Données projet'!$E$9:$E$18),O101+1,"STOP")</f>
        <v>#VALUE!</v>
      </c>
      <c r="P102" s="193" t="e">
        <f t="shared" si="7"/>
        <v>#VALUE!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8">
        <f>'Données projet'!A106</f>
        <v>140</v>
      </c>
      <c r="B103" s="189">
        <f>'Données projet'!D106</f>
        <v>27</v>
      </c>
      <c r="C103" s="200">
        <v>200</v>
      </c>
      <c r="D103" s="187">
        <f t="shared" si="6"/>
        <v>5400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 t="e">
        <f>IF(O102+1&lt;=MIN('Données projet'!$E$9:$E$18),O102+1,"STOP")</f>
        <v>#VALUE!</v>
      </c>
      <c r="P103" s="193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8">
        <f>'Données projet'!A107</f>
        <v>150</v>
      </c>
      <c r="B104" s="189">
        <f>'Données projet'!D107</f>
        <v>293</v>
      </c>
      <c r="C104" s="200">
        <v>200</v>
      </c>
      <c r="D104" s="187">
        <f t="shared" si="6"/>
        <v>58600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2" t="str">
        <f>IF('Données projet'!B12="","",'Données projet'!B12)</f>
        <v>Chêne pubescent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8">
        <f>'Données projet'!A114</f>
        <v>20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8">
        <f>'Données projet'!A115</f>
        <v>25</v>
      </c>
      <c r="B117" s="189">
        <f>'Données projet'!D115</f>
        <v>0</v>
      </c>
      <c r="C117" s="200"/>
      <c r="D117" s="187">
        <f t="shared" ref="D117:D135" si="8">B117*C117</f>
        <v>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8">
        <f>'Données projet'!A116</f>
        <v>30</v>
      </c>
      <c r="B118" s="189">
        <f>'Données projet'!D116</f>
        <v>29</v>
      </c>
      <c r="C118" s="200">
        <v>10</v>
      </c>
      <c r="D118" s="187">
        <f t="shared" si="8"/>
        <v>290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8">
        <f>'Données projet'!A117</f>
        <v>35</v>
      </c>
      <c r="B119" s="189">
        <f>'Données projet'!D117</f>
        <v>0</v>
      </c>
      <c r="C119" s="200"/>
      <c r="D119" s="187">
        <f t="shared" si="8"/>
        <v>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8">
        <f>'Données projet'!A118</f>
        <v>40</v>
      </c>
      <c r="B120" s="189">
        <f>'Données projet'!D118</f>
        <v>42</v>
      </c>
      <c r="C120" s="200">
        <v>10</v>
      </c>
      <c r="D120" s="187">
        <f t="shared" si="8"/>
        <v>420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8">
        <f>'Données projet'!A119</f>
        <v>45</v>
      </c>
      <c r="B121" s="189">
        <f>'Données projet'!D119</f>
        <v>0</v>
      </c>
      <c r="C121" s="200"/>
      <c r="D121" s="187">
        <f t="shared" si="8"/>
        <v>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8">
        <f>'Données projet'!A120</f>
        <v>50</v>
      </c>
      <c r="B122" s="189">
        <f>'Données projet'!D120</f>
        <v>42</v>
      </c>
      <c r="C122" s="200">
        <v>15</v>
      </c>
      <c r="D122" s="187">
        <f t="shared" si="8"/>
        <v>630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8">
        <f>'Données projet'!A121</f>
        <v>55</v>
      </c>
      <c r="B123" s="189">
        <f>'Données projet'!D121</f>
        <v>0</v>
      </c>
      <c r="C123" s="200"/>
      <c r="D123" s="187">
        <f t="shared" si="8"/>
        <v>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8">
        <f>'Données projet'!A122</f>
        <v>60</v>
      </c>
      <c r="B124" s="189">
        <f>'Données projet'!D122</f>
        <v>42</v>
      </c>
      <c r="C124" s="200">
        <v>20</v>
      </c>
      <c r="D124" s="187">
        <f t="shared" si="8"/>
        <v>840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8">
        <f>'Données projet'!A123</f>
        <v>65</v>
      </c>
      <c r="B125" s="189">
        <f>'Données projet'!D123</f>
        <v>0</v>
      </c>
      <c r="C125" s="200"/>
      <c r="D125" s="187">
        <f t="shared" si="8"/>
        <v>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8">
        <f>'Données projet'!A124</f>
        <v>70</v>
      </c>
      <c r="B126" s="189">
        <f>'Données projet'!D124</f>
        <v>42</v>
      </c>
      <c r="C126" s="200">
        <v>40</v>
      </c>
      <c r="D126" s="187">
        <f t="shared" si="8"/>
        <v>1680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8">
        <f>'Données projet'!A125</f>
        <v>75</v>
      </c>
      <c r="B127" s="189">
        <f>'Données projet'!D125</f>
        <v>0</v>
      </c>
      <c r="C127" s="200"/>
      <c r="D127" s="187">
        <f t="shared" si="8"/>
        <v>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8">
        <f>'Données projet'!A126</f>
        <v>80</v>
      </c>
      <c r="B128" s="189">
        <f>'Données projet'!D126</f>
        <v>42</v>
      </c>
      <c r="C128" s="200">
        <v>60</v>
      </c>
      <c r="D128" s="187">
        <f t="shared" si="8"/>
        <v>2520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8">
        <f>'Données projet'!A127</f>
        <v>90</v>
      </c>
      <c r="B129" s="189">
        <f>'Données projet'!D127</f>
        <v>42</v>
      </c>
      <c r="C129" s="200">
        <v>80</v>
      </c>
      <c r="D129" s="187">
        <f t="shared" si="8"/>
        <v>3360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8">
        <f>'Données projet'!A128</f>
        <v>100</v>
      </c>
      <c r="B130" s="189">
        <f>'Données projet'!D128</f>
        <v>42</v>
      </c>
      <c r="C130" s="200">
        <v>100</v>
      </c>
      <c r="D130" s="187">
        <f t="shared" si="8"/>
        <v>4200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8">
        <f>'Données projet'!A129</f>
        <v>110</v>
      </c>
      <c r="B131" s="189">
        <f>'Données projet'!D129</f>
        <v>39</v>
      </c>
      <c r="C131" s="200">
        <v>110</v>
      </c>
      <c r="D131" s="187">
        <f t="shared" si="8"/>
        <v>4290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8">
        <f>'Données projet'!A130</f>
        <v>120</v>
      </c>
      <c r="B132" s="189">
        <f>'Données projet'!D130</f>
        <v>35</v>
      </c>
      <c r="C132" s="200">
        <v>130</v>
      </c>
      <c r="D132" s="187">
        <f t="shared" si="8"/>
        <v>4550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8">
        <f>'Données projet'!A131</f>
        <v>130</v>
      </c>
      <c r="B133" s="189">
        <f>'Données projet'!D131</f>
        <v>31</v>
      </c>
      <c r="C133" s="200">
        <v>150</v>
      </c>
      <c r="D133" s="187">
        <f t="shared" si="8"/>
        <v>4650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8">
        <f>'Données projet'!A132</f>
        <v>140</v>
      </c>
      <c r="B134" s="189">
        <f>'Données projet'!D132</f>
        <v>27</v>
      </c>
      <c r="C134" s="200">
        <v>200</v>
      </c>
      <c r="D134" s="187">
        <f t="shared" si="8"/>
        <v>5400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8">
        <f>'Données projet'!A133</f>
        <v>150</v>
      </c>
      <c r="B135" s="189">
        <f>'Données projet'!D133</f>
        <v>293</v>
      </c>
      <c r="C135" s="200">
        <v>200</v>
      </c>
      <c r="D135" s="187">
        <f t="shared" si="8"/>
        <v>58600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2" t="str">
        <f>IF('Données projet'!B13="","",'Données projet'!B13)</f>
        <v>Chêne sessile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3">
        <f>'Données projet'!D141</f>
        <v>0</v>
      </c>
      <c r="C148" s="200"/>
      <c r="D148" s="190">
        <f t="shared" ref="D148:D166" si="10">B148*C148</f>
        <v>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3">
        <f>'Données projet'!D142</f>
        <v>29</v>
      </c>
      <c r="C149" s="200">
        <v>10</v>
      </c>
      <c r="D149" s="190">
        <f t="shared" si="10"/>
        <v>290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3">
        <f>'Données projet'!D143</f>
        <v>0</v>
      </c>
      <c r="C150" s="200"/>
      <c r="D150" s="190">
        <f t="shared" si="10"/>
        <v>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3">
        <f>'Données projet'!D144</f>
        <v>42</v>
      </c>
      <c r="C151" s="200">
        <v>10</v>
      </c>
      <c r="D151" s="190">
        <f t="shared" si="10"/>
        <v>420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3">
        <f>'Données projet'!D145</f>
        <v>0</v>
      </c>
      <c r="C152" s="200"/>
      <c r="D152" s="190">
        <f t="shared" si="10"/>
        <v>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3">
        <f>'Données projet'!D146</f>
        <v>42</v>
      </c>
      <c r="C153" s="200">
        <v>15</v>
      </c>
      <c r="D153" s="190">
        <f t="shared" si="10"/>
        <v>630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3">
        <f>'Données projet'!D147</f>
        <v>0</v>
      </c>
      <c r="C154" s="200"/>
      <c r="D154" s="190">
        <f t="shared" si="10"/>
        <v>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3">
        <f>'Données projet'!D148</f>
        <v>42</v>
      </c>
      <c r="C155" s="200">
        <v>20</v>
      </c>
      <c r="D155" s="190">
        <f t="shared" si="10"/>
        <v>840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3">
        <f>'Données projet'!D149</f>
        <v>0</v>
      </c>
      <c r="C156" s="200"/>
      <c r="D156" s="190">
        <f t="shared" si="10"/>
        <v>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3">
        <f>'Données projet'!D150</f>
        <v>42</v>
      </c>
      <c r="C157" s="200">
        <v>40</v>
      </c>
      <c r="D157" s="190">
        <f t="shared" si="10"/>
        <v>1680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3">
        <f>'Données projet'!D151</f>
        <v>0</v>
      </c>
      <c r="C158" s="200"/>
      <c r="D158" s="190">
        <f t="shared" si="10"/>
        <v>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3">
        <f>'Données projet'!D152</f>
        <v>42</v>
      </c>
      <c r="C159" s="200">
        <v>60</v>
      </c>
      <c r="D159" s="190">
        <f t="shared" si="10"/>
        <v>2520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3">
        <f>'Données projet'!D153</f>
        <v>42</v>
      </c>
      <c r="C160" s="200">
        <v>80</v>
      </c>
      <c r="D160" s="190">
        <f t="shared" si="10"/>
        <v>3360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3">
        <f>'Données projet'!D154</f>
        <v>42</v>
      </c>
      <c r="C161" s="200">
        <v>100</v>
      </c>
      <c r="D161" s="190">
        <f t="shared" si="10"/>
        <v>4200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3">
        <f>'Données projet'!D155</f>
        <v>39</v>
      </c>
      <c r="C162" s="200">
        <v>110</v>
      </c>
      <c r="D162" s="190">
        <f t="shared" si="10"/>
        <v>4290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3">
        <f>'Données projet'!D156</f>
        <v>35</v>
      </c>
      <c r="C163" s="200">
        <v>130</v>
      </c>
      <c r="D163" s="190">
        <f t="shared" si="10"/>
        <v>4550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3">
        <f>'Données projet'!D157</f>
        <v>31</v>
      </c>
      <c r="C164" s="200">
        <v>150</v>
      </c>
      <c r="D164" s="190">
        <f t="shared" si="10"/>
        <v>4650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3">
        <f>'Données projet'!D158</f>
        <v>27</v>
      </c>
      <c r="C165" s="200">
        <v>200</v>
      </c>
      <c r="D165" s="190">
        <f t="shared" si="10"/>
        <v>5400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3">
        <f>'Données projet'!D159</f>
        <v>293</v>
      </c>
      <c r="C166" s="200">
        <v>200</v>
      </c>
      <c r="D166" s="190">
        <f t="shared" si="10"/>
        <v>58600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2" t="str">
        <f>IF('Données projet'!B14="","",'Données projet'!B14)</f>
        <v>Cormier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8">
        <f>'Données projet'!A166</f>
        <v>20</v>
      </c>
      <c r="B178" s="189">
        <f>'Données projet'!D166</f>
        <v>0</v>
      </c>
      <c r="C178" s="200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8">
        <f>'Données projet'!A167</f>
        <v>25</v>
      </c>
      <c r="B179" s="189">
        <f>'Données projet'!D167</f>
        <v>0</v>
      </c>
      <c r="C179" s="200"/>
      <c r="D179" s="187">
        <f t="shared" ref="D179:D197" si="11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8">
        <f>'Données projet'!A168</f>
        <v>30</v>
      </c>
      <c r="B180" s="189">
        <f>'Données projet'!D168</f>
        <v>29</v>
      </c>
      <c r="C180" s="200">
        <v>10</v>
      </c>
      <c r="D180" s="187">
        <f t="shared" si="11"/>
        <v>290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8">
        <f>'Données projet'!A169</f>
        <v>35</v>
      </c>
      <c r="B181" s="189">
        <f>'Données projet'!D169</f>
        <v>0</v>
      </c>
      <c r="C181" s="200"/>
      <c r="D181" s="187">
        <f t="shared" si="11"/>
        <v>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8">
        <f>'Données projet'!A170</f>
        <v>40</v>
      </c>
      <c r="B182" s="189">
        <f>'Données projet'!D170</f>
        <v>42</v>
      </c>
      <c r="C182" s="200">
        <v>10</v>
      </c>
      <c r="D182" s="187">
        <f t="shared" si="11"/>
        <v>420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8">
        <f>'Données projet'!A171</f>
        <v>45</v>
      </c>
      <c r="B183" s="189">
        <f>'Données projet'!D171</f>
        <v>0</v>
      </c>
      <c r="C183" s="200"/>
      <c r="D183" s="187">
        <f t="shared" si="11"/>
        <v>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8">
        <f>'Données projet'!A172</f>
        <v>50</v>
      </c>
      <c r="B184" s="189">
        <f>'Données projet'!D172</f>
        <v>42</v>
      </c>
      <c r="C184" s="200">
        <v>15</v>
      </c>
      <c r="D184" s="187">
        <f t="shared" si="11"/>
        <v>630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8">
        <f>'Données projet'!A173</f>
        <v>55</v>
      </c>
      <c r="B185" s="189">
        <f>'Données projet'!D173</f>
        <v>0</v>
      </c>
      <c r="C185" s="200"/>
      <c r="D185" s="187">
        <f t="shared" si="11"/>
        <v>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8">
        <f>'Données projet'!A174</f>
        <v>60</v>
      </c>
      <c r="B186" s="189">
        <f>'Données projet'!D174</f>
        <v>42</v>
      </c>
      <c r="C186" s="200">
        <v>20</v>
      </c>
      <c r="D186" s="187">
        <f t="shared" si="11"/>
        <v>840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8">
        <f>'Données projet'!A175</f>
        <v>65</v>
      </c>
      <c r="B187" s="189">
        <f>'Données projet'!D175</f>
        <v>0</v>
      </c>
      <c r="C187" s="200"/>
      <c r="D187" s="187">
        <f t="shared" si="11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8">
        <f>'Données projet'!A176</f>
        <v>70</v>
      </c>
      <c r="B188" s="189">
        <f>'Données projet'!D176</f>
        <v>42</v>
      </c>
      <c r="C188" s="200">
        <v>40</v>
      </c>
      <c r="D188" s="187">
        <f t="shared" si="11"/>
        <v>1680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8">
        <f>'Données projet'!A177</f>
        <v>75</v>
      </c>
      <c r="B189" s="189">
        <f>'Données projet'!D177</f>
        <v>0</v>
      </c>
      <c r="C189" s="200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8">
        <f>'Données projet'!A178</f>
        <v>80</v>
      </c>
      <c r="B190" s="189">
        <f>'Données projet'!D178</f>
        <v>42</v>
      </c>
      <c r="C190" s="200">
        <v>60</v>
      </c>
      <c r="D190" s="187">
        <f t="shared" si="11"/>
        <v>2520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8">
        <f>'Données projet'!A179</f>
        <v>90</v>
      </c>
      <c r="B191" s="189">
        <f>'Données projet'!D179</f>
        <v>42</v>
      </c>
      <c r="C191" s="200">
        <v>80</v>
      </c>
      <c r="D191" s="187">
        <f t="shared" si="11"/>
        <v>3360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8">
        <f>'Données projet'!A180</f>
        <v>100</v>
      </c>
      <c r="B192" s="189">
        <f>'Données projet'!D180</f>
        <v>42</v>
      </c>
      <c r="C192" s="200">
        <v>100</v>
      </c>
      <c r="D192" s="187">
        <f t="shared" si="11"/>
        <v>4200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8">
        <f>'Données projet'!A181</f>
        <v>110</v>
      </c>
      <c r="B193" s="189">
        <f>'Données projet'!D181</f>
        <v>39</v>
      </c>
      <c r="C193" s="200">
        <v>110</v>
      </c>
      <c r="D193" s="187">
        <f t="shared" si="11"/>
        <v>4290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8">
        <f>'Données projet'!A182</f>
        <v>120</v>
      </c>
      <c r="B194" s="189">
        <f>'Données projet'!D182</f>
        <v>35</v>
      </c>
      <c r="C194" s="200">
        <v>130</v>
      </c>
      <c r="D194" s="187">
        <f t="shared" si="11"/>
        <v>4550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8">
        <f>'Données projet'!A183</f>
        <v>130</v>
      </c>
      <c r="B195" s="189">
        <f>'Données projet'!D183</f>
        <v>31</v>
      </c>
      <c r="C195" s="200">
        <v>150</v>
      </c>
      <c r="D195" s="187">
        <f t="shared" si="11"/>
        <v>4650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8">
        <f>'Données projet'!A184</f>
        <v>140</v>
      </c>
      <c r="B196" s="189">
        <f>'Données projet'!D184</f>
        <v>27</v>
      </c>
      <c r="C196" s="200">
        <v>200</v>
      </c>
      <c r="D196" s="187">
        <f t="shared" si="11"/>
        <v>5400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8">
        <f>'Données projet'!A185</f>
        <v>150</v>
      </c>
      <c r="B197" s="189">
        <f>'Données projet'!D185</f>
        <v>293</v>
      </c>
      <c r="C197" s="200">
        <v>200</v>
      </c>
      <c r="D197" s="187">
        <f t="shared" si="11"/>
        <v>58600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2" t="str">
        <f>IF('Données projet'!$B$15="","",'Données projet'!$B$15)</f>
        <v>Pin laricio</v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8">
        <f>'Données projet'!A192</f>
        <v>22</v>
      </c>
      <c r="B209" s="189">
        <f>'Données projet'!D192</f>
        <v>16</v>
      </c>
      <c r="C209" s="200">
        <v>10</v>
      </c>
      <c r="D209" s="187">
        <f>B209*C209</f>
        <v>160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8">
        <f>'Données projet'!A193</f>
        <v>25</v>
      </c>
      <c r="B210" s="189">
        <f>'Données projet'!D193</f>
        <v>0</v>
      </c>
      <c r="C210" s="208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8">
        <f>'Données projet'!A194</f>
        <v>30</v>
      </c>
      <c r="B211" s="189">
        <f>'Données projet'!D194</f>
        <v>51</v>
      </c>
      <c r="C211" s="200">
        <v>10</v>
      </c>
      <c r="D211" s="187">
        <f t="shared" si="12"/>
        <v>510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8">
        <f>'Données projet'!A195</f>
        <v>35</v>
      </c>
      <c r="B212" s="189">
        <f>'Données projet'!D195</f>
        <v>0</v>
      </c>
      <c r="C212" s="208"/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8">
        <f>'Données projet'!A196</f>
        <v>40</v>
      </c>
      <c r="B213" s="189">
        <f>'Données projet'!D196</f>
        <v>82</v>
      </c>
      <c r="C213" s="200">
        <v>15</v>
      </c>
      <c r="D213" s="187">
        <f t="shared" si="12"/>
        <v>1230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8">
        <f>'Données projet'!A197</f>
        <v>45</v>
      </c>
      <c r="B214" s="189">
        <f>'Données projet'!D197</f>
        <v>0</v>
      </c>
      <c r="C214" s="208"/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8">
        <f>'Données projet'!A198</f>
        <v>50</v>
      </c>
      <c r="B215" s="189">
        <f>'Données projet'!D198</f>
        <v>106</v>
      </c>
      <c r="C215" s="200">
        <v>20</v>
      </c>
      <c r="D215" s="187">
        <f t="shared" si="12"/>
        <v>2120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8">
        <f>'Données projet'!A199</f>
        <v>58</v>
      </c>
      <c r="B216" s="189">
        <f>'Données projet'!D199</f>
        <v>0</v>
      </c>
      <c r="C216" s="200"/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8">
        <f>'Données projet'!A200</f>
        <v>66</v>
      </c>
      <c r="B217" s="189">
        <f>'Données projet'!D200</f>
        <v>143</v>
      </c>
      <c r="C217" s="200">
        <v>30</v>
      </c>
      <c r="D217" s="187">
        <f t="shared" si="12"/>
        <v>4290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8">
        <f>'Données projet'!A201</f>
        <v>74</v>
      </c>
      <c r="B218" s="189">
        <f>'Données projet'!D201</f>
        <v>0</v>
      </c>
      <c r="C218" s="200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8">
        <f>'Données projet'!A202</f>
        <v>82</v>
      </c>
      <c r="B219" s="189">
        <f>'Données projet'!D202</f>
        <v>604</v>
      </c>
      <c r="C219" s="200">
        <v>45</v>
      </c>
      <c r="D219" s="187">
        <f t="shared" si="12"/>
        <v>27180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8">
        <f>'Données projet'!A203</f>
        <v>0</v>
      </c>
      <c r="B220" s="189">
        <f>'Données projet'!D203</f>
        <v>0</v>
      </c>
      <c r="C220" s="200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8">
        <f>'Données projet'!A204</f>
        <v>0</v>
      </c>
      <c r="B221" s="189">
        <f>'Données projet'!D204</f>
        <v>0</v>
      </c>
      <c r="C221" s="200"/>
      <c r="D221" s="187">
        <f t="shared" si="12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8">
        <f>'Données projet'!A205</f>
        <v>0</v>
      </c>
      <c r="B222" s="189">
        <f>'Données projet'!D205</f>
        <v>0</v>
      </c>
      <c r="C222" s="200"/>
      <c r="D222" s="187">
        <f t="shared" si="12"/>
        <v>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8">
        <f>'Données projet'!A206</f>
        <v>0</v>
      </c>
      <c r="B223" s="189">
        <f>'Données projet'!D206</f>
        <v>0</v>
      </c>
      <c r="C223" s="202"/>
      <c r="D223" s="187">
        <f t="shared" si="12"/>
        <v>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8">
        <f>'Données projet'!A207</f>
        <v>0</v>
      </c>
      <c r="B224" s="189">
        <f>'Données projet'!D207</f>
        <v>0</v>
      </c>
      <c r="C224" s="202"/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8">
        <f>'Données projet'!A208</f>
        <v>0</v>
      </c>
      <c r="B225" s="189">
        <f>'Données projet'!D208</f>
        <v>0</v>
      </c>
      <c r="C225" s="202"/>
      <c r="D225" s="187">
        <f t="shared" si="12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8">
        <f>'Données projet'!A209</f>
        <v>0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8">
        <f>'Données projet'!A210</f>
        <v>0</v>
      </c>
      <c r="B227" s="189">
        <f>'Données projet'!D210</f>
        <v>0</v>
      </c>
      <c r="C227" s="202"/>
      <c r="D227" s="187">
        <f t="shared" si="12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8">
        <f>'Données projet'!A211</f>
        <v>0</v>
      </c>
      <c r="B228" s="189">
        <f>'Données projet'!D211</f>
        <v>0</v>
      </c>
      <c r="C228" s="202"/>
      <c r="D228" s="187">
        <f t="shared" si="12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2" t="str">
        <f>IF('Données projet'!$B$16="","",'Données projet'!$B$16)</f>
        <v>Pin maritime</v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8">
        <f>'Données projet'!A218</f>
        <v>12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8">
        <f>'Données projet'!A219</f>
        <v>13</v>
      </c>
      <c r="B241" s="189">
        <f>'Données projet'!D219</f>
        <v>0</v>
      </c>
      <c r="C241" s="202"/>
      <c r="D241" s="187">
        <f t="shared" ref="D241:D259" si="13">B241*C241</f>
        <v>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8">
        <f>'Données projet'!A220</f>
        <v>14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8">
        <f>'Données projet'!A221</f>
        <v>15</v>
      </c>
      <c r="B243" s="189">
        <f>'Données projet'!D221</f>
        <v>23.3155</v>
      </c>
      <c r="C243" s="202">
        <v>10</v>
      </c>
      <c r="D243" s="187">
        <f t="shared" si="13"/>
        <v>233.155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8">
        <f>'Données projet'!A222</f>
        <v>16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8">
        <f>'Données projet'!A223</f>
        <v>17</v>
      </c>
      <c r="B245" s="189">
        <f>'Données projet'!D223</f>
        <v>0</v>
      </c>
      <c r="C245" s="202"/>
      <c r="D245" s="187">
        <f t="shared" si="13"/>
        <v>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8">
        <f>'Données projet'!A224</f>
        <v>18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8">
        <f>'Données projet'!A225</f>
        <v>19</v>
      </c>
      <c r="B247" s="189">
        <f>'Données projet'!D225</f>
        <v>0</v>
      </c>
      <c r="C247" s="202"/>
      <c r="D247" s="187">
        <f t="shared" si="13"/>
        <v>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8">
        <f>'Données projet'!A226</f>
        <v>20</v>
      </c>
      <c r="B248" s="189">
        <f>'Données projet'!D226</f>
        <v>34.110500000000002</v>
      </c>
      <c r="C248" s="202">
        <v>15</v>
      </c>
      <c r="D248" s="187">
        <f t="shared" si="13"/>
        <v>511.65750000000003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8">
        <f>'Données projet'!A227</f>
        <v>21</v>
      </c>
      <c r="B249" s="189">
        <f>'Données projet'!D227</f>
        <v>0</v>
      </c>
      <c r="C249" s="202"/>
      <c r="D249" s="187">
        <f t="shared" si="13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8">
        <f>'Données projet'!A228</f>
        <v>22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8">
        <f>'Données projet'!A229</f>
        <v>23</v>
      </c>
      <c r="B251" s="189">
        <f>'Données projet'!D229</f>
        <v>0</v>
      </c>
      <c r="C251" s="202"/>
      <c r="D251" s="187">
        <f t="shared" si="13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8">
        <f>'Données projet'!A230</f>
        <v>24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8">
        <f>'Données projet'!A231</f>
        <v>25</v>
      </c>
      <c r="B253" s="189">
        <f>'Données projet'!D231</f>
        <v>0</v>
      </c>
      <c r="C253" s="202"/>
      <c r="D253" s="187">
        <f t="shared" si="13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8">
        <f>'Données projet'!A232</f>
        <v>27</v>
      </c>
      <c r="B254" s="189">
        <f>'Données projet'!D232</f>
        <v>54.518999999999998</v>
      </c>
      <c r="C254" s="202">
        <v>20</v>
      </c>
      <c r="D254" s="187">
        <f t="shared" si="13"/>
        <v>1090.3799999999999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8">
        <f>'Données projet'!A233</f>
        <v>30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8">
        <f>'Données projet'!A234</f>
        <v>32</v>
      </c>
      <c r="B256" s="189">
        <f>'Données projet'!D234</f>
        <v>62.73</v>
      </c>
      <c r="C256" s="202">
        <v>25</v>
      </c>
      <c r="D256" s="187">
        <f t="shared" si="13"/>
        <v>1568.25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8">
        <f>'Données projet'!A235</f>
        <v>37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8">
        <f>'Données projet'!A236</f>
        <v>42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8">
        <f>'Données projet'!A237</f>
        <v>44</v>
      </c>
      <c r="B259" s="189">
        <f>'Données projet'!D237</f>
        <v>337.78999999999996</v>
      </c>
      <c r="C259" s="202">
        <v>40</v>
      </c>
      <c r="D259" s="187">
        <f t="shared" si="13"/>
        <v>13511.599999999999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8">
        <f>'Données projet'!A244</f>
        <v>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8">
        <f>'Données projet'!A245</f>
        <v>0</v>
      </c>
      <c r="B272" s="189">
        <f>'Données projet'!D245</f>
        <v>0</v>
      </c>
      <c r="C272" s="202"/>
      <c r="D272" s="187">
        <f t="shared" ref="D272:D290" si="14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8">
        <f>'Données projet'!A246</f>
        <v>0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8">
        <f>'Données projet'!A247</f>
        <v>0</v>
      </c>
      <c r="B274" s="189">
        <f>'Données projet'!D247</f>
        <v>0</v>
      </c>
      <c r="C274" s="202"/>
      <c r="D274" s="187">
        <f t="shared" si="14"/>
        <v>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8">
        <f>'Données projet'!A248</f>
        <v>0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8">
        <f>'Données projet'!A249</f>
        <v>0</v>
      </c>
      <c r="B276" s="189">
        <f>'Données projet'!D249</f>
        <v>0</v>
      </c>
      <c r="C276" s="202"/>
      <c r="D276" s="187">
        <f t="shared" si="14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8">
        <f>'Données projet'!A250</f>
        <v>0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8">
        <f>'Données projet'!A251</f>
        <v>0</v>
      </c>
      <c r="B278" s="189">
        <f>'Données projet'!D251</f>
        <v>0</v>
      </c>
      <c r="C278" s="202"/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8">
        <f>'Données projet'!A252</f>
        <v>0</v>
      </c>
      <c r="B279" s="189">
        <f>'Données projet'!D252</f>
        <v>0</v>
      </c>
      <c r="C279" s="202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8">
        <f>'Données projet'!A253</f>
        <v>0</v>
      </c>
      <c r="B280" s="189">
        <f>'Données projet'!D253</f>
        <v>0</v>
      </c>
      <c r="C280" s="202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8">
        <f>'Données projet'!A254</f>
        <v>0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8">
        <f>'Données projet'!A255</f>
        <v>0</v>
      </c>
      <c r="B282" s="189">
        <f>'Données projet'!D255</f>
        <v>0</v>
      </c>
      <c r="C282" s="202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8">
        <f>'Données projet'!A256</f>
        <v>0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8">
        <f>'Données projet'!A257</f>
        <v>0</v>
      </c>
      <c r="B284" s="189">
        <f>'Données projet'!D257</f>
        <v>0</v>
      </c>
      <c r="C284" s="202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8">
        <f>'Données projet'!A258</f>
        <v>0</v>
      </c>
      <c r="B285" s="189">
        <f>'Données projet'!D258</f>
        <v>0</v>
      </c>
      <c r="C285" s="202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8">
        <f>'Données projet'!A259</f>
        <v>0</v>
      </c>
      <c r="B286" s="189">
        <f>'Données projet'!D259</f>
        <v>0</v>
      </c>
      <c r="C286" s="202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8">
        <f>'Données projet'!A260</f>
        <v>0</v>
      </c>
      <c r="B287" s="189">
        <f>'Données projet'!D260</f>
        <v>0</v>
      </c>
      <c r="C287" s="202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8">
        <f>'Données projet'!A261</f>
        <v>0</v>
      </c>
      <c r="B288" s="189">
        <f>'Données projet'!D261</f>
        <v>0</v>
      </c>
      <c r="C288" s="202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8">
        <f>'Données projet'!A262</f>
        <v>0</v>
      </c>
      <c r="B289" s="189">
        <f>'Données projet'!D262</f>
        <v>0</v>
      </c>
      <c r="C289" s="202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8">
        <f>'Données projet'!A263</f>
        <v>0</v>
      </c>
      <c r="B290" s="189">
        <f>'Données projet'!D263</f>
        <v>0</v>
      </c>
      <c r="C290" s="202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2023-12-14T10:43:23Z</dcterms:modified>
</cp:coreProperties>
</file>