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Pierre Fabre\Gijounet\Dossier labellisation\"/>
    </mc:Choice>
  </mc:AlternateContent>
  <bookViews>
    <workbookView xWindow="0" yWindow="0" windowWidth="11040" windowHeight="457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6" i="1" l="1"/>
  <c r="D74" i="1"/>
  <c r="D72" i="1"/>
  <c r="D70" i="1"/>
  <c r="D68" i="1"/>
  <c r="D66" i="1"/>
  <c r="D64" i="1"/>
  <c r="D78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120" i="1"/>
  <c r="D124" i="1"/>
  <c r="D123" i="1"/>
  <c r="D122" i="1"/>
  <c r="D121" i="1"/>
  <c r="D120" i="1"/>
  <c r="D118" i="1"/>
  <c r="D116" i="1"/>
  <c r="B125" i="1"/>
  <c r="D125" i="1" s="1"/>
  <c r="B124" i="1"/>
  <c r="B123" i="1"/>
  <c r="B122" i="1"/>
  <c r="B121" i="1"/>
  <c r="B119" i="1"/>
  <c r="B118" i="1"/>
  <c r="B117" i="1"/>
  <c r="B116" i="1"/>
  <c r="B115" i="1"/>
  <c r="B114" i="1"/>
  <c r="D172" i="1"/>
  <c r="B172" i="1"/>
  <c r="B171" i="1"/>
  <c r="D170" i="1"/>
  <c r="B170" i="1"/>
  <c r="B169" i="1"/>
  <c r="B168" i="1"/>
  <c r="D205" i="1" l="1"/>
  <c r="B205" i="1"/>
  <c r="B198" i="1"/>
  <c r="D197" i="1"/>
  <c r="B197" i="1"/>
  <c r="B196" i="1"/>
  <c r="D195" i="1"/>
  <c r="B195" i="1"/>
  <c r="B194" i="1"/>
  <c r="D193" i="1"/>
  <c r="B193" i="1"/>
  <c r="B192" i="1"/>
  <c r="B153" i="1" l="1"/>
  <c r="D152" i="1"/>
  <c r="B152" i="1"/>
  <c r="B151" i="1"/>
  <c r="D150" i="1"/>
  <c r="B150" i="1"/>
  <c r="B149" i="1"/>
  <c r="D148" i="1"/>
  <c r="B148" i="1"/>
  <c r="B147" i="1"/>
  <c r="D146" i="1"/>
  <c r="B146" i="1"/>
  <c r="B145" i="1"/>
  <c r="D144" i="1"/>
  <c r="B144" i="1"/>
  <c r="B143" i="1"/>
  <c r="D142" i="1"/>
  <c r="B142" i="1"/>
  <c r="B141" i="1"/>
  <c r="B140" i="1"/>
  <c r="B95" i="1"/>
  <c r="D94" i="1"/>
  <c r="B94" i="1"/>
  <c r="B93" i="1"/>
  <c r="D92" i="1"/>
  <c r="B92" i="1"/>
  <c r="B91" i="1"/>
  <c r="D90" i="1"/>
  <c r="B90" i="1"/>
  <c r="B89" i="1"/>
  <c r="B225" i="1"/>
  <c r="D224" i="1"/>
  <c r="B224" i="1"/>
  <c r="B223" i="1"/>
  <c r="D222" i="1"/>
  <c r="B222" i="1"/>
  <c r="B221" i="1"/>
  <c r="D220" i="1"/>
  <c r="B220" i="1"/>
  <c r="B219" i="1"/>
  <c r="D44" i="1" l="1"/>
  <c r="D43" i="1"/>
  <c r="D42" i="1"/>
  <c r="D41" i="1"/>
  <c r="D40" i="1"/>
  <c r="D38" i="1"/>
  <c r="D37" i="1"/>
  <c r="B46" i="1"/>
  <c r="D46" i="1" s="1"/>
  <c r="B45" i="1"/>
  <c r="B44" i="1"/>
  <c r="B43" i="1"/>
  <c r="B42" i="1"/>
  <c r="B41" i="1"/>
  <c r="B40" i="1"/>
  <c r="B39" i="1"/>
  <c r="B38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W7" i="2"/>
  <c r="EV7" i="2"/>
  <c r="EA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EV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V20" i="2"/>
  <c r="EW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W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EB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CM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X38" i="2"/>
  <c r="EW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EW61" i="2"/>
  <c r="EX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EX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FS113" i="2"/>
  <c r="EW113" i="2"/>
  <c r="EX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EW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FS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X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W155" i="2"/>
  <c r="EX155" i="2"/>
  <c r="DI154" i="2"/>
  <c r="EA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FS156" i="2"/>
  <c r="EX156" i="2"/>
  <c r="AB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B157" i="2"/>
  <c r="ED157" i="2" s="1"/>
  <c r="EC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Y159" i="2"/>
  <c r="EC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FS161" i="2"/>
  <c r="EX161" i="2"/>
  <c r="EB161" i="2"/>
  <c r="EA161" i="2"/>
  <c r="AB161" i="2"/>
  <c r="AW161" i="2"/>
  <c r="EC161" i="2"/>
  <c r="ED161" i="2" s="1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DI161" i="2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FR164" i="2"/>
  <c r="FS164" i="2"/>
  <c r="EY163" i="2"/>
  <c r="EV164" i="2"/>
  <c r="EX164" i="2"/>
  <c r="DI163" i="2"/>
  <c r="EA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A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FS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FR167" i="2"/>
  <c r="EX167" i="2"/>
  <c r="DG167" i="2"/>
  <c r="EB167" i="2"/>
  <c r="EC167" i="2"/>
  <c r="EA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V168" i="2"/>
  <c r="EW168" i="2"/>
  <c r="DG168" i="2"/>
  <c r="EB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Y168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EY171" i="2"/>
  <c r="EV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FS175" i="2" l="1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Q178" i="2"/>
  <c r="FS178" i="2"/>
  <c r="EW178" i="2"/>
  <c r="ED177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EV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V185" i="2"/>
  <c r="EW185" i="2"/>
  <c r="EB185" i="2"/>
  <c r="EA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A186" i="2" l="1"/>
  <c r="EB186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B192" i="2" l="1"/>
  <c r="EY191" i="2"/>
  <c r="EV192" i="2"/>
  <c r="EW192" i="2"/>
  <c r="EC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EY192" i="2"/>
  <c r="FQ193" i="2"/>
  <c r="EX193" i="2"/>
  <c r="EA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FQ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EB195" i="2" s="1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ED194" i="2"/>
  <c r="EY194" i="2"/>
  <c r="FQ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FS197" i="2"/>
  <c r="EW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EY198" i="2"/>
  <c r="FS199" i="2"/>
  <c r="EV199" i="2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FS201" i="2"/>
  <c r="DI200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FR202" i="2"/>
  <c r="EX202" i="2"/>
  <c r="EW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BX107" i="2" a="1"/>
  <c r="BX107" i="2" s="1"/>
  <c r="DN187" i="2" a="1"/>
  <c r="DN187" i="2" s="1"/>
  <c r="HJ202" i="2"/>
  <c r="EY202" i="2"/>
  <c r="AX200" i="2"/>
  <c r="DN124" i="2" l="1" a="1"/>
  <c r="DN124" i="2" s="1"/>
  <c r="FR203" i="2"/>
  <c r="FD82" i="2" a="1"/>
  <c r="FD82" i="2" s="1"/>
  <c r="FD21" i="2" a="1"/>
  <c r="FD21" i="2" s="1"/>
  <c r="FD194" i="2" a="1"/>
  <c r="FD194" i="2" s="1"/>
  <c r="FD160" i="2" a="1"/>
  <c r="FD160" i="2" s="1"/>
  <c r="FD137" i="2" a="1"/>
  <c r="FD137" i="2" s="1"/>
  <c r="FD107" i="2" a="1"/>
  <c r="FD107" i="2" s="1"/>
  <c r="FD189" i="2" a="1"/>
  <c r="FD189" i="2" s="1"/>
  <c r="FD14" i="2" a="1"/>
  <c r="FD14" i="2" s="1"/>
  <c r="FD44" i="2" a="1"/>
  <c r="FD44" i="2" s="1"/>
  <c r="FD159" i="2" a="1"/>
  <c r="FD159" i="2" s="1"/>
  <c r="FD48" i="2" a="1"/>
  <c r="FD48" i="2" s="1"/>
  <c r="FD167" i="2" a="1"/>
  <c r="FD167" i="2" s="1"/>
  <c r="FD188" i="2" a="1"/>
  <c r="FD188" i="2" s="1"/>
  <c r="FD187" i="2" a="1"/>
  <c r="FD187" i="2" s="1"/>
  <c r="FD131" i="2" a="1"/>
  <c r="FD131" i="2" s="1"/>
  <c r="FD60" i="2" a="1"/>
  <c r="FD60" i="2" s="1"/>
  <c r="FD43" i="2" a="1"/>
  <c r="FD43" i="2" s="1"/>
  <c r="FD59" i="2" a="1"/>
  <c r="FD59" i="2" s="1"/>
  <c r="FD19" i="2" a="1"/>
  <c r="FD19" i="2" s="1"/>
  <c r="FD64" i="2" a="1"/>
  <c r="FD64" i="2" s="1"/>
  <c r="FD144" i="2" a="1"/>
  <c r="FD144" i="2" s="1"/>
  <c r="CS56" i="2" a="1"/>
  <c r="CS56" i="2" s="1"/>
  <c r="CS72" i="2" a="1"/>
  <c r="CS72" i="2" s="1"/>
  <c r="CS134" i="2" a="1"/>
  <c r="CS134" i="2" s="1"/>
  <c r="CS38" i="2" a="1"/>
  <c r="CS38" i="2" s="1"/>
  <c r="CS114" i="2" a="1"/>
  <c r="CS114" i="2" s="1"/>
  <c r="CS77" i="2" a="1"/>
  <c r="CS77" i="2" s="1"/>
  <c r="CS185" i="2" a="1"/>
  <c r="CS185" i="2" s="1"/>
  <c r="CS120" i="2" a="1"/>
  <c r="CS120" i="2" s="1"/>
  <c r="CS24" i="2" a="1"/>
  <c r="CS24" i="2" s="1"/>
  <c r="CS52" i="2" a="1"/>
  <c r="CS52" i="2" s="1"/>
  <c r="CS137" i="2" a="1"/>
  <c r="CS137" i="2" s="1"/>
  <c r="CS66" i="2" a="1"/>
  <c r="CS66" i="2" s="1"/>
  <c r="CS116" i="2" a="1"/>
  <c r="CS116" i="2" s="1"/>
  <c r="CS105" i="2" a="1"/>
  <c r="CS105" i="2" s="1"/>
  <c r="CS129" i="2" a="1"/>
  <c r="CS129" i="2" s="1"/>
  <c r="CS161" i="2" a="1"/>
  <c r="CS161" i="2" s="1"/>
  <c r="BP203" i="2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151" i="2" a="1"/>
  <c r="AH151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EY203" i="2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J114" i="2" l="1"/>
  <c r="FJ156" i="2"/>
  <c r="FJ157" i="2"/>
  <c r="FJ60" i="2"/>
  <c r="FJ120" i="2"/>
  <c r="FJ24" i="2"/>
  <c r="FJ76" i="2"/>
  <c r="FJ115" i="2"/>
  <c r="FJ152" i="2"/>
  <c r="FJ191" i="2"/>
  <c r="FJ36" i="2"/>
  <c r="FJ131" i="2"/>
  <c r="FJ46" i="2"/>
  <c r="FJ56" i="2"/>
  <c r="FJ144" i="2"/>
  <c r="FJ170" i="2"/>
  <c r="FJ168" i="2"/>
  <c r="FJ111" i="2"/>
  <c r="FJ59" i="2"/>
  <c r="FJ73" i="2"/>
  <c r="FJ195" i="2"/>
  <c r="FJ63" i="2"/>
  <c r="FJ35" i="2"/>
  <c r="FJ165" i="2"/>
  <c r="FJ117" i="2"/>
  <c r="FJ85" i="2"/>
  <c r="FJ169" i="2"/>
  <c r="FJ27" i="2"/>
  <c r="FJ146" i="2"/>
  <c r="FJ52" i="2"/>
  <c r="FJ130" i="2"/>
  <c r="FJ193" i="2"/>
  <c r="FJ174" i="2"/>
  <c r="FJ32" i="2"/>
  <c r="FJ121" i="2"/>
  <c r="FJ108" i="2"/>
  <c r="FJ142" i="2"/>
  <c r="FJ181" i="2"/>
  <c r="FJ28" i="2"/>
  <c r="FJ65" i="2"/>
  <c r="FJ200" i="2"/>
  <c r="FJ91" i="2"/>
  <c r="FJ166" i="2"/>
  <c r="FJ96" i="2"/>
  <c r="FJ20" i="2"/>
  <c r="FJ98" i="2"/>
  <c r="FJ189" i="2"/>
  <c r="FJ64" i="2"/>
  <c r="FJ54" i="2"/>
  <c r="FJ139" i="2"/>
  <c r="FJ180" i="2"/>
  <c r="FJ178" i="2"/>
  <c r="FJ53" i="2"/>
  <c r="FJ203" i="2"/>
  <c r="FJ161" i="2"/>
  <c r="FJ126" i="2"/>
  <c r="FJ83" i="2"/>
  <c r="FJ9" i="2"/>
  <c r="FJ190" i="2"/>
  <c r="FJ128" i="2"/>
  <c r="FJ77" i="2"/>
  <c r="FJ79" i="2"/>
  <c r="FJ8" i="2"/>
  <c r="FJ23" i="2"/>
  <c r="FJ34" i="2"/>
  <c r="FJ99" i="2"/>
  <c r="FJ95" i="2"/>
  <c r="FJ135" i="2"/>
  <c r="FJ184" i="2"/>
  <c r="FJ164" i="2"/>
  <c r="FJ202" i="2"/>
  <c r="FJ58" i="2"/>
  <c r="FJ69" i="2"/>
  <c r="FJ198" i="2"/>
  <c r="FJ143" i="2"/>
  <c r="FJ101" i="2"/>
  <c r="FJ106" i="2"/>
  <c r="FJ61" i="2"/>
  <c r="FJ84" i="2"/>
  <c r="FJ12" i="2"/>
  <c r="FJ22" i="2"/>
  <c r="FJ112" i="2"/>
  <c r="FJ42" i="2"/>
  <c r="FJ153" i="2"/>
  <c r="FJ133" i="2"/>
  <c r="FJ40" i="2"/>
  <c r="FJ182" i="2"/>
  <c r="FJ150" i="2"/>
  <c r="FJ57" i="2"/>
  <c r="FJ87" i="2"/>
  <c r="FJ43" i="2"/>
  <c r="FJ93" i="2"/>
  <c r="FJ154" i="2"/>
  <c r="FJ13" i="2"/>
  <c r="FJ188" i="2"/>
  <c r="FJ75" i="2"/>
  <c r="FJ172" i="2"/>
  <c r="FJ194" i="2"/>
  <c r="FJ97" i="2"/>
  <c r="FJ175" i="2"/>
  <c r="FJ179" i="2"/>
  <c r="FJ162" i="2"/>
  <c r="FJ14" i="2"/>
  <c r="FJ11" i="2"/>
  <c r="FJ158" i="2"/>
  <c r="FJ187" i="2"/>
  <c r="FJ62" i="2"/>
  <c r="FJ102" i="2"/>
  <c r="FJ94" i="2"/>
  <c r="FJ171" i="2"/>
  <c r="FJ147" i="2"/>
  <c r="FJ4" i="2"/>
  <c r="FJ125" i="2"/>
  <c r="FJ136" i="2"/>
  <c r="FJ138" i="2"/>
  <c r="FJ119" i="2"/>
  <c r="FJ92" i="2"/>
  <c r="FJ78" i="2"/>
  <c r="FJ6" i="2"/>
  <c r="FJ47" i="2"/>
  <c r="FJ137" i="2"/>
  <c r="FJ163" i="2"/>
  <c r="FJ177" i="2"/>
  <c r="FJ30" i="2"/>
  <c r="FJ124" i="2"/>
  <c r="FJ196" i="2"/>
  <c r="FJ3" i="2"/>
  <c r="C13" i="4" s="1"/>
  <c r="E13" i="4" s="1"/>
  <c r="F13" i="4" s="1"/>
  <c r="G13" i="4" s="1"/>
  <c r="L13" i="4" s="1"/>
  <c r="FJ89" i="2"/>
  <c r="FJ19" i="2"/>
  <c r="FJ107" i="2"/>
  <c r="FJ33" i="2"/>
  <c r="FJ25" i="2"/>
  <c r="FJ140" i="2"/>
  <c r="FJ71" i="2"/>
  <c r="FJ17" i="2"/>
  <c r="FJ72" i="2"/>
  <c r="FJ176" i="2"/>
  <c r="FJ185" i="2"/>
  <c r="FJ104" i="2"/>
  <c r="FJ80" i="2"/>
  <c r="FJ167" i="2"/>
  <c r="FJ103" i="2"/>
  <c r="FJ41" i="2"/>
  <c r="FJ132" i="2"/>
  <c r="FJ141" i="2"/>
  <c r="FJ21" i="2"/>
  <c r="FJ37" i="2"/>
  <c r="FJ18" i="2"/>
  <c r="FJ197" i="2"/>
  <c r="FJ113" i="2"/>
  <c r="FJ81" i="2"/>
  <c r="FJ129" i="2"/>
  <c r="FJ88" i="2"/>
  <c r="FJ49" i="2"/>
  <c r="FJ29" i="2"/>
  <c r="FJ123" i="2"/>
  <c r="FJ50" i="2"/>
  <c r="FJ86" i="2"/>
  <c r="FJ5" i="2"/>
  <c r="FJ145" i="2"/>
  <c r="FJ90" i="2"/>
  <c r="FJ48" i="2"/>
  <c r="FJ159" i="2"/>
  <c r="FJ7" i="2"/>
  <c r="FJ31" i="2"/>
  <c r="FJ74" i="2"/>
  <c r="FJ10" i="2"/>
  <c r="FJ110" i="2"/>
  <c r="FJ100" i="2"/>
  <c r="FJ109" i="2"/>
  <c r="FJ45" i="2"/>
  <c r="FJ127" i="2"/>
  <c r="FJ16" i="2"/>
  <c r="FJ173" i="2"/>
  <c r="FJ15" i="2"/>
  <c r="FJ38" i="2"/>
  <c r="FJ68" i="2"/>
  <c r="FJ183" i="2"/>
  <c r="FJ51" i="2"/>
  <c r="FJ44" i="2"/>
  <c r="FJ148" i="2"/>
  <c r="FJ82" i="2"/>
  <c r="FJ155" i="2"/>
  <c r="FJ39" i="2"/>
  <c r="FJ160" i="2"/>
  <c r="FJ26" i="2"/>
  <c r="FJ201" i="2"/>
  <c r="FJ105" i="2"/>
  <c r="FJ116" i="2"/>
  <c r="FJ149" i="2"/>
  <c r="FJ67" i="2"/>
  <c r="FJ199" i="2"/>
  <c r="FJ134" i="2"/>
  <c r="FJ118" i="2"/>
  <c r="FJ151" i="2"/>
  <c r="FJ192" i="2"/>
  <c r="FJ55" i="2"/>
  <c r="FJ186" i="2"/>
  <c r="FJ70" i="2"/>
  <c r="FJ66" i="2"/>
  <c r="FJ122" i="2"/>
  <c r="DT13" i="2"/>
  <c r="DT73" i="2"/>
  <c r="DT158" i="2"/>
  <c r="DT186" i="2"/>
  <c r="DT105" i="2"/>
  <c r="DT178" i="2"/>
  <c r="DT27" i="2"/>
  <c r="DT146" i="2"/>
  <c r="DT86" i="2"/>
  <c r="DT81" i="2"/>
  <c r="DT29" i="2"/>
  <c r="DT40" i="2"/>
  <c r="DT62" i="2"/>
  <c r="DT131" i="2"/>
  <c r="DT68" i="2"/>
  <c r="DT28" i="2"/>
  <c r="DT51" i="2"/>
  <c r="DT179" i="2"/>
  <c r="DT41" i="2"/>
  <c r="DT110" i="2"/>
  <c r="DT153" i="2"/>
  <c r="DT132" i="2"/>
  <c r="DT164" i="2"/>
  <c r="DT4" i="2"/>
  <c r="DT140" i="2"/>
  <c r="DT21" i="2"/>
  <c r="DT92" i="2"/>
  <c r="DT65" i="2"/>
  <c r="DT79" i="2"/>
  <c r="DT82" i="2"/>
  <c r="DT31" i="2"/>
  <c r="DT148" i="2"/>
  <c r="DT200" i="2"/>
  <c r="DT120" i="2"/>
  <c r="DT48" i="2"/>
  <c r="DT11" i="2"/>
  <c r="DT160" i="2"/>
  <c r="DT63" i="2"/>
  <c r="DT154" i="2"/>
  <c r="DT142" i="2"/>
  <c r="DT33" i="2"/>
  <c r="DT22" i="2"/>
  <c r="DT37" i="2"/>
  <c r="DT43" i="2"/>
  <c r="DT10" i="2"/>
  <c r="DT42" i="2"/>
  <c r="DT102" i="2"/>
  <c r="DT15" i="2"/>
  <c r="DT147" i="2"/>
  <c r="DT78" i="2"/>
  <c r="DT133" i="2"/>
  <c r="DT119" i="2"/>
  <c r="DT106" i="2"/>
  <c r="DT176" i="2"/>
  <c r="DT53" i="2"/>
  <c r="DT185" i="2"/>
  <c r="DT103" i="2"/>
  <c r="DT56" i="2"/>
  <c r="DT162" i="2"/>
  <c r="DT18" i="2"/>
  <c r="DT7" i="2"/>
  <c r="DT71" i="2"/>
  <c r="DT123" i="2"/>
  <c r="DT97" i="2"/>
  <c r="DT134" i="2"/>
  <c r="DT84" i="2"/>
  <c r="DT55" i="2"/>
  <c r="DT5" i="2"/>
  <c r="DT89" i="2"/>
  <c r="DT173" i="2"/>
  <c r="DT202" i="2"/>
  <c r="DT174" i="2"/>
  <c r="DT3" i="2"/>
  <c r="C11" i="4" s="1"/>
  <c r="E11" i="4" s="1"/>
  <c r="F11" i="4" s="1"/>
  <c r="G11" i="4" s="1"/>
  <c r="L11" i="4" s="1"/>
  <c r="DT155" i="2"/>
  <c r="DT181" i="2"/>
  <c r="DT35" i="2"/>
  <c r="DT111" i="2"/>
  <c r="DT25" i="2"/>
  <c r="DT135" i="2"/>
  <c r="DT64" i="2"/>
  <c r="DT98" i="2"/>
  <c r="DT143" i="2"/>
  <c r="DT46" i="2"/>
  <c r="DT70" i="2"/>
  <c r="DT26" i="2"/>
  <c r="DT163" i="2"/>
  <c r="DT12" i="2"/>
  <c r="DT149" i="2"/>
  <c r="DT150" i="2"/>
  <c r="DT195" i="2"/>
  <c r="DT197" i="2"/>
  <c r="DT49" i="2"/>
  <c r="DT99" i="2"/>
  <c r="DT177" i="2"/>
  <c r="DT72" i="2"/>
  <c r="DT6" i="2"/>
  <c r="DT121" i="2"/>
  <c r="DT156" i="2"/>
  <c r="DT116" i="2"/>
  <c r="DT36" i="2"/>
  <c r="DT128" i="2"/>
  <c r="DT57" i="2"/>
  <c r="DT52" i="2"/>
  <c r="DT124" i="2"/>
  <c r="DT167" i="2"/>
  <c r="DT107" i="2"/>
  <c r="DT122" i="2"/>
  <c r="DT85" i="2"/>
  <c r="DT165" i="2"/>
  <c r="DT77" i="2"/>
  <c r="DT117" i="2"/>
  <c r="DT113" i="2"/>
  <c r="DT125" i="2"/>
  <c r="DT193" i="2"/>
  <c r="DT54" i="2"/>
  <c r="DT59" i="2"/>
  <c r="DT61" i="2"/>
  <c r="DT182" i="2"/>
  <c r="DT130" i="2"/>
  <c r="DT183" i="2"/>
  <c r="DT69" i="2"/>
  <c r="DT30" i="2"/>
  <c r="DT180" i="2"/>
  <c r="DT139" i="2"/>
  <c r="DT80" i="2"/>
  <c r="DT24" i="2"/>
  <c r="DT166" i="2"/>
  <c r="DT108" i="2"/>
  <c r="DT192" i="2"/>
  <c r="DT19" i="2"/>
  <c r="DT44" i="2"/>
  <c r="DT159" i="2"/>
  <c r="DT104" i="2"/>
  <c r="DT38" i="2"/>
  <c r="DT168" i="2"/>
  <c r="DT50" i="2"/>
  <c r="DT126" i="2"/>
  <c r="DT58" i="2"/>
  <c r="DT95" i="2"/>
  <c r="DT47" i="2"/>
  <c r="DT32" i="2"/>
  <c r="DT138" i="2"/>
  <c r="DT74" i="2"/>
  <c r="DT169" i="2"/>
  <c r="DT127" i="2"/>
  <c r="DT118" i="2"/>
  <c r="DT194" i="2"/>
  <c r="DT170" i="2"/>
  <c r="DT67" i="2"/>
  <c r="DT171" i="2"/>
  <c r="DT14" i="2"/>
  <c r="DT151" i="2"/>
  <c r="DT34" i="2"/>
  <c r="DT16" i="2"/>
  <c r="DT137" i="2"/>
  <c r="DT187" i="2"/>
  <c r="DT8" i="2"/>
  <c r="DT198" i="2"/>
  <c r="DT96" i="2"/>
  <c r="DT115" i="2"/>
  <c r="DT20" i="2"/>
  <c r="DT191" i="2"/>
  <c r="DT23" i="2"/>
  <c r="DT39" i="2"/>
  <c r="DT157" i="2"/>
  <c r="DT145" i="2"/>
  <c r="DT88" i="2"/>
  <c r="DT161" i="2"/>
  <c r="DT66" i="2"/>
  <c r="DT93" i="2"/>
  <c r="DT75" i="2"/>
  <c r="DT199" i="2"/>
  <c r="DT136" i="2"/>
  <c r="DT141" i="2"/>
  <c r="DT152" i="2"/>
  <c r="DT114" i="2"/>
  <c r="DT201" i="2"/>
  <c r="DT109" i="2"/>
  <c r="DT184" i="2"/>
  <c r="DT45" i="2"/>
  <c r="DT175" i="2"/>
  <c r="DT83" i="2"/>
  <c r="DT188" i="2"/>
  <c r="DT172" i="2"/>
  <c r="DT100" i="2"/>
  <c r="DT9" i="2"/>
  <c r="DT94" i="2"/>
  <c r="DT203" i="2"/>
  <c r="DT144" i="2"/>
  <c r="DT189" i="2"/>
  <c r="DT190" i="2"/>
  <c r="DT101" i="2"/>
  <c r="DT17" i="2"/>
  <c r="DT112" i="2"/>
  <c r="DT90" i="2"/>
  <c r="DT60" i="2"/>
  <c r="DT76" i="2"/>
  <c r="DT91" i="2"/>
  <c r="DT196" i="2"/>
  <c r="DT87" i="2"/>
  <c r="DT129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67" i="2" l="1"/>
  <c r="BI47" i="2"/>
  <c r="BI103" i="2"/>
  <c r="BI182" i="2"/>
  <c r="BI97" i="2"/>
  <c r="BI127" i="2"/>
  <c r="BI139" i="2"/>
  <c r="BI178" i="2"/>
  <c r="BI114" i="2"/>
  <c r="BI164" i="2"/>
  <c r="BI44" i="2"/>
  <c r="BI108" i="2"/>
  <c r="BI189" i="2"/>
  <c r="BI128" i="2"/>
  <c r="BI93" i="2"/>
  <c r="BI29" i="2"/>
  <c r="BI39" i="2"/>
  <c r="BI73" i="2"/>
  <c r="BI23" i="2"/>
  <c r="BI56" i="2"/>
  <c r="BI171" i="2"/>
  <c r="BI125" i="2"/>
  <c r="BI191" i="2"/>
  <c r="BI120" i="2"/>
  <c r="BI43" i="2"/>
  <c r="BI21" i="2"/>
  <c r="BI109" i="2"/>
  <c r="BI11" i="2"/>
  <c r="BI4" i="2"/>
  <c r="BI31" i="2"/>
  <c r="BI55" i="2"/>
  <c r="BI99" i="2"/>
  <c r="BI59" i="2"/>
  <c r="BI151" i="2"/>
  <c r="BI119" i="2"/>
  <c r="BI86" i="2"/>
  <c r="BI89" i="2"/>
  <c r="BI142" i="2"/>
  <c r="BI57" i="2"/>
  <c r="BI61" i="2"/>
  <c r="BI28" i="2"/>
  <c r="BI6" i="2"/>
  <c r="BI148" i="2"/>
  <c r="BI196" i="2"/>
  <c r="BI98" i="2"/>
  <c r="BI197" i="2"/>
  <c r="BI20" i="2"/>
  <c r="BI100" i="2"/>
  <c r="BI167" i="2"/>
  <c r="BI104" i="2"/>
  <c r="BI179" i="2"/>
  <c r="BI133" i="2"/>
  <c r="BI64" i="2"/>
  <c r="BI45" i="2"/>
  <c r="BI113" i="2"/>
  <c r="BI16" i="2"/>
  <c r="BI144" i="2"/>
  <c r="BI3" i="2"/>
  <c r="C8" i="4" s="1"/>
  <c r="E8" i="4" s="1"/>
  <c r="F8" i="4" s="1"/>
  <c r="G8" i="4" s="1"/>
  <c r="L8" i="4" s="1"/>
  <c r="BI150" i="2"/>
  <c r="BI168" i="2"/>
  <c r="BI60" i="2"/>
  <c r="BI90" i="2"/>
  <c r="BI141" i="2"/>
  <c r="BI121" i="2"/>
  <c r="BI187" i="2"/>
  <c r="BI158" i="2"/>
  <c r="BI77" i="2"/>
  <c r="BI82" i="2"/>
  <c r="BI112" i="2"/>
  <c r="BI15" i="2"/>
  <c r="BI68" i="2"/>
  <c r="BI118" i="2"/>
  <c r="BI156" i="2"/>
  <c r="BI91" i="2"/>
  <c r="BI165" i="2"/>
  <c r="BI78" i="2"/>
  <c r="BI87" i="2"/>
  <c r="BI131" i="2"/>
  <c r="BI126" i="2"/>
  <c r="BI153" i="2"/>
  <c r="BI180" i="2"/>
  <c r="BI5" i="2"/>
  <c r="BI72" i="2"/>
  <c r="BI76" i="2"/>
  <c r="BI9" i="2"/>
  <c r="BI80" i="2"/>
  <c r="BI175" i="2"/>
  <c r="BI41" i="2"/>
  <c r="BI170" i="2"/>
  <c r="BI8" i="2"/>
  <c r="BI105" i="2"/>
  <c r="BI123" i="2"/>
  <c r="BI74" i="2"/>
  <c r="BI70" i="2"/>
  <c r="BI10" i="2"/>
  <c r="BI26" i="2"/>
  <c r="BI14" i="2"/>
  <c r="BI199" i="2"/>
  <c r="BI155" i="2"/>
  <c r="BI136" i="2"/>
  <c r="BI24" i="2"/>
  <c r="BI58" i="2"/>
  <c r="BI101" i="2"/>
  <c r="BI172" i="2"/>
  <c r="BI12" i="2"/>
  <c r="BI143" i="2"/>
  <c r="BI176" i="2"/>
  <c r="BI84" i="2"/>
  <c r="BI27" i="2"/>
  <c r="BI137" i="2"/>
  <c r="BI35" i="2"/>
  <c r="BI122" i="2"/>
  <c r="BI92" i="2"/>
  <c r="BI135" i="2"/>
  <c r="BI62" i="2"/>
  <c r="BI94" i="2"/>
  <c r="BI162" i="2"/>
  <c r="BI107" i="2"/>
  <c r="BI66" i="2"/>
  <c r="BI202" i="2"/>
  <c r="BI159" i="2"/>
  <c r="BI88" i="2"/>
  <c r="BI157" i="2"/>
  <c r="BI106" i="2"/>
  <c r="BI198" i="2"/>
  <c r="BI138" i="2"/>
  <c r="BI183" i="2"/>
  <c r="BI17" i="2"/>
  <c r="BI117" i="2"/>
  <c r="BI63" i="2"/>
  <c r="BI71" i="2"/>
  <c r="BI54" i="2"/>
  <c r="BI200" i="2"/>
  <c r="BI79" i="2"/>
  <c r="BI184" i="2"/>
  <c r="BI13" i="2"/>
  <c r="BI147" i="2"/>
  <c r="BI192" i="2"/>
  <c r="BI22" i="2"/>
  <c r="BI102" i="2"/>
  <c r="BI85" i="2"/>
  <c r="BI177" i="2"/>
  <c r="BI115" i="2"/>
  <c r="BI96" i="2"/>
  <c r="BI65" i="2"/>
  <c r="BI124" i="2"/>
  <c r="BI25" i="2"/>
  <c r="BI7" i="2"/>
  <c r="BI146" i="2"/>
  <c r="BI154" i="2"/>
  <c r="BI111" i="2"/>
  <c r="BI50" i="2"/>
  <c r="BI33" i="2"/>
  <c r="BI18" i="2"/>
  <c r="BI134" i="2"/>
  <c r="BI52" i="2"/>
  <c r="BI193" i="2"/>
  <c r="BI169" i="2"/>
  <c r="BI46" i="2"/>
  <c r="BI166" i="2"/>
  <c r="BI194" i="2"/>
  <c r="BI181" i="2"/>
  <c r="BI152" i="2"/>
  <c r="BI149" i="2"/>
  <c r="BI36" i="2"/>
  <c r="BI95" i="2"/>
  <c r="BI129" i="2"/>
  <c r="BI185" i="2"/>
  <c r="BI19" i="2"/>
  <c r="BI42" i="2"/>
  <c r="BI195" i="2"/>
  <c r="BI186" i="2"/>
  <c r="BI53" i="2"/>
  <c r="BI110" i="2"/>
  <c r="BI83" i="2"/>
  <c r="BI188" i="2"/>
  <c r="BI37" i="2"/>
  <c r="BI161" i="2"/>
  <c r="BI75" i="2"/>
  <c r="BI190" i="2"/>
  <c r="BI160" i="2"/>
  <c r="BI30" i="2"/>
  <c r="BI38" i="2"/>
  <c r="BI145" i="2"/>
  <c r="BI201" i="2"/>
  <c r="BI174" i="2"/>
  <c r="BI48" i="2"/>
  <c r="BI116" i="2"/>
  <c r="BI173" i="2"/>
  <c r="BI69" i="2"/>
  <c r="BI81" i="2"/>
  <c r="BI51" i="2"/>
  <c r="BI49" i="2"/>
  <c r="BI40" i="2"/>
  <c r="BI132" i="2"/>
  <c r="BI203" i="2"/>
  <c r="BI32" i="2"/>
  <c r="BI34" i="2"/>
  <c r="BI130" i="2"/>
  <c r="BI163" i="2"/>
  <c r="BI14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<sst xmlns="http://schemas.openxmlformats.org/spreadsheetml/2006/main" count="1177" uniqueCount="324">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</sst>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1.8723031649007107</c:v>
                </c:pt>
                <c:pt idx="2">
                  <c:v>2.4119576082137919</c:v>
                </c:pt>
                <c:pt idx="3">
                  <c:v>3.1077875147547922</c:v>
                </c:pt>
                <c:pt idx="4">
                  <c:v>4.0051622306374703</c:v>
                </c:pt>
                <c:pt idx="5">
                  <c:v>5.1626778961505897</c:v>
                </c:pt>
                <c:pt idx="6">
                  <c:v>6.6560262423418139</c:v>
                </c:pt>
                <c:pt idx="7">
                  <c:v>8.5829984321267663</c:v>
                </c:pt>
                <c:pt idx="8">
                  <c:v>11.069957874647789</c:v>
                </c:pt>
                <c:pt idx="9">
                  <c:v>14.280214431149867</c:v>
                </c:pt>
                <c:pt idx="10">
                  <c:v>18.424860035282308</c:v>
                </c:pt>
                <c:pt idx="11">
                  <c:v>23.776791095098442</c:v>
                </c:pt>
                <c:pt idx="12">
                  <c:v>30.688857312292658</c:v>
                </c:pt>
                <c:pt idx="13">
                  <c:v>39.617354250979595</c:v>
                </c:pt>
                <c:pt idx="14">
                  <c:v>51.152436925971216</c:v>
                </c:pt>
                <c:pt idx="15">
                  <c:v>66.057498260618672</c:v>
                </c:pt>
                <c:pt idx="16">
                  <c:v>85.320161140728672</c:v>
                </c:pt>
                <c:pt idx="17">
                  <c:v>110.21831702865047</c:v>
                </c:pt>
                <c:pt idx="18">
                  <c:v>142.40566097813468</c:v>
                </c:pt>
                <c:pt idx="19">
                  <c:v>184.02249153410344</c:v>
                </c:pt>
                <c:pt idx="20">
                  <c:v>203.3007266873141</c:v>
                </c:pt>
                <c:pt idx="21">
                  <c:v>222.53665149290285</c:v>
                </c:pt>
                <c:pt idx="22">
                  <c:v>168.7566706161912</c:v>
                </c:pt>
                <c:pt idx="23">
                  <c:v>188.97408626306844</c:v>
                </c:pt>
                <c:pt idx="24">
                  <c:v>209.14106954499582</c:v>
                </c:pt>
                <c:pt idx="25">
                  <c:v>229.2631686584871</c:v>
                </c:pt>
                <c:pt idx="26">
                  <c:v>249.34487716008644</c:v>
                </c:pt>
                <c:pt idx="27">
                  <c:v>269.38990512338609</c:v>
                </c:pt>
                <c:pt idx="28">
                  <c:v>289.40136514946488</c:v>
                </c:pt>
                <c:pt idx="29">
                  <c:v>242.80327727023806</c:v>
                </c:pt>
                <c:pt idx="30">
                  <c:v>264.55540625187342</c:v>
                </c:pt>
                <c:pt idx="31">
                  <c:v>286.26720910143649</c:v>
                </c:pt>
                <c:pt idx="32">
                  <c:v>307.94217323717999</c:v>
                </c:pt>
                <c:pt idx="33">
                  <c:v>329.58325501039627</c:v>
                </c:pt>
                <c:pt idx="34">
                  <c:v>351.19299087374634</c:v>
                </c:pt>
                <c:pt idx="35">
                  <c:v>372.77357972834852</c:v>
                </c:pt>
                <c:pt idx="36">
                  <c:v>310.37056459620067</c:v>
                </c:pt>
                <c:pt idx="37">
                  <c:v>332.16291001549854</c:v>
                </c:pt>
                <c:pt idx="38">
                  <c:v>353.92374107920119</c:v>
                </c:pt>
                <c:pt idx="39">
                  <c:v>375.65526675033772</c:v>
                </c:pt>
                <c:pt idx="40">
                  <c:v>397.35941965516298</c:v>
                </c:pt>
                <c:pt idx="41">
                  <c:v>419.03790416885482</c:v>
                </c:pt>
                <c:pt idx="42">
                  <c:v>440.69223402870375</c:v>
                </c:pt>
                <c:pt idx="43">
                  <c:v>365.57312204300916</c:v>
                </c:pt>
                <c:pt idx="44">
                  <c:v>386.44458202636088</c:v>
                </c:pt>
                <c:pt idx="45">
                  <c:v>407.29156713376295</c:v>
                </c:pt>
                <c:pt idx="46">
                  <c:v>428.11550550227406</c:v>
                </c:pt>
                <c:pt idx="47">
                  <c:v>448.91767507952318</c:v>
                </c:pt>
                <c:pt idx="48">
                  <c:v>469.69922578809798</c:v>
                </c:pt>
                <c:pt idx="49">
                  <c:v>490.46119756343563</c:v>
                </c:pt>
                <c:pt idx="50">
                  <c:v>402.3588366856095</c:v>
                </c:pt>
                <c:pt idx="51">
                  <c:v>421.65245364552828</c:v>
                </c:pt>
                <c:pt idx="52">
                  <c:v>440.92706835035841</c:v>
                </c:pt>
                <c:pt idx="53">
                  <c:v>460.18362785912103</c:v>
                </c:pt>
                <c:pt idx="54">
                  <c:v>479.42299355003178</c:v>
                </c:pt>
                <c:pt idx="55">
                  <c:v>498.64595206966368</c:v>
                </c:pt>
                <c:pt idx="56">
                  <c:v>517.85322450630554</c:v>
                </c:pt>
                <c:pt idx="57">
                  <c:v>445.53319473983174</c:v>
                </c:pt>
                <c:pt idx="58">
                  <c:v>463.13961636412461</c:v>
                </c:pt>
                <c:pt idx="59">
                  <c:v>480.73176524290039</c:v>
                </c:pt>
                <c:pt idx="60">
                  <c:v>498.31023693169209</c:v>
                </c:pt>
                <c:pt idx="61">
                  <c:v>515.87558156393777</c:v>
                </c:pt>
                <c:pt idx="62">
                  <c:v>533.42830877562324</c:v>
                </c:pt>
                <c:pt idx="63">
                  <c:v>550.96889194826019</c:v>
                </c:pt>
                <c:pt idx="64">
                  <c:v>472.44484575319535</c:v>
                </c:pt>
                <c:pt idx="65">
                  <c:v>488.29251559091125</c:v>
                </c:pt>
                <c:pt idx="66">
                  <c:v>504.12927484272382</c:v>
                </c:pt>
                <c:pt idx="67">
                  <c:v>519.95551437581287</c:v>
                </c:pt>
                <c:pt idx="68">
                  <c:v>535.7715993334549</c:v>
                </c:pt>
                <c:pt idx="69">
                  <c:v>551.57787155305971</c:v>
                </c:pt>
                <c:pt idx="70">
                  <c:v>566.74332225455612</c:v>
                </c:pt>
                <c:pt idx="71">
                  <c:v>3.4554122145673649E-12</c:v>
                </c:pt>
                <c:pt idx="72">
                  <c:v>3.4554122145673649E-12</c:v>
                </c:pt>
                <c:pt idx="73">
                  <c:v>3.4554122145673649E-12</c:v>
                </c:pt>
                <c:pt idx="74">
                  <c:v>3.4554122145673649E-12</c:v>
                </c:pt>
                <c:pt idx="75">
                  <c:v>3.4554122145673649E-12</c:v>
                </c:pt>
                <c:pt idx="76">
                  <c:v>3.4554122145673649E-12</c:v>
                </c:pt>
                <c:pt idx="77">
                  <c:v>3.4554122145673649E-12</c:v>
                </c:pt>
                <c:pt idx="78">
                  <c:v>3.4554122145673649E-12</c:v>
                </c:pt>
                <c:pt idx="79">
                  <c:v>3.4554122145673649E-12</c:v>
                </c:pt>
                <c:pt idx="80">
                  <c:v>3.4554122145673649E-12</c:v>
                </c:pt>
                <c:pt idx="81">
                  <c:v>3.4554122145673649E-12</c:v>
                </c:pt>
                <c:pt idx="82">
                  <c:v>3.4554122145673649E-12</c:v>
                </c:pt>
                <c:pt idx="83">
                  <c:v>3.4554122145673649E-12</c:v>
                </c:pt>
                <c:pt idx="84">
                  <c:v>3.4554122145673649E-12</c:v>
                </c:pt>
                <c:pt idx="85">
                  <c:v>3.4554122145673649E-12</c:v>
                </c:pt>
                <c:pt idx="86">
                  <c:v>3.4554122145673649E-12</c:v>
                </c:pt>
                <c:pt idx="87">
                  <c:v>3.4554122145673649E-12</c:v>
                </c:pt>
                <c:pt idx="88">
                  <c:v>3.4554122145673649E-12</c:v>
                </c:pt>
                <c:pt idx="89">
                  <c:v>3.4554122145673649E-12</c:v>
                </c:pt>
                <c:pt idx="90">
                  <c:v>3.4554122145673649E-12</c:v>
                </c:pt>
                <c:pt idx="91">
                  <c:v>3.4554122145673649E-12</c:v>
                </c:pt>
                <c:pt idx="92">
                  <c:v>3.4554122145673649E-12</c:v>
                </c:pt>
                <c:pt idx="93">
                  <c:v>3.4554122145673649E-12</c:v>
                </c:pt>
                <c:pt idx="94">
                  <c:v>3.4554122145673649E-12</c:v>
                </c:pt>
                <c:pt idx="95">
                  <c:v>3.4554122145673649E-12</c:v>
                </c:pt>
                <c:pt idx="96">
                  <c:v>3.4554122145673649E-12</c:v>
                </c:pt>
                <c:pt idx="97">
                  <c:v>3.4554122145673649E-12</c:v>
                </c:pt>
                <c:pt idx="98">
                  <c:v>3.4554122145673649E-12</c:v>
                </c:pt>
                <c:pt idx="99">
                  <c:v>3.4554122145673649E-12</c:v>
                </c:pt>
                <c:pt idx="100">
                  <c:v>3.4554122145673649E-12</c:v>
                </c:pt>
                <c:pt idx="101">
                  <c:v>3.4554122145673649E-12</c:v>
                </c:pt>
                <c:pt idx="102">
                  <c:v>3.4554122145673649E-12</c:v>
                </c:pt>
                <c:pt idx="103">
                  <c:v>3.4554122145673649E-12</c:v>
                </c:pt>
                <c:pt idx="104">
                  <c:v>3.4554122145673649E-12</c:v>
                </c:pt>
                <c:pt idx="105">
                  <c:v>3.4554122145673649E-12</c:v>
                </c:pt>
                <c:pt idx="106">
                  <c:v>3.4554122145673649E-12</c:v>
                </c:pt>
                <c:pt idx="107">
                  <c:v>3.4554122145673649E-12</c:v>
                </c:pt>
                <c:pt idx="108">
                  <c:v>3.4554122145673649E-12</c:v>
                </c:pt>
                <c:pt idx="109">
                  <c:v>3.4554122145673649E-12</c:v>
                </c:pt>
                <c:pt idx="110">
                  <c:v>3.4554122145673649E-12</c:v>
                </c:pt>
                <c:pt idx="111">
                  <c:v>3.4554122145673649E-12</c:v>
                </c:pt>
                <c:pt idx="112">
                  <c:v>3.4554122145673649E-12</c:v>
                </c:pt>
                <c:pt idx="113">
                  <c:v>3.4554122145673649E-12</c:v>
                </c:pt>
                <c:pt idx="114">
                  <c:v>3.4554122145673649E-12</c:v>
                </c:pt>
                <c:pt idx="115">
                  <c:v>3.4554122145673649E-12</c:v>
                </c:pt>
                <c:pt idx="116">
                  <c:v>3.4554122145673649E-12</c:v>
                </c:pt>
                <c:pt idx="117">
                  <c:v>3.4554122145673649E-12</c:v>
                </c:pt>
                <c:pt idx="118">
                  <c:v>3.4554122145673649E-12</c:v>
                </c:pt>
                <c:pt idx="119">
                  <c:v>3.4554122145673649E-12</c:v>
                </c:pt>
                <c:pt idx="120">
                  <c:v>3.4554122145673649E-12</c:v>
                </c:pt>
                <c:pt idx="121">
                  <c:v>3.4554122145673649E-12</c:v>
                </c:pt>
                <c:pt idx="122">
                  <c:v>3.4554122145673649E-12</c:v>
                </c:pt>
                <c:pt idx="123">
                  <c:v>3.4554122145673649E-12</c:v>
                </c:pt>
                <c:pt idx="124">
                  <c:v>3.4554122145673649E-12</c:v>
                </c:pt>
                <c:pt idx="125">
                  <c:v>3.4554122145673649E-12</c:v>
                </c:pt>
                <c:pt idx="126">
                  <c:v>3.4554122145673649E-12</c:v>
                </c:pt>
                <c:pt idx="127">
                  <c:v>3.4554122145673649E-12</c:v>
                </c:pt>
                <c:pt idx="128">
                  <c:v>3.4554122145673649E-12</c:v>
                </c:pt>
                <c:pt idx="129">
                  <c:v>3.4554122145673649E-12</c:v>
                </c:pt>
                <c:pt idx="130">
                  <c:v>3.4554122145673649E-12</c:v>
                </c:pt>
                <c:pt idx="131">
                  <c:v>3.4554122145673649E-12</c:v>
                </c:pt>
                <c:pt idx="132">
                  <c:v>3.4554122145673649E-12</c:v>
                </c:pt>
                <c:pt idx="133">
                  <c:v>3.4554122145673649E-12</c:v>
                </c:pt>
                <c:pt idx="134">
                  <c:v>3.4554122145673649E-12</c:v>
                </c:pt>
                <c:pt idx="135">
                  <c:v>3.4554122145673649E-12</c:v>
                </c:pt>
                <c:pt idx="136">
                  <c:v>3.4554122145673649E-12</c:v>
                </c:pt>
                <c:pt idx="137">
                  <c:v>3.4554122145673649E-12</c:v>
                </c:pt>
                <c:pt idx="138">
                  <c:v>3.4554122145673649E-12</c:v>
                </c:pt>
                <c:pt idx="139">
                  <c:v>3.4554122145673649E-12</c:v>
                </c:pt>
                <c:pt idx="140">
                  <c:v>3.4554122145673649E-12</c:v>
                </c:pt>
                <c:pt idx="141">
                  <c:v>3.4554122145673649E-12</c:v>
                </c:pt>
                <c:pt idx="142">
                  <c:v>3.4554122145673649E-12</c:v>
                </c:pt>
                <c:pt idx="143">
                  <c:v>3.4554122145673649E-12</c:v>
                </c:pt>
                <c:pt idx="144">
                  <c:v>3.4554122145673649E-12</c:v>
                </c:pt>
                <c:pt idx="145">
                  <c:v>3.4554122145673649E-12</c:v>
                </c:pt>
                <c:pt idx="146">
                  <c:v>3.4554122145673649E-12</c:v>
                </c:pt>
                <c:pt idx="147">
                  <c:v>3.4554122145673649E-12</c:v>
                </c:pt>
                <c:pt idx="148">
                  <c:v>3.4554122145673649E-12</c:v>
                </c:pt>
                <c:pt idx="149">
                  <c:v>3.4554122145673649E-12</c:v>
                </c:pt>
                <c:pt idx="150">
                  <c:v>3.4554122145673649E-12</c:v>
                </c:pt>
                <c:pt idx="151">
                  <c:v>3.4554122145673649E-12</c:v>
                </c:pt>
                <c:pt idx="152">
                  <c:v>3.4554122145673649E-12</c:v>
                </c:pt>
                <c:pt idx="153">
                  <c:v>3.4554122145673649E-12</c:v>
                </c:pt>
                <c:pt idx="154">
                  <c:v>3.4554122145673649E-12</c:v>
                </c:pt>
                <c:pt idx="155">
                  <c:v>3.4554122145673649E-12</c:v>
                </c:pt>
                <c:pt idx="156">
                  <c:v>3.4554122145673649E-12</c:v>
                </c:pt>
                <c:pt idx="157">
                  <c:v>3.4554122145673649E-12</c:v>
                </c:pt>
                <c:pt idx="158">
                  <c:v>3.4554122145673649E-12</c:v>
                </c:pt>
                <c:pt idx="159">
                  <c:v>3.4554122145673649E-12</c:v>
                </c:pt>
                <c:pt idx="160">
                  <c:v>3.4554122145673649E-12</c:v>
                </c:pt>
                <c:pt idx="161">
                  <c:v>3.4554122145673649E-12</c:v>
                </c:pt>
                <c:pt idx="162">
                  <c:v>3.4554122145673649E-12</c:v>
                </c:pt>
                <c:pt idx="163">
                  <c:v>3.4554122145673649E-12</c:v>
                </c:pt>
                <c:pt idx="164">
                  <c:v>3.4554122145673649E-12</c:v>
                </c:pt>
                <c:pt idx="165">
                  <c:v>3.4554122145673649E-12</c:v>
                </c:pt>
                <c:pt idx="166">
                  <c:v>3.4554122145673649E-12</c:v>
                </c:pt>
                <c:pt idx="167">
                  <c:v>3.4554122145673649E-12</c:v>
                </c:pt>
                <c:pt idx="168">
                  <c:v>3.4554122145673649E-12</c:v>
                </c:pt>
                <c:pt idx="169">
                  <c:v>3.4554122145673649E-12</c:v>
                </c:pt>
                <c:pt idx="170">
                  <c:v>3.4554122145673649E-12</c:v>
                </c:pt>
                <c:pt idx="171">
                  <c:v>3.4554122145673649E-12</c:v>
                </c:pt>
                <c:pt idx="172">
                  <c:v>3.4554122145673649E-12</c:v>
                </c:pt>
                <c:pt idx="173">
                  <c:v>3.4554122145673649E-12</c:v>
                </c:pt>
                <c:pt idx="174">
                  <c:v>3.4554122145673649E-12</c:v>
                </c:pt>
                <c:pt idx="175">
                  <c:v>3.4554122145673649E-12</c:v>
                </c:pt>
                <c:pt idx="176">
                  <c:v>3.4554122145673649E-12</c:v>
                </c:pt>
                <c:pt idx="177">
                  <c:v>3.4554122145673649E-12</c:v>
                </c:pt>
                <c:pt idx="178">
                  <c:v>3.4554122145673649E-12</c:v>
                </c:pt>
                <c:pt idx="179">
                  <c:v>3.4554122145673649E-12</c:v>
                </c:pt>
                <c:pt idx="180">
                  <c:v>3.4554122145673649E-12</c:v>
                </c:pt>
                <c:pt idx="181">
                  <c:v>3.4554122145673649E-12</c:v>
                </c:pt>
                <c:pt idx="182">
                  <c:v>3.4554122145673649E-12</c:v>
                </c:pt>
                <c:pt idx="183">
                  <c:v>3.4554122145673649E-12</c:v>
                </c:pt>
                <c:pt idx="184">
                  <c:v>3.4554122145673649E-12</c:v>
                </c:pt>
                <c:pt idx="185">
                  <c:v>3.4554122145673649E-12</c:v>
                </c:pt>
                <c:pt idx="186">
                  <c:v>3.4554122145673649E-12</c:v>
                </c:pt>
                <c:pt idx="187">
                  <c:v>3.4554122145673649E-12</c:v>
                </c:pt>
                <c:pt idx="188">
                  <c:v>3.4554122145673649E-12</c:v>
                </c:pt>
                <c:pt idx="189">
                  <c:v>3.4554122145673649E-12</c:v>
                </c:pt>
                <c:pt idx="190">
                  <c:v>3.4554122145673649E-12</c:v>
                </c:pt>
                <c:pt idx="191">
                  <c:v>3.4554122145673649E-12</c:v>
                </c:pt>
                <c:pt idx="192">
                  <c:v>3.4554122145673649E-12</c:v>
                </c:pt>
                <c:pt idx="193">
                  <c:v>3.4554122145673649E-12</c:v>
                </c:pt>
                <c:pt idx="194">
                  <c:v>3.4554122145673649E-12</c:v>
                </c:pt>
                <c:pt idx="195">
                  <c:v>3.4554122145673649E-12</c:v>
                </c:pt>
                <c:pt idx="196">
                  <c:v>3.4554122145673649E-12</c:v>
                </c:pt>
                <c:pt idx="197">
                  <c:v>3.4554122145673649E-12</c:v>
                </c:pt>
                <c:pt idx="198">
                  <c:v>3.4554122145673649E-12</c:v>
                </c:pt>
                <c:pt idx="199">
                  <c:v>3.4554122145673649E-12</c:v>
                </c:pt>
                <c:pt idx="200">
                  <c:v>3.4554122145673649E-12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985888"/>
        <c:axId val="1942986432"/>
      </c:scatterChart>
      <c:valAx>
        <c:axId val="1942985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86432"/>
        <c:crosses val="autoZero"/>
        <c:crossBetween val="midCat"/>
      </c:valAx>
      <c:valAx>
        <c:axId val="194298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85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06224"/>
        <c:axId val="49307856"/>
      </c:scatterChart>
      <c:valAx>
        <c:axId val="493062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307856"/>
        <c:crosses val="autoZero"/>
        <c:crossBetween val="midCat"/>
      </c:valAx>
      <c:valAx>
        <c:axId val="49307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306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1.4414793496856533</c:v>
                </c:pt>
                <c:pt idx="2">
                  <c:v>1.6957472082081553</c:v>
                </c:pt>
                <c:pt idx="3">
                  <c:v>1.9950357923280386</c:v>
                </c:pt>
                <c:pt idx="4">
                  <c:v>2.347344939891443</c:v>
                </c:pt>
                <c:pt idx="5">
                  <c:v>2.7621007590314162</c:v>
                </c:pt>
                <c:pt idx="6">
                  <c:v>3.2504107076792792</c:v>
                </c:pt>
                <c:pt idx="7">
                  <c:v>3.825364424271148</c:v>
                </c:pt>
                <c:pt idx="8">
                  <c:v>4.5023885374392192</c:v>
                </c:pt>
                <c:pt idx="9">
                  <c:v>5.2996651657492606</c:v>
                </c:pt>
                <c:pt idx="10">
                  <c:v>6.2386255698093906</c:v>
                </c:pt>
                <c:pt idx="11">
                  <c:v>7.3445324868481237</c:v>
                </c:pt>
                <c:pt idx="12">
                  <c:v>8.6471671194582758</c:v>
                </c:pt>
                <c:pt idx="13">
                  <c:v>10.181639633343407</c:v>
                </c:pt>
                <c:pt idx="14">
                  <c:v>11.989345423586537</c:v>
                </c:pt>
                <c:pt idx="15">
                  <c:v>14.119093429711674</c:v>
                </c:pt>
                <c:pt idx="16">
                  <c:v>16.628437528309927</c:v>
                </c:pt>
                <c:pt idx="17">
                  <c:v>19.585247640219709</c:v>
                </c:pt>
                <c:pt idx="18">
                  <c:v>23.06956381311781</c:v>
                </c:pt>
                <c:pt idx="19">
                  <c:v>27.175784364159011</c:v>
                </c:pt>
                <c:pt idx="20">
                  <c:v>32.01524840874319</c:v>
                </c:pt>
                <c:pt idx="21">
                  <c:v>37.719284017914553</c:v>
                </c:pt>
                <c:pt idx="22">
                  <c:v>44.442806142411648</c:v>
                </c:pt>
                <c:pt idx="23">
                  <c:v>52.36856367539125</c:v>
                </c:pt>
                <c:pt idx="24">
                  <c:v>61.712153023110119</c:v>
                </c:pt>
                <c:pt idx="25">
                  <c:v>72.727936815402572</c:v>
                </c:pt>
                <c:pt idx="26">
                  <c:v>85.716031509021889</c:v>
                </c:pt>
                <c:pt idx="27">
                  <c:v>101.03055731818506</c:v>
                </c:pt>
                <c:pt idx="28">
                  <c:v>119.08937897700982</c:v>
                </c:pt>
                <c:pt idx="29">
                  <c:v>140.38560727791869</c:v>
                </c:pt>
                <c:pt idx="30">
                  <c:v>165.50118029691697</c:v>
                </c:pt>
                <c:pt idx="31">
                  <c:v>179.46324770768891</c:v>
                </c:pt>
                <c:pt idx="32">
                  <c:v>193.39986918264768</c:v>
                </c:pt>
                <c:pt idx="33">
                  <c:v>207.31313753029789</c:v>
                </c:pt>
                <c:pt idx="34">
                  <c:v>221.20484142256439</c:v>
                </c:pt>
                <c:pt idx="35">
                  <c:v>235.07652633478912</c:v>
                </c:pt>
                <c:pt idx="36">
                  <c:v>248.92954032268176</c:v>
                </c:pt>
                <c:pt idx="37">
                  <c:v>264.64797652661235</c:v>
                </c:pt>
                <c:pt idx="38">
                  <c:v>280.34536622855927</c:v>
                </c:pt>
                <c:pt idx="39">
                  <c:v>296.02305381221748</c:v>
                </c:pt>
                <c:pt idx="40">
                  <c:v>311.68222960474617</c:v>
                </c:pt>
                <c:pt idx="41">
                  <c:v>327.32395454691869</c:v>
                </c:pt>
                <c:pt idx="42">
                  <c:v>342.94917989816827</c:v>
                </c:pt>
                <c:pt idx="43">
                  <c:v>252.35131675211218</c:v>
                </c:pt>
                <c:pt idx="44">
                  <c:v>267.05626602372371</c:v>
                </c:pt>
                <c:pt idx="45">
                  <c:v>281.74297783060115</c:v>
                </c:pt>
                <c:pt idx="46">
                  <c:v>296.41253683272038</c:v>
                </c:pt>
                <c:pt idx="47">
                  <c:v>311.79971216525382</c:v>
                </c:pt>
                <c:pt idx="48">
                  <c:v>327.17004456819859</c:v>
                </c:pt>
                <c:pt idx="49">
                  <c:v>342.52443668489974</c:v>
                </c:pt>
                <c:pt idx="50">
                  <c:v>357.86370362552151</c:v>
                </c:pt>
                <c:pt idx="51">
                  <c:v>271.00781757957418</c:v>
                </c:pt>
                <c:pt idx="52">
                  <c:v>284.99703604060181</c:v>
                </c:pt>
                <c:pt idx="53">
                  <c:v>298.97088730995114</c:v>
                </c:pt>
                <c:pt idx="54">
                  <c:v>312.93019091439282</c:v>
                </c:pt>
                <c:pt idx="55">
                  <c:v>327.52018745167248</c:v>
                </c:pt>
                <c:pt idx="56">
                  <c:v>342.09583790267112</c:v>
                </c:pt>
                <c:pt idx="57">
                  <c:v>356.65783958693765</c:v>
                </c:pt>
                <c:pt idx="58">
                  <c:v>371.20682823289297</c:v>
                </c:pt>
                <c:pt idx="59">
                  <c:v>304.40215515583299</c:v>
                </c:pt>
                <c:pt idx="60">
                  <c:v>317.91708684799181</c:v>
                </c:pt>
                <c:pt idx="61">
                  <c:v>331.4192992390324</c:v>
                </c:pt>
                <c:pt idx="62">
                  <c:v>344.90938358127147</c:v>
                </c:pt>
                <c:pt idx="63">
                  <c:v>358.84484263121522</c:v>
                </c:pt>
                <c:pt idx="64">
                  <c:v>372.76846403909394</c:v>
                </c:pt>
                <c:pt idx="65">
                  <c:v>386.68075224360473</c:v>
                </c:pt>
                <c:pt idx="66">
                  <c:v>400.58217242318642</c:v>
                </c:pt>
                <c:pt idx="67">
                  <c:v>334.41209880970473</c:v>
                </c:pt>
                <c:pt idx="68">
                  <c:v>347.26591633306845</c:v>
                </c:pt>
                <c:pt idx="69">
                  <c:v>360.10929255920752</c:v>
                </c:pt>
                <c:pt idx="70">
                  <c:v>372.94265239708557</c:v>
                </c:pt>
                <c:pt idx="71">
                  <c:v>385.76638912193852</c:v>
                </c:pt>
                <c:pt idx="72">
                  <c:v>398.95593734303293</c:v>
                </c:pt>
                <c:pt idx="73">
                  <c:v>412.13604717632614</c:v>
                </c:pt>
                <c:pt idx="74">
                  <c:v>425.30706298403044</c:v>
                </c:pt>
                <c:pt idx="75">
                  <c:v>438.46930606019009</c:v>
                </c:pt>
                <c:pt idx="76">
                  <c:v>372.61499264956916</c:v>
                </c:pt>
                <c:pt idx="77">
                  <c:v>384.75420898333573</c:v>
                </c:pt>
                <c:pt idx="78">
                  <c:v>396.88510506982516</c:v>
                </c:pt>
                <c:pt idx="79">
                  <c:v>409.00797109065178</c:v>
                </c:pt>
                <c:pt idx="80">
                  <c:v>421.29527664631428</c:v>
                </c:pt>
                <c:pt idx="81">
                  <c:v>433.57486705666861</c:v>
                </c:pt>
                <c:pt idx="82">
                  <c:v>445.84699162716521</c:v>
                </c:pt>
                <c:pt idx="83">
                  <c:v>458.11188481896869</c:v>
                </c:pt>
                <c:pt idx="84">
                  <c:v>390.04451511944882</c:v>
                </c:pt>
                <c:pt idx="85">
                  <c:v>401.28702140444511</c:v>
                </c:pt>
                <c:pt idx="86">
                  <c:v>412.52271368220454</c:v>
                </c:pt>
                <c:pt idx="87">
                  <c:v>423.75180373748623</c:v>
                </c:pt>
                <c:pt idx="88">
                  <c:v>435.06244250402978</c:v>
                </c:pt>
                <c:pt idx="89">
                  <c:v>446.36677082703955</c:v>
                </c:pt>
                <c:pt idx="90">
                  <c:v>457.66497106221027</c:v>
                </c:pt>
                <c:pt idx="91">
                  <c:v>468.95721582652283</c:v>
                </c:pt>
                <c:pt idx="92">
                  <c:v>247.11603156068318</c:v>
                </c:pt>
                <c:pt idx="93">
                  <c:v>254.80165242893929</c:v>
                </c:pt>
                <c:pt idx="94">
                  <c:v>262.48202671510938</c:v>
                </c:pt>
                <c:pt idx="95">
                  <c:v>270.15732976785586</c:v>
                </c:pt>
                <c:pt idx="96">
                  <c:v>277.82772614753247</c:v>
                </c:pt>
                <c:pt idx="97">
                  <c:v>285.3760428508354</c:v>
                </c:pt>
                <c:pt idx="98">
                  <c:v>292.91989121294858</c:v>
                </c:pt>
                <c:pt idx="99">
                  <c:v>300.45940266608233</c:v>
                </c:pt>
                <c:pt idx="100">
                  <c:v>307.99470150100632</c:v>
                </c:pt>
                <c:pt idx="101">
                  <c:v>315.52590542418318</c:v>
                </c:pt>
                <c:pt idx="102">
                  <c:v>2.282709528541206E-12</c:v>
                </c:pt>
                <c:pt idx="103">
                  <c:v>2.282709528541206E-12</c:v>
                </c:pt>
                <c:pt idx="104">
                  <c:v>2.282709528541206E-12</c:v>
                </c:pt>
                <c:pt idx="105">
                  <c:v>2.282709528541206E-12</c:v>
                </c:pt>
                <c:pt idx="106">
                  <c:v>2.282709528541206E-12</c:v>
                </c:pt>
                <c:pt idx="107">
                  <c:v>2.282709528541206E-12</c:v>
                </c:pt>
                <c:pt idx="108">
                  <c:v>2.282709528541206E-12</c:v>
                </c:pt>
                <c:pt idx="109">
                  <c:v>2.282709528541206E-12</c:v>
                </c:pt>
                <c:pt idx="110">
                  <c:v>2.282709528541206E-12</c:v>
                </c:pt>
                <c:pt idx="111">
                  <c:v>2.282709528541206E-12</c:v>
                </c:pt>
                <c:pt idx="112">
                  <c:v>2.282709528541206E-12</c:v>
                </c:pt>
                <c:pt idx="113">
                  <c:v>2.282709528541206E-12</c:v>
                </c:pt>
                <c:pt idx="114">
                  <c:v>2.282709528541206E-12</c:v>
                </c:pt>
                <c:pt idx="115">
                  <c:v>2.282709528541206E-12</c:v>
                </c:pt>
                <c:pt idx="116">
                  <c:v>2.282709528541206E-12</c:v>
                </c:pt>
                <c:pt idx="117">
                  <c:v>2.282709528541206E-12</c:v>
                </c:pt>
                <c:pt idx="118">
                  <c:v>2.282709528541206E-12</c:v>
                </c:pt>
                <c:pt idx="119">
                  <c:v>2.282709528541206E-12</c:v>
                </c:pt>
                <c:pt idx="120">
                  <c:v>2.282709528541206E-12</c:v>
                </c:pt>
                <c:pt idx="121">
                  <c:v>2.282709528541206E-12</c:v>
                </c:pt>
                <c:pt idx="122">
                  <c:v>2.282709528541206E-12</c:v>
                </c:pt>
                <c:pt idx="123">
                  <c:v>2.282709528541206E-12</c:v>
                </c:pt>
                <c:pt idx="124">
                  <c:v>2.282709528541206E-12</c:v>
                </c:pt>
                <c:pt idx="125">
                  <c:v>2.282709528541206E-12</c:v>
                </c:pt>
                <c:pt idx="126">
                  <c:v>2.282709528541206E-12</c:v>
                </c:pt>
                <c:pt idx="127">
                  <c:v>2.282709528541206E-12</c:v>
                </c:pt>
                <c:pt idx="128">
                  <c:v>2.282709528541206E-12</c:v>
                </c:pt>
                <c:pt idx="129">
                  <c:v>2.282709528541206E-12</c:v>
                </c:pt>
                <c:pt idx="130">
                  <c:v>2.282709528541206E-12</c:v>
                </c:pt>
                <c:pt idx="131">
                  <c:v>2.282709528541206E-12</c:v>
                </c:pt>
                <c:pt idx="132">
                  <c:v>2.282709528541206E-12</c:v>
                </c:pt>
                <c:pt idx="133">
                  <c:v>2.282709528541206E-12</c:v>
                </c:pt>
                <c:pt idx="134">
                  <c:v>2.282709528541206E-12</c:v>
                </c:pt>
                <c:pt idx="135">
                  <c:v>2.282709528541206E-12</c:v>
                </c:pt>
                <c:pt idx="136">
                  <c:v>2.282709528541206E-12</c:v>
                </c:pt>
                <c:pt idx="137">
                  <c:v>2.282709528541206E-12</c:v>
                </c:pt>
                <c:pt idx="138">
                  <c:v>2.282709528541206E-12</c:v>
                </c:pt>
                <c:pt idx="139">
                  <c:v>2.282709528541206E-12</c:v>
                </c:pt>
                <c:pt idx="140">
                  <c:v>2.282709528541206E-12</c:v>
                </c:pt>
                <c:pt idx="141">
                  <c:v>2.282709528541206E-12</c:v>
                </c:pt>
                <c:pt idx="142">
                  <c:v>2.282709528541206E-12</c:v>
                </c:pt>
                <c:pt idx="143">
                  <c:v>2.282709528541206E-12</c:v>
                </c:pt>
                <c:pt idx="144">
                  <c:v>2.282709528541206E-12</c:v>
                </c:pt>
                <c:pt idx="145">
                  <c:v>2.282709528541206E-12</c:v>
                </c:pt>
                <c:pt idx="146">
                  <c:v>2.282709528541206E-12</c:v>
                </c:pt>
                <c:pt idx="147">
                  <c:v>2.282709528541206E-12</c:v>
                </c:pt>
                <c:pt idx="148">
                  <c:v>2.282709528541206E-12</c:v>
                </c:pt>
                <c:pt idx="149">
                  <c:v>2.282709528541206E-12</c:v>
                </c:pt>
                <c:pt idx="150">
                  <c:v>2.282709528541206E-12</c:v>
                </c:pt>
                <c:pt idx="151">
                  <c:v>2.282709528541206E-12</c:v>
                </c:pt>
                <c:pt idx="152">
                  <c:v>2.282709528541206E-12</c:v>
                </c:pt>
                <c:pt idx="153">
                  <c:v>2.282709528541206E-12</c:v>
                </c:pt>
                <c:pt idx="154">
                  <c:v>2.282709528541206E-12</c:v>
                </c:pt>
                <c:pt idx="155">
                  <c:v>2.282709528541206E-12</c:v>
                </c:pt>
                <c:pt idx="156">
                  <c:v>2.282709528541206E-12</c:v>
                </c:pt>
                <c:pt idx="157">
                  <c:v>2.282709528541206E-12</c:v>
                </c:pt>
                <c:pt idx="158">
                  <c:v>2.282709528541206E-12</c:v>
                </c:pt>
                <c:pt idx="159">
                  <c:v>2.282709528541206E-12</c:v>
                </c:pt>
                <c:pt idx="160">
                  <c:v>2.282709528541206E-12</c:v>
                </c:pt>
                <c:pt idx="161">
                  <c:v>2.282709528541206E-12</c:v>
                </c:pt>
                <c:pt idx="162">
                  <c:v>2.282709528541206E-12</c:v>
                </c:pt>
                <c:pt idx="163">
                  <c:v>2.282709528541206E-12</c:v>
                </c:pt>
                <c:pt idx="164">
                  <c:v>2.282709528541206E-12</c:v>
                </c:pt>
                <c:pt idx="165">
                  <c:v>2.282709528541206E-12</c:v>
                </c:pt>
                <c:pt idx="166">
                  <c:v>2.282709528541206E-12</c:v>
                </c:pt>
                <c:pt idx="167">
                  <c:v>2.282709528541206E-12</c:v>
                </c:pt>
                <c:pt idx="168">
                  <c:v>2.282709528541206E-12</c:v>
                </c:pt>
                <c:pt idx="169">
                  <c:v>2.282709528541206E-12</c:v>
                </c:pt>
                <c:pt idx="170">
                  <c:v>2.282709528541206E-12</c:v>
                </c:pt>
                <c:pt idx="171">
                  <c:v>2.282709528541206E-12</c:v>
                </c:pt>
                <c:pt idx="172">
                  <c:v>2.282709528541206E-12</c:v>
                </c:pt>
                <c:pt idx="173">
                  <c:v>2.282709528541206E-12</c:v>
                </c:pt>
                <c:pt idx="174">
                  <c:v>2.282709528541206E-12</c:v>
                </c:pt>
                <c:pt idx="175">
                  <c:v>2.282709528541206E-12</c:v>
                </c:pt>
                <c:pt idx="176">
                  <c:v>2.282709528541206E-12</c:v>
                </c:pt>
                <c:pt idx="177">
                  <c:v>2.282709528541206E-12</c:v>
                </c:pt>
                <c:pt idx="178">
                  <c:v>2.282709528541206E-12</c:v>
                </c:pt>
                <c:pt idx="179">
                  <c:v>2.282709528541206E-12</c:v>
                </c:pt>
                <c:pt idx="180">
                  <c:v>2.282709528541206E-12</c:v>
                </c:pt>
                <c:pt idx="181">
                  <c:v>2.282709528541206E-12</c:v>
                </c:pt>
                <c:pt idx="182">
                  <c:v>2.282709528541206E-12</c:v>
                </c:pt>
                <c:pt idx="183">
                  <c:v>2.282709528541206E-12</c:v>
                </c:pt>
                <c:pt idx="184">
                  <c:v>2.282709528541206E-12</c:v>
                </c:pt>
                <c:pt idx="185">
                  <c:v>2.282709528541206E-12</c:v>
                </c:pt>
                <c:pt idx="186">
                  <c:v>2.282709528541206E-12</c:v>
                </c:pt>
                <c:pt idx="187">
                  <c:v>2.282709528541206E-12</c:v>
                </c:pt>
                <c:pt idx="188">
                  <c:v>2.282709528541206E-12</c:v>
                </c:pt>
                <c:pt idx="189">
                  <c:v>2.282709528541206E-12</c:v>
                </c:pt>
                <c:pt idx="190">
                  <c:v>2.282709528541206E-12</c:v>
                </c:pt>
                <c:pt idx="191">
                  <c:v>2.282709528541206E-12</c:v>
                </c:pt>
                <c:pt idx="192">
                  <c:v>2.282709528541206E-12</c:v>
                </c:pt>
                <c:pt idx="193">
                  <c:v>2.282709528541206E-12</c:v>
                </c:pt>
                <c:pt idx="194">
                  <c:v>2.282709528541206E-12</c:v>
                </c:pt>
                <c:pt idx="195">
                  <c:v>2.282709528541206E-12</c:v>
                </c:pt>
                <c:pt idx="196">
                  <c:v>2.282709528541206E-12</c:v>
                </c:pt>
                <c:pt idx="197">
                  <c:v>2.282709528541206E-12</c:v>
                </c:pt>
                <c:pt idx="198">
                  <c:v>2.282709528541206E-12</c:v>
                </c:pt>
                <c:pt idx="199">
                  <c:v>2.282709528541206E-12</c:v>
                </c:pt>
                <c:pt idx="200">
                  <c:v>2.282709528541206E-12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974464"/>
        <c:axId val="1942978816"/>
      </c:scatterChart>
      <c:valAx>
        <c:axId val="194297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78816"/>
        <c:crosses val="autoZero"/>
        <c:crossBetween val="midCat"/>
      </c:valAx>
      <c:valAx>
        <c:axId val="194297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7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986976"/>
        <c:axId val="1942988064"/>
      </c:scatterChart>
      <c:valAx>
        <c:axId val="19429869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88064"/>
        <c:crosses val="autoZero"/>
        <c:crossBetween val="midCat"/>
      </c:valAx>
      <c:valAx>
        <c:axId val="194298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86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1.9508946107432275</c:v>
                </c:pt>
                <c:pt idx="2">
                  <c:v>2.4541577777849692</c:v>
                </c:pt>
                <c:pt idx="3">
                  <c:v>3.0877594432242415</c:v>
                </c:pt>
                <c:pt idx="4">
                  <c:v>3.8855812951691147</c:v>
                </c:pt>
                <c:pt idx="5">
                  <c:v>4.8903432539889566</c:v>
                </c:pt>
                <c:pt idx="6">
                  <c:v>6.1559164125763592</c:v>
                </c:pt>
                <c:pt idx="7">
                  <c:v>7.7502430654644883</c:v>
                </c:pt>
                <c:pt idx="8">
                  <c:v>9.759023606181179</c:v>
                </c:pt>
                <c:pt idx="9">
                  <c:v>12.290372228750266</c:v>
                </c:pt>
                <c:pt idx="10">
                  <c:v>15.480696673450021</c:v>
                </c:pt>
                <c:pt idx="11">
                  <c:v>19.502124662623089</c:v>
                </c:pt>
                <c:pt idx="12">
                  <c:v>24.571884917422917</c:v>
                </c:pt>
                <c:pt idx="13">
                  <c:v>30.964158461385495</c:v>
                </c:pt>
                <c:pt idx="14">
                  <c:v>39.025052288726734</c:v>
                </c:pt>
                <c:pt idx="15">
                  <c:v>49.1915199822785</c:v>
                </c:pt>
                <c:pt idx="16">
                  <c:v>66.657384980595054</c:v>
                </c:pt>
                <c:pt idx="17">
                  <c:v>84.004272555239865</c:v>
                </c:pt>
                <c:pt idx="18">
                  <c:v>101.26043228511077</c:v>
                </c:pt>
                <c:pt idx="19">
                  <c:v>118.4435774600118</c:v>
                </c:pt>
                <c:pt idx="20">
                  <c:v>135.56582181617225</c:v>
                </c:pt>
                <c:pt idx="21">
                  <c:v>152.635953308398</c:v>
                </c:pt>
                <c:pt idx="22">
                  <c:v>172.96879566591463</c:v>
                </c:pt>
                <c:pt idx="23">
                  <c:v>118.91172145652443</c:v>
                </c:pt>
                <c:pt idx="24">
                  <c:v>133.60360008678595</c:v>
                </c:pt>
                <c:pt idx="25">
                  <c:v>151.40834557678431</c:v>
                </c:pt>
                <c:pt idx="26">
                  <c:v>169.16318954630938</c:v>
                </c:pt>
                <c:pt idx="27">
                  <c:v>186.87411053311584</c:v>
                </c:pt>
                <c:pt idx="28">
                  <c:v>158.76051047616974</c:v>
                </c:pt>
                <c:pt idx="29">
                  <c:v>175.59896515661092</c:v>
                </c:pt>
                <c:pt idx="30">
                  <c:v>192.39950654022343</c:v>
                </c:pt>
                <c:pt idx="31">
                  <c:v>209.16591247422164</c:v>
                </c:pt>
                <c:pt idx="32">
                  <c:v>225.90130495746598</c:v>
                </c:pt>
                <c:pt idx="33">
                  <c:v>242.60830522574884</c:v>
                </c:pt>
                <c:pt idx="34">
                  <c:v>203.58097513744312</c:v>
                </c:pt>
                <c:pt idx="35">
                  <c:v>220.02792534458783</c:v>
                </c:pt>
                <c:pt idx="36">
                  <c:v>236.44664825214025</c:v>
                </c:pt>
                <c:pt idx="37">
                  <c:v>252.83938003643593</c:v>
                </c:pt>
                <c:pt idx="38">
                  <c:v>269.20804307840717</c:v>
                </c:pt>
                <c:pt idx="39">
                  <c:v>285.5543068085463</c:v>
                </c:pt>
                <c:pt idx="40">
                  <c:v>301.87963387321696</c:v>
                </c:pt>
                <c:pt idx="41">
                  <c:v>318.18531578207211</c:v>
                </c:pt>
                <c:pt idx="42">
                  <c:v>258.41598708702196</c:v>
                </c:pt>
                <c:pt idx="43">
                  <c:v>273.64897539352847</c:v>
                </c:pt>
                <c:pt idx="44">
                  <c:v>288.86291050410284</c:v>
                </c:pt>
                <c:pt idx="45">
                  <c:v>304.0589372536673</c:v>
                </c:pt>
                <c:pt idx="46">
                  <c:v>319.23807668113335</c:v>
                </c:pt>
                <c:pt idx="47">
                  <c:v>334.40124478994869</c:v>
                </c:pt>
                <c:pt idx="48">
                  <c:v>349.54926772624771</c:v>
                </c:pt>
                <c:pt idx="49">
                  <c:v>364.68289418741483</c:v>
                </c:pt>
                <c:pt idx="50">
                  <c:v>379.80280566271296</c:v>
                </c:pt>
                <c:pt idx="51">
                  <c:v>322.84049712168786</c:v>
                </c:pt>
                <c:pt idx="52">
                  <c:v>336.4690093627658</c:v>
                </c:pt>
                <c:pt idx="53">
                  <c:v>350.08536930552191</c:v>
                </c:pt>
                <c:pt idx="54">
                  <c:v>363.69011622210314</c:v>
                </c:pt>
                <c:pt idx="55">
                  <c:v>377.28374574247232</c:v>
                </c:pt>
                <c:pt idx="56">
                  <c:v>390.8667148646162</c:v>
                </c:pt>
                <c:pt idx="57">
                  <c:v>404.43944623185251</c:v>
                </c:pt>
                <c:pt idx="58">
                  <c:v>418.00233180594455</c:v>
                </c:pt>
                <c:pt idx="59">
                  <c:v>431.55573603859693</c:v>
                </c:pt>
                <c:pt idx="60">
                  <c:v>445.09999862375895</c:v>
                </c:pt>
                <c:pt idx="61">
                  <c:v>387.77711671492489</c:v>
                </c:pt>
                <c:pt idx="62">
                  <c:v>399.46857547560211</c:v>
                </c:pt>
                <c:pt idx="63">
                  <c:v>411.15262834415722</c:v>
                </c:pt>
                <c:pt idx="64">
                  <c:v>422.82951547202788</c:v>
                </c:pt>
                <c:pt idx="65">
                  <c:v>434.4994626626833</c:v>
                </c:pt>
                <c:pt idx="66">
                  <c:v>446.16268259938084</c:v>
                </c:pt>
                <c:pt idx="67">
                  <c:v>457.81937593784551</c:v>
                </c:pt>
                <c:pt idx="68">
                  <c:v>469.46973228186403</c:v>
                </c:pt>
                <c:pt idx="69">
                  <c:v>481.11393105699329</c:v>
                </c:pt>
                <c:pt idx="70">
                  <c:v>492.75214229528314</c:v>
                </c:pt>
                <c:pt idx="71">
                  <c:v>435.52165251525486</c:v>
                </c:pt>
                <c:pt idx="72">
                  <c:v>445.12148725674388</c:v>
                </c:pt>
                <c:pt idx="73">
                  <c:v>454.71688879830623</c:v>
                </c:pt>
                <c:pt idx="74">
                  <c:v>464.30796390444101</c:v>
                </c:pt>
                <c:pt idx="75">
                  <c:v>473.8948145679185</c:v>
                </c:pt>
                <c:pt idx="76">
                  <c:v>483.47753831734195</c:v>
                </c:pt>
                <c:pt idx="77">
                  <c:v>493.05622849905507</c:v>
                </c:pt>
                <c:pt idx="78">
                  <c:v>502.63097453599829</c:v>
                </c:pt>
                <c:pt idx="79">
                  <c:v>512.20186216581487</c:v>
                </c:pt>
                <c:pt idx="80">
                  <c:v>521.76897366023286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987520"/>
        <c:axId val="1942988608"/>
      </c:scatterChart>
      <c:valAx>
        <c:axId val="19429875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88608"/>
        <c:crosses val="autoZero"/>
        <c:crossBetween val="midCat"/>
      </c:valAx>
      <c:valAx>
        <c:axId val="194298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875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145.0249982538752</c:v>
                </c:pt>
                <c:pt idx="22">
                  <c:v>170.51654323504027</c:v>
                </c:pt>
                <c:pt idx="23">
                  <c:v>195.91822647250351</c:v>
                </c:pt>
                <c:pt idx="24">
                  <c:v>221.24334918385946</c:v>
                </c:pt>
                <c:pt idx="25">
                  <c:v>246.5019100362974</c:v>
                </c:pt>
                <c:pt idx="26">
                  <c:v>270.88192908271884</c:v>
                </c:pt>
                <c:pt idx="27">
                  <c:v>295.21258396391971</c:v>
                </c:pt>
                <c:pt idx="28">
                  <c:v>319.49851297916712</c:v>
                </c:pt>
                <c:pt idx="29">
                  <c:v>343.7435916472391</c:v>
                </c:pt>
                <c:pt idx="30">
                  <c:v>367.95110424042514</c:v>
                </c:pt>
                <c:pt idx="31">
                  <c:v>270.81361334976526</c:v>
                </c:pt>
                <c:pt idx="32">
                  <c:v>292.86002684671388</c:v>
                </c:pt>
                <c:pt idx="33">
                  <c:v>314.86939629706029</c:v>
                </c:pt>
                <c:pt idx="34">
                  <c:v>336.84467386393629</c:v>
                </c:pt>
                <c:pt idx="35">
                  <c:v>358.78839513118515</c:v>
                </c:pt>
                <c:pt idx="36">
                  <c:v>378.02433866846064</c:v>
                </c:pt>
                <c:pt idx="37">
                  <c:v>397.23898298464991</c:v>
                </c:pt>
                <c:pt idx="38">
                  <c:v>416.43350276675238</c:v>
                </c:pt>
                <c:pt idx="39">
                  <c:v>435.60895562573</c:v>
                </c:pt>
                <c:pt idx="40">
                  <c:v>454.7662985108031</c:v>
                </c:pt>
                <c:pt idx="41">
                  <c:v>352.88083208106292</c:v>
                </c:pt>
                <c:pt idx="42">
                  <c:v>369.54558155288436</c:v>
                </c:pt>
                <c:pt idx="43">
                  <c:v>386.19394120407043</c:v>
                </c:pt>
                <c:pt idx="44">
                  <c:v>402.82671684246179</c:v>
                </c:pt>
                <c:pt idx="45">
                  <c:v>419.44464231919113</c:v>
                </c:pt>
                <c:pt idx="46">
                  <c:v>433.88493422762093</c:v>
                </c:pt>
                <c:pt idx="47">
                  <c:v>448.31491037156951</c:v>
                </c:pt>
                <c:pt idx="48">
                  <c:v>462.73494948769138</c:v>
                </c:pt>
                <c:pt idx="49">
                  <c:v>477.14540478752315</c:v>
                </c:pt>
                <c:pt idx="50">
                  <c:v>491.5466064127836</c:v>
                </c:pt>
                <c:pt idx="51">
                  <c:v>431.21410057407803</c:v>
                </c:pt>
                <c:pt idx="52">
                  <c:v>443.65246288624508</c:v>
                </c:pt>
                <c:pt idx="53">
                  <c:v>456.08335619265745</c:v>
                </c:pt>
                <c:pt idx="54">
                  <c:v>468.50701274734303</c:v>
                </c:pt>
                <c:pt idx="55">
                  <c:v>480.92365148260507</c:v>
                </c:pt>
                <c:pt idx="56">
                  <c:v>491.51289051119289</c:v>
                </c:pt>
                <c:pt idx="57">
                  <c:v>502.09729276427265</c:v>
                </c:pt>
                <c:pt idx="58">
                  <c:v>512.67697458119881</c:v>
                </c:pt>
                <c:pt idx="59">
                  <c:v>523.25204710797016</c:v>
                </c:pt>
                <c:pt idx="60">
                  <c:v>533.8226166315709</c:v>
                </c:pt>
                <c:pt idx="61">
                  <c:v>491.78261635079099</c:v>
                </c:pt>
                <c:pt idx="62">
                  <c:v>500.61441511086258</c:v>
                </c:pt>
                <c:pt idx="63">
                  <c:v>509.44291639898364</c:v>
                </c:pt>
                <c:pt idx="64">
                  <c:v>518.2681854294982</c:v>
                </c:pt>
                <c:pt idx="65">
                  <c:v>527.09028501417185</c:v>
                </c:pt>
                <c:pt idx="66">
                  <c:v>534.66403201436515</c:v>
                </c:pt>
                <c:pt idx="67">
                  <c:v>542.23552329497863</c:v>
                </c:pt>
                <c:pt idx="68">
                  <c:v>549.80479480408326</c:v>
                </c:pt>
                <c:pt idx="69">
                  <c:v>557.37188141896718</c:v>
                </c:pt>
                <c:pt idx="70">
                  <c:v>564.93681699244883</c:v>
                </c:pt>
                <c:pt idx="71">
                  <c:v>528.40323103965056</c:v>
                </c:pt>
                <c:pt idx="72">
                  <c:v>535.43810957066455</c:v>
                </c:pt>
                <c:pt idx="73">
                  <c:v>542.47104501409672</c:v>
                </c:pt>
                <c:pt idx="74">
                  <c:v>549.50206612243039</c:v>
                </c:pt>
                <c:pt idx="75">
                  <c:v>556.53120085211901</c:v>
                </c:pt>
                <c:pt idx="76">
                  <c:v>562.51626962014586</c:v>
                </c:pt>
                <c:pt idx="77">
                  <c:v>568.50000621784136</c:v>
                </c:pt>
                <c:pt idx="78">
                  <c:v>574.48242664981956</c:v>
                </c:pt>
                <c:pt idx="79">
                  <c:v>580.46354656005849</c:v>
                </c:pt>
                <c:pt idx="80">
                  <c:v>586.44338124374281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975008"/>
        <c:axId val="1942975552"/>
      </c:scatterChart>
      <c:valAx>
        <c:axId val="1942975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75552"/>
        <c:crosses val="autoZero"/>
        <c:crossBetween val="midCat"/>
      </c:valAx>
      <c:valAx>
        <c:axId val="1942975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75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3.0215418478863434</c:v>
                </c:pt>
                <c:pt idx="2">
                  <c:v>4.0882142365615106</c:v>
                </c:pt>
                <c:pt idx="3">
                  <c:v>5.5330029449878415</c:v>
                </c:pt>
                <c:pt idx="4">
                  <c:v>7.4904619536777686</c:v>
                </c:pt>
                <c:pt idx="5">
                  <c:v>10.143198697027399</c:v>
                </c:pt>
                <c:pt idx="6">
                  <c:v>13.739092273584617</c:v>
                </c:pt>
                <c:pt idx="7">
                  <c:v>18.614699878988485</c:v>
                </c:pt>
                <c:pt idx="8">
                  <c:v>25.227081644422793</c:v>
                </c:pt>
                <c:pt idx="9">
                  <c:v>34.197079809673824</c:v>
                </c:pt>
                <c:pt idx="10">
                  <c:v>46.368185670270002</c:v>
                </c:pt>
                <c:pt idx="11">
                  <c:v>60.806387369363868</c:v>
                </c:pt>
                <c:pt idx="12">
                  <c:v>75.154841693095705</c:v>
                </c:pt>
                <c:pt idx="13">
                  <c:v>89.433224652663043</c:v>
                </c:pt>
                <c:pt idx="14">
                  <c:v>103.65434792362198</c:v>
                </c:pt>
                <c:pt idx="15">
                  <c:v>117.82719554138386</c:v>
                </c:pt>
                <c:pt idx="16">
                  <c:v>136.15232577620694</c:v>
                </c:pt>
                <c:pt idx="17">
                  <c:v>154.41803223213648</c:v>
                </c:pt>
                <c:pt idx="18">
                  <c:v>172.63234168697639</c:v>
                </c:pt>
                <c:pt idx="19">
                  <c:v>190.80144399249434</c:v>
                </c:pt>
                <c:pt idx="20">
                  <c:v>208.9302515139897</c:v>
                </c:pt>
                <c:pt idx="21">
                  <c:v>148.71585437138609</c:v>
                </c:pt>
                <c:pt idx="22">
                  <c:v>166.18689856434787</c:v>
                </c:pt>
                <c:pt idx="23">
                  <c:v>183.6145755041251</c:v>
                </c:pt>
                <c:pt idx="24">
                  <c:v>201.00358266422018</c:v>
                </c:pt>
                <c:pt idx="25">
                  <c:v>218.35773715529604</c:v>
                </c:pt>
                <c:pt idx="26">
                  <c:v>235.30394147234657</c:v>
                </c:pt>
                <c:pt idx="27">
                  <c:v>252.22230966781115</c:v>
                </c:pt>
                <c:pt idx="28">
                  <c:v>269.11497170292427</c:v>
                </c:pt>
                <c:pt idx="29">
                  <c:v>285.9837682029551</c:v>
                </c:pt>
                <c:pt idx="30">
                  <c:v>302.8303048722828</c:v>
                </c:pt>
                <c:pt idx="31">
                  <c:v>230.41133295181578</c:v>
                </c:pt>
                <c:pt idx="32">
                  <c:v>246.20993843849078</c:v>
                </c:pt>
                <c:pt idx="33">
                  <c:v>261.98552595095464</c:v>
                </c:pt>
                <c:pt idx="34">
                  <c:v>277.73967673325717</c:v>
                </c:pt>
                <c:pt idx="35">
                  <c:v>293.47377793906509</c:v>
                </c:pt>
                <c:pt idx="36">
                  <c:v>308.06713623755627</c:v>
                </c:pt>
                <c:pt idx="37">
                  <c:v>322.64514262468748</c:v>
                </c:pt>
                <c:pt idx="38">
                  <c:v>337.20858844808726</c:v>
                </c:pt>
                <c:pt idx="39">
                  <c:v>351.75819111537271</c:v>
                </c:pt>
                <c:pt idx="40">
                  <c:v>366.29460383970871</c:v>
                </c:pt>
                <c:pt idx="41">
                  <c:v>291.60168035874693</c:v>
                </c:pt>
                <c:pt idx="42">
                  <c:v>304.7008312271609</c:v>
                </c:pt>
                <c:pt idx="43">
                  <c:v>317.78746245668049</c:v>
                </c:pt>
                <c:pt idx="44">
                  <c:v>330.8621623472693</c:v>
                </c:pt>
                <c:pt idx="45">
                  <c:v>343.92546889640738</c:v>
                </c:pt>
                <c:pt idx="46">
                  <c:v>356.23230957994474</c:v>
                </c:pt>
                <c:pt idx="47">
                  <c:v>368.52984306951686</c:v>
                </c:pt>
                <c:pt idx="48">
                  <c:v>380.81842375712017</c:v>
                </c:pt>
                <c:pt idx="49">
                  <c:v>393.09838129270628</c:v>
                </c:pt>
                <c:pt idx="50">
                  <c:v>405.37002304691265</c:v>
                </c:pt>
                <c:pt idx="51">
                  <c:v>336.83534260693528</c:v>
                </c:pt>
                <c:pt idx="52">
                  <c:v>348.40178403373966</c:v>
                </c:pt>
                <c:pt idx="53">
                  <c:v>359.95980096859563</c:v>
                </c:pt>
                <c:pt idx="54">
                  <c:v>371.50970211515966</c:v>
                </c:pt>
                <c:pt idx="55">
                  <c:v>383.05177541071225</c:v>
                </c:pt>
                <c:pt idx="56">
                  <c:v>392.72638504489868</c:v>
                </c:pt>
                <c:pt idx="57">
                  <c:v>402.39582743654267</c:v>
                </c:pt>
                <c:pt idx="58">
                  <c:v>412.06024430985252</c:v>
                </c:pt>
                <c:pt idx="59">
                  <c:v>421.71977019610921</c:v>
                </c:pt>
                <c:pt idx="60">
                  <c:v>431.37453295867726</c:v>
                </c:pt>
                <c:pt idx="61">
                  <c:v>370.01983804377852</c:v>
                </c:pt>
                <c:pt idx="62">
                  <c:v>379.32936443758246</c:v>
                </c:pt>
                <c:pt idx="63">
                  <c:v>388.63392005694874</c:v>
                </c:pt>
                <c:pt idx="64">
                  <c:v>397.93364074958487</c:v>
                </c:pt>
                <c:pt idx="65">
                  <c:v>407.22865549260905</c:v>
                </c:pt>
                <c:pt idx="66">
                  <c:v>415.77601826307938</c:v>
                </c:pt>
                <c:pt idx="67">
                  <c:v>424.31959279145207</c:v>
                </c:pt>
                <c:pt idx="68">
                  <c:v>432.85946614650521</c:v>
                </c:pt>
                <c:pt idx="69">
                  <c:v>441.39572167958931</c:v>
                </c:pt>
                <c:pt idx="70">
                  <c:v>449.92843925372921</c:v>
                </c:pt>
                <c:pt idx="71">
                  <c:v>395.70214171866616</c:v>
                </c:pt>
                <c:pt idx="72">
                  <c:v>402.76762782233124</c:v>
                </c:pt>
                <c:pt idx="73">
                  <c:v>409.83043316117727</c:v>
                </c:pt>
                <c:pt idx="74">
                  <c:v>416.89061048442267</c:v>
                </c:pt>
                <c:pt idx="75">
                  <c:v>423.94821060760881</c:v>
                </c:pt>
                <c:pt idx="76">
                  <c:v>430.63202519963056</c:v>
                </c:pt>
                <c:pt idx="77">
                  <c:v>437.31361092515778</c:v>
                </c:pt>
                <c:pt idx="78">
                  <c:v>443.99300666555558</c:v>
                </c:pt>
                <c:pt idx="79">
                  <c:v>450.67025003611371</c:v>
                </c:pt>
                <c:pt idx="80">
                  <c:v>457.34537744583622</c:v>
                </c:pt>
                <c:pt idx="81">
                  <c:v>413.17505211911867</c:v>
                </c:pt>
                <c:pt idx="82">
                  <c:v>419.11960237942054</c:v>
                </c:pt>
                <c:pt idx="83">
                  <c:v>425.06233617824188</c:v>
                </c:pt>
                <c:pt idx="84">
                  <c:v>431.00328251520631</c:v>
                </c:pt>
                <c:pt idx="85">
                  <c:v>436.94246952460412</c:v>
                </c:pt>
                <c:pt idx="86">
                  <c:v>442.5088838133741</c:v>
                </c:pt>
                <c:pt idx="87">
                  <c:v>448.07379769140431</c:v>
                </c:pt>
                <c:pt idx="88">
                  <c:v>453.63723243721898</c:v>
                </c:pt>
                <c:pt idx="89">
                  <c:v>459.19920876443263</c:v>
                </c:pt>
                <c:pt idx="90">
                  <c:v>464.75974684355987</c:v>
                </c:pt>
                <c:pt idx="91">
                  <c:v>427.29039899318769</c:v>
                </c:pt>
                <c:pt idx="92">
                  <c:v>432.48824312398847</c:v>
                </c:pt>
                <c:pt idx="93">
                  <c:v>437.68474556682258</c:v>
                </c:pt>
                <c:pt idx="94">
                  <c:v>442.87992451288648</c:v>
                </c:pt>
                <c:pt idx="95">
                  <c:v>448.07379769140431</c:v>
                </c:pt>
                <c:pt idx="96">
                  <c:v>453.63723243721915</c:v>
                </c:pt>
                <c:pt idx="97">
                  <c:v>459.19920876443274</c:v>
                </c:pt>
                <c:pt idx="98">
                  <c:v>464.75974684355998</c:v>
                </c:pt>
                <c:pt idx="99">
                  <c:v>470.31886632272813</c:v>
                </c:pt>
                <c:pt idx="100">
                  <c:v>475.87658634735823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977728"/>
        <c:axId val="1942979904"/>
      </c:scatterChart>
      <c:valAx>
        <c:axId val="1942977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79904"/>
        <c:crosses val="autoZero"/>
        <c:crossBetween val="midCat"/>
      </c:valAx>
      <c:valAx>
        <c:axId val="194297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77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88.457340034120918</c:v>
                </c:pt>
                <c:pt idx="17">
                  <c:v>100.57156022593183</c:v>
                </c:pt>
                <c:pt idx="18">
                  <c:v>112.64958590196655</c:v>
                </c:pt>
                <c:pt idx="19">
                  <c:v>124.69585112217392</c:v>
                </c:pt>
                <c:pt idx="20">
                  <c:v>136.71386058122562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138.21427227726235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174.6759892646526</c:v>
                </c:pt>
                <c:pt idx="27">
                  <c:v>186.41554721296791</c:v>
                </c:pt>
                <c:pt idx="28">
                  <c:v>198.13785215720918</c:v>
                </c:pt>
                <c:pt idx="29">
                  <c:v>209.8440693666619</c:v>
                </c:pt>
                <c:pt idx="30">
                  <c:v>221.53522335108485</c:v>
                </c:pt>
                <c:pt idx="31">
                  <c:v>185.2982570323903</c:v>
                </c:pt>
                <c:pt idx="32">
                  <c:v>196.46424765821197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229.8773319666974</c:v>
                </c:pt>
                <c:pt idx="36">
                  <c:v>240.24898910471029</c:v>
                </c:pt>
                <c:pt idx="37">
                  <c:v>250.61045481310325</c:v>
                </c:pt>
                <c:pt idx="38">
                  <c:v>260.96221015972299</c:v>
                </c:pt>
                <c:pt idx="39">
                  <c:v>271.30469489980919</c:v>
                </c:pt>
                <c:pt idx="40">
                  <c:v>281.63831249761358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270.93547543188362</c:v>
                </c:pt>
                <c:pt idx="45">
                  <c:v>280.71601875158382</c:v>
                </c:pt>
                <c:pt idx="46">
                  <c:v>289.75160586553034</c:v>
                </c:pt>
                <c:pt idx="47">
                  <c:v>298.78089686477716</c:v>
                </c:pt>
                <c:pt idx="48">
                  <c:v>307.80410900253173</c:v>
                </c:pt>
                <c:pt idx="49">
                  <c:v>316.82144574470937</c:v>
                </c:pt>
                <c:pt idx="50">
                  <c:v>325.8330980209808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328.03918745937807</c:v>
                </c:pt>
                <c:pt idx="57">
                  <c:v>335.75793717547276</c:v>
                </c:pt>
                <c:pt idx="58">
                  <c:v>343.47277904595654</c:v>
                </c:pt>
                <c:pt idx="59">
                  <c:v>351.1838133017921</c:v>
                </c:pt>
                <c:pt idx="60">
                  <c:v>358.89113540947909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359.62497583302707</c:v>
                </c:pt>
                <c:pt idx="67">
                  <c:v>366.77821443674179</c:v>
                </c:pt>
                <c:pt idx="68">
                  <c:v>373.92840744681308</c:v>
                </c:pt>
                <c:pt idx="69">
                  <c:v>381.0756213642569</c:v>
                </c:pt>
                <c:pt idx="70">
                  <c:v>388.21991999001654</c:v>
                </c:pt>
                <c:pt idx="71">
                  <c:v>355.40494358786822</c:v>
                </c:pt>
                <c:pt idx="72">
                  <c:v>362.00973132142713</c:v>
                </c:pt>
                <c:pt idx="73">
                  <c:v>368.61188489876866</c:v>
                </c:pt>
                <c:pt idx="74">
                  <c:v>375.21145820009173</c:v>
                </c:pt>
                <c:pt idx="75">
                  <c:v>381.80850305381119</c:v>
                </c:pt>
                <c:pt idx="76">
                  <c:v>387.85361564101663</c:v>
                </c:pt>
                <c:pt idx="77">
                  <c:v>393.89668264259575</c:v>
                </c:pt>
                <c:pt idx="78">
                  <c:v>399.93773989825166</c:v>
                </c:pt>
                <c:pt idx="79">
                  <c:v>405.97682207564725</c:v>
                </c:pt>
                <c:pt idx="80">
                  <c:v>412.01396272598703</c:v>
                </c:pt>
                <c:pt idx="81">
                  <c:v>380.34270900980056</c:v>
                </c:pt>
                <c:pt idx="82">
                  <c:v>386.2051529766095</c:v>
                </c:pt>
                <c:pt idx="83">
                  <c:v>392.06566407054515</c:v>
                </c:pt>
                <c:pt idx="84">
                  <c:v>397.9242752879988</c:v>
                </c:pt>
                <c:pt idx="85">
                  <c:v>403.78101857356387</c:v>
                </c:pt>
                <c:pt idx="86">
                  <c:v>409.27004647130326</c:v>
                </c:pt>
                <c:pt idx="87">
                  <c:v>414.75748456475031</c:v>
                </c:pt>
                <c:pt idx="88">
                  <c:v>420.24335687514667</c:v>
                </c:pt>
                <c:pt idx="89">
                  <c:v>425.72768674484382</c:v>
                </c:pt>
                <c:pt idx="90">
                  <c:v>431.21049686518558</c:v>
                </c:pt>
                <c:pt idx="91">
                  <c:v>401.76797181151136</c:v>
                </c:pt>
                <c:pt idx="92">
                  <c:v>407.07462745738621</c:v>
                </c:pt>
                <c:pt idx="93">
                  <c:v>412.37978836079861</c:v>
                </c:pt>
                <c:pt idx="94">
                  <c:v>417.6834764831122</c:v>
                </c:pt>
                <c:pt idx="95">
                  <c:v>422.98571318193194</c:v>
                </c:pt>
                <c:pt idx="96">
                  <c:v>428.10375641326408</c:v>
                </c:pt>
                <c:pt idx="97">
                  <c:v>433.22048417506704</c:v>
                </c:pt>
                <c:pt idx="98">
                  <c:v>438.33591421069946</c:v>
                </c:pt>
                <c:pt idx="99">
                  <c:v>443.45006381522575</c:v>
                </c:pt>
                <c:pt idx="100">
                  <c:v>448.56294985189817</c:v>
                </c:pt>
                <c:pt idx="101">
                  <c:v>421.15751834664781</c:v>
                </c:pt>
                <c:pt idx="102">
                  <c:v>425.72768674484382</c:v>
                </c:pt>
                <c:pt idx="103">
                  <c:v>430.29679977258542</c:v>
                </c:pt>
                <c:pt idx="104">
                  <c:v>434.86487022897177</c:v>
                </c:pt>
                <c:pt idx="105">
                  <c:v>439.43191062199884</c:v>
                </c:pt>
                <c:pt idx="106">
                  <c:v>444.18055307943456</c:v>
                </c:pt>
                <c:pt idx="107">
                  <c:v>448.92810808361338</c:v>
                </c:pt>
                <c:pt idx="108">
                  <c:v>453.67458876784752</c:v>
                </c:pt>
                <c:pt idx="109">
                  <c:v>458.42000796797294</c:v>
                </c:pt>
                <c:pt idx="110">
                  <c:v>463.16437823216773</c:v>
                </c:pt>
                <c:pt idx="111">
                  <c:v>3.1457867471021712E-12</c:v>
                </c:pt>
                <c:pt idx="112">
                  <c:v>3.1457867471021712E-12</c:v>
                </c:pt>
                <c:pt idx="113">
                  <c:v>3.1457867471021712E-12</c:v>
                </c:pt>
                <c:pt idx="114">
                  <c:v>3.1457867471021712E-12</c:v>
                </c:pt>
                <c:pt idx="115">
                  <c:v>3.1457867471021712E-12</c:v>
                </c:pt>
                <c:pt idx="116">
                  <c:v>3.1457867471021712E-12</c:v>
                </c:pt>
                <c:pt idx="117">
                  <c:v>3.1457867471021712E-12</c:v>
                </c:pt>
                <c:pt idx="118">
                  <c:v>3.1457867471021712E-12</c:v>
                </c:pt>
                <c:pt idx="119">
                  <c:v>3.1457867471021712E-12</c:v>
                </c:pt>
                <c:pt idx="120">
                  <c:v>3.1457867471021712E-12</c:v>
                </c:pt>
                <c:pt idx="121">
                  <c:v>3.1457867471021712E-12</c:v>
                </c:pt>
                <c:pt idx="122">
                  <c:v>3.1457867471021712E-12</c:v>
                </c:pt>
                <c:pt idx="123">
                  <c:v>3.1457867471021712E-12</c:v>
                </c:pt>
                <c:pt idx="124">
                  <c:v>3.1457867471021712E-12</c:v>
                </c:pt>
                <c:pt idx="125">
                  <c:v>3.1457867471021712E-12</c:v>
                </c:pt>
                <c:pt idx="126">
                  <c:v>3.1457867471021712E-12</c:v>
                </c:pt>
                <c:pt idx="127">
                  <c:v>3.1457867471021712E-12</c:v>
                </c:pt>
                <c:pt idx="128">
                  <c:v>3.1457867471021712E-12</c:v>
                </c:pt>
                <c:pt idx="129">
                  <c:v>3.1457867471021712E-12</c:v>
                </c:pt>
                <c:pt idx="130">
                  <c:v>3.1457867471021712E-12</c:v>
                </c:pt>
                <c:pt idx="131">
                  <c:v>3.1457867471021712E-12</c:v>
                </c:pt>
                <c:pt idx="132">
                  <c:v>3.1457867471021712E-12</c:v>
                </c:pt>
                <c:pt idx="133">
                  <c:v>3.1457867471021712E-12</c:v>
                </c:pt>
                <c:pt idx="134">
                  <c:v>3.1457867471021712E-12</c:v>
                </c:pt>
                <c:pt idx="135">
                  <c:v>3.1457867471021712E-12</c:v>
                </c:pt>
                <c:pt idx="136">
                  <c:v>3.1457867471021712E-12</c:v>
                </c:pt>
                <c:pt idx="137">
                  <c:v>3.1457867471021712E-12</c:v>
                </c:pt>
                <c:pt idx="138">
                  <c:v>3.1457867471021712E-12</c:v>
                </c:pt>
                <c:pt idx="139">
                  <c:v>3.1457867471021712E-12</c:v>
                </c:pt>
                <c:pt idx="140">
                  <c:v>3.1457867471021712E-12</c:v>
                </c:pt>
                <c:pt idx="141">
                  <c:v>3.1457867471021712E-12</c:v>
                </c:pt>
                <c:pt idx="142">
                  <c:v>3.1457867471021712E-12</c:v>
                </c:pt>
                <c:pt idx="143">
                  <c:v>3.1457867471021712E-12</c:v>
                </c:pt>
                <c:pt idx="144">
                  <c:v>3.1457867471021712E-12</c:v>
                </c:pt>
                <c:pt idx="145">
                  <c:v>3.1457867471021712E-12</c:v>
                </c:pt>
                <c:pt idx="146">
                  <c:v>3.1457867471021712E-12</c:v>
                </c:pt>
                <c:pt idx="147">
                  <c:v>3.1457867471021712E-12</c:v>
                </c:pt>
                <c:pt idx="148">
                  <c:v>3.1457867471021712E-12</c:v>
                </c:pt>
                <c:pt idx="149">
                  <c:v>3.1457867471021712E-12</c:v>
                </c:pt>
                <c:pt idx="150">
                  <c:v>3.1457867471021712E-12</c:v>
                </c:pt>
                <c:pt idx="151">
                  <c:v>3.1457867471021712E-12</c:v>
                </c:pt>
                <c:pt idx="152">
                  <c:v>3.1457867471021712E-12</c:v>
                </c:pt>
                <c:pt idx="153">
                  <c:v>3.1457867471021712E-12</c:v>
                </c:pt>
                <c:pt idx="154">
                  <c:v>3.1457867471021712E-12</c:v>
                </c:pt>
                <c:pt idx="155">
                  <c:v>3.1457867471021712E-12</c:v>
                </c:pt>
                <c:pt idx="156">
                  <c:v>3.1457867471021712E-12</c:v>
                </c:pt>
                <c:pt idx="157">
                  <c:v>3.1457867471021712E-12</c:v>
                </c:pt>
                <c:pt idx="158">
                  <c:v>3.1457867471021712E-12</c:v>
                </c:pt>
                <c:pt idx="159">
                  <c:v>3.1457867471021712E-12</c:v>
                </c:pt>
                <c:pt idx="160">
                  <c:v>3.1457867471021712E-12</c:v>
                </c:pt>
                <c:pt idx="161">
                  <c:v>3.1457867471021712E-12</c:v>
                </c:pt>
                <c:pt idx="162">
                  <c:v>3.1457867471021712E-12</c:v>
                </c:pt>
                <c:pt idx="163">
                  <c:v>3.1457867471021712E-12</c:v>
                </c:pt>
                <c:pt idx="164">
                  <c:v>3.1457867471021712E-12</c:v>
                </c:pt>
                <c:pt idx="165">
                  <c:v>3.1457867471021712E-12</c:v>
                </c:pt>
                <c:pt idx="166">
                  <c:v>3.1457867471021712E-12</c:v>
                </c:pt>
                <c:pt idx="167">
                  <c:v>3.1457867471021712E-12</c:v>
                </c:pt>
                <c:pt idx="168">
                  <c:v>3.1457867471021712E-12</c:v>
                </c:pt>
                <c:pt idx="169">
                  <c:v>3.1457867471021712E-12</c:v>
                </c:pt>
                <c:pt idx="170">
                  <c:v>3.1457867471021712E-12</c:v>
                </c:pt>
                <c:pt idx="171">
                  <c:v>3.1457867471021712E-12</c:v>
                </c:pt>
                <c:pt idx="172">
                  <c:v>3.1457867471021712E-12</c:v>
                </c:pt>
                <c:pt idx="173">
                  <c:v>3.1457867471021712E-12</c:v>
                </c:pt>
                <c:pt idx="174">
                  <c:v>3.1457867471021712E-12</c:v>
                </c:pt>
                <c:pt idx="175">
                  <c:v>3.1457867471021712E-12</c:v>
                </c:pt>
                <c:pt idx="176">
                  <c:v>3.1457867471021712E-12</c:v>
                </c:pt>
                <c:pt idx="177">
                  <c:v>3.1457867471021712E-12</c:v>
                </c:pt>
                <c:pt idx="178">
                  <c:v>3.1457867471021712E-12</c:v>
                </c:pt>
                <c:pt idx="179">
                  <c:v>3.1457867471021712E-12</c:v>
                </c:pt>
                <c:pt idx="180">
                  <c:v>3.1457867471021712E-12</c:v>
                </c:pt>
                <c:pt idx="181">
                  <c:v>3.1457867471021712E-12</c:v>
                </c:pt>
                <c:pt idx="182">
                  <c:v>3.1457867471021712E-12</c:v>
                </c:pt>
                <c:pt idx="183">
                  <c:v>3.1457867471021712E-12</c:v>
                </c:pt>
                <c:pt idx="184">
                  <c:v>3.1457867471021712E-12</c:v>
                </c:pt>
                <c:pt idx="185">
                  <c:v>3.1457867471021712E-12</c:v>
                </c:pt>
                <c:pt idx="186">
                  <c:v>3.1457867471021712E-12</c:v>
                </c:pt>
                <c:pt idx="187">
                  <c:v>3.1457867471021712E-12</c:v>
                </c:pt>
                <c:pt idx="188">
                  <c:v>3.1457867471021712E-12</c:v>
                </c:pt>
                <c:pt idx="189">
                  <c:v>3.1457867471021712E-12</c:v>
                </c:pt>
                <c:pt idx="190">
                  <c:v>3.1457867471021712E-12</c:v>
                </c:pt>
                <c:pt idx="191">
                  <c:v>3.1457867471021712E-12</c:v>
                </c:pt>
                <c:pt idx="192">
                  <c:v>3.1457867471021712E-12</c:v>
                </c:pt>
                <c:pt idx="193">
                  <c:v>3.1457867471021712E-12</c:v>
                </c:pt>
                <c:pt idx="194">
                  <c:v>3.1457867471021712E-12</c:v>
                </c:pt>
                <c:pt idx="195">
                  <c:v>3.1457867471021712E-12</c:v>
                </c:pt>
                <c:pt idx="196">
                  <c:v>3.1457867471021712E-12</c:v>
                </c:pt>
                <c:pt idx="197">
                  <c:v>3.1457867471021712E-12</c:v>
                </c:pt>
                <c:pt idx="198">
                  <c:v>3.1457867471021712E-12</c:v>
                </c:pt>
                <c:pt idx="199">
                  <c:v>3.1457867471021712E-12</c:v>
                </c:pt>
                <c:pt idx="200">
                  <c:v>3.1457867471021712E-12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978272"/>
        <c:axId val="1942980448"/>
      </c:scatterChart>
      <c:valAx>
        <c:axId val="194297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80448"/>
        <c:crosses val="autoZero"/>
        <c:crossBetween val="midCat"/>
      </c:valAx>
      <c:valAx>
        <c:axId val="194298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7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980992"/>
        <c:axId val="1942981536"/>
      </c:scatterChart>
      <c:valAx>
        <c:axId val="1942980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81536"/>
        <c:crosses val="autoZero"/>
        <c:crossBetween val="midCat"/>
      </c:valAx>
      <c:valAx>
        <c:axId val="1942981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80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42982624"/>
        <c:axId val="49312752"/>
      </c:scatterChart>
      <c:valAx>
        <c:axId val="194298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312752"/>
        <c:crosses val="autoZero"/>
        <c:crossBetween val="midCat"/>
      </c:valAx>
      <c:valAx>
        <c:axId val="4931275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298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68" zoomScale="80" zoomScaleNormal="80" workbookViewId="0">
      <selection activeCell="B90" sqref="B9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6.56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0.44700000000000001</v>
      </c>
      <c r="D9" s="36">
        <f t="shared" ref="D9:D18" si="0">C9*$C$5</f>
        <v>2.9323199999999998</v>
      </c>
      <c r="E9" s="37">
        <v>70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0.27300000000000002</v>
      </c>
      <c r="D10" s="36">
        <f t="shared" si="0"/>
        <v>1.79088</v>
      </c>
      <c r="E10" s="37">
        <v>101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9.5000000000000001E-2</v>
      </c>
      <c r="D11" s="36">
        <f t="shared" si="0"/>
        <v>0.62319999999999998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35</v>
      </c>
      <c r="C12" s="35">
        <v>4.3999999999999997E-2</v>
      </c>
      <c r="D12" s="36">
        <f t="shared" si="0"/>
        <v>0.28863999999999995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23</v>
      </c>
      <c r="C13" s="35">
        <v>4.2000000000000003E-2</v>
      </c>
      <c r="D13" s="36">
        <f t="shared" si="0"/>
        <v>0.27551999999999999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13</v>
      </c>
      <c r="C14" s="35">
        <v>4.2000000000000003E-2</v>
      </c>
      <c r="D14" s="36">
        <f t="shared" si="0"/>
        <v>0.27551999999999999</v>
      </c>
      <c r="E14" s="37">
        <v>100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50</v>
      </c>
      <c r="C15" s="35">
        <v>3.1E-2</v>
      </c>
      <c r="D15" s="36">
        <f t="shared" si="0"/>
        <v>0.20335999999999999</v>
      </c>
      <c r="E15" s="37">
        <v>110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</v>
      </c>
      <c r="C16" s="35">
        <v>1.0999999999999999E-2</v>
      </c>
      <c r="D16" s="36">
        <f t="shared" si="0"/>
        <v>7.2159999999999988E-2</v>
      </c>
      <c r="E16" s="37">
        <v>150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0.9850000000000001</v>
      </c>
      <c r="D19" s="41">
        <f>SUM(D9:D18)</f>
        <v>6.4616000000000007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f>192.63/1.3</f>
        <v>148.17692307692306</v>
      </c>
      <c r="C36" s="63"/>
      <c r="D36" s="63"/>
      <c r="E36" s="54"/>
      <c r="F36" s="54"/>
      <c r="G36" s="54"/>
      <c r="H36" s="54"/>
      <c r="I36" s="52">
        <f>IFERROR(B36/A36,"")</f>
        <v>7.7987854251012134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21</v>
      </c>
      <c r="B37" s="63">
        <f>234.08/1.3</f>
        <v>180.06153846153848</v>
      </c>
      <c r="C37" s="63">
        <v>1</v>
      </c>
      <c r="D37" s="63">
        <f>79.52/1.3</f>
        <v>61.169230769230765</v>
      </c>
      <c r="E37" s="54"/>
      <c r="F37" s="54">
        <v>0.2</v>
      </c>
      <c r="G37" s="54">
        <v>0.4</v>
      </c>
      <c r="H37" s="54">
        <v>0.4</v>
      </c>
      <c r="I37" s="56">
        <f t="shared" ref="I37:I55" si="1">IF(A37&lt;&gt;0,(B37-(B36-D36))/(A37-A36),"")</f>
        <v>15.942307692307708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28</v>
      </c>
      <c r="B38" s="63">
        <f>306.42/1.3</f>
        <v>235.7076923076923</v>
      </c>
      <c r="C38" s="63">
        <v>2</v>
      </c>
      <c r="D38" s="63">
        <f>73.99/1.3</f>
        <v>56.91538461538461</v>
      </c>
      <c r="E38" s="54">
        <v>0.2</v>
      </c>
      <c r="F38" s="54">
        <v>0.2</v>
      </c>
      <c r="G38" s="54">
        <v>0.3</v>
      </c>
      <c r="H38" s="54">
        <v>0.3</v>
      </c>
      <c r="I38" s="56">
        <f t="shared" si="1"/>
        <v>16.687912087912085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f>279.49/1.3</f>
        <v>214.99230769230769</v>
      </c>
      <c r="C39" s="63"/>
      <c r="D39" s="63"/>
      <c r="E39" s="54"/>
      <c r="F39" s="54"/>
      <c r="G39" s="54"/>
      <c r="H39" s="54"/>
      <c r="I39" s="52">
        <f t="shared" si="1"/>
        <v>18.099999999999994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35</v>
      </c>
      <c r="B40" s="63">
        <f>397.14/1.3</f>
        <v>305.49230769230769</v>
      </c>
      <c r="C40" s="63">
        <v>3</v>
      </c>
      <c r="D40" s="63">
        <f>91.65/1.3</f>
        <v>70.5</v>
      </c>
      <c r="E40" s="54"/>
      <c r="F40" s="54"/>
      <c r="G40" s="54"/>
      <c r="H40" s="54"/>
      <c r="I40" s="52">
        <f t="shared" si="1"/>
        <v>18.100000000000001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42</v>
      </c>
      <c r="B41" s="63">
        <f>471.38/1.3</f>
        <v>362.59999999999997</v>
      </c>
      <c r="C41" s="63">
        <v>4</v>
      </c>
      <c r="D41" s="63">
        <f>104.87/1.3</f>
        <v>80.669230769230765</v>
      </c>
      <c r="E41" s="54"/>
      <c r="F41" s="54"/>
      <c r="G41" s="54"/>
      <c r="H41" s="54"/>
      <c r="I41" s="56">
        <f t="shared" si="1"/>
        <v>18.229670329670324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49</v>
      </c>
      <c r="B42" s="63">
        <f>525.94/1.3</f>
        <v>404.56923076923078</v>
      </c>
      <c r="C42" s="63">
        <v>5</v>
      </c>
      <c r="D42" s="63">
        <f>117.59/1.3</f>
        <v>90.453846153846158</v>
      </c>
      <c r="E42" s="54"/>
      <c r="F42" s="54"/>
      <c r="G42" s="54"/>
      <c r="H42" s="54"/>
      <c r="I42" s="56">
        <f t="shared" si="1"/>
        <v>17.519780219780223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56</v>
      </c>
      <c r="B43" s="63">
        <f>556.02/1.3</f>
        <v>427.7076923076923</v>
      </c>
      <c r="C43" s="63">
        <v>6</v>
      </c>
      <c r="D43" s="63">
        <f>98.63/1.3</f>
        <v>75.869230769230768</v>
      </c>
      <c r="E43" s="54"/>
      <c r="F43" s="54"/>
      <c r="G43" s="54"/>
      <c r="H43" s="54"/>
      <c r="I43" s="52">
        <f t="shared" si="1"/>
        <v>16.227472527472521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63</v>
      </c>
      <c r="B44" s="63">
        <f>592.43/1.3</f>
        <v>455.71538461538455</v>
      </c>
      <c r="C44" s="63">
        <v>7</v>
      </c>
      <c r="D44" s="63">
        <f>103.64/1.3</f>
        <v>79.723076923076917</v>
      </c>
      <c r="E44" s="54"/>
      <c r="F44" s="54"/>
      <c r="G44" s="54"/>
      <c r="H44" s="54"/>
      <c r="I44" s="52">
        <f t="shared" si="1"/>
        <v>14.839560439560435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69</v>
      </c>
      <c r="B45" s="63">
        <f>593.1/1.3</f>
        <v>456.23076923076923</v>
      </c>
      <c r="C45" s="63"/>
      <c r="D45" s="63"/>
      <c r="E45" s="54"/>
      <c r="F45" s="54"/>
      <c r="G45" s="54"/>
      <c r="H45" s="54"/>
      <c r="I45" s="52">
        <f t="shared" si="1"/>
        <v>13.373076923076932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f>609.79/1.3</f>
        <v>469.06923076923073</v>
      </c>
      <c r="C46" s="63">
        <v>8</v>
      </c>
      <c r="D46" s="63">
        <f>B46</f>
        <v>469.06923076923073</v>
      </c>
      <c r="E46" s="54"/>
      <c r="F46" s="54"/>
      <c r="G46" s="54"/>
      <c r="H46" s="54"/>
      <c r="I46" s="52">
        <f t="shared" si="1"/>
        <v>12.838461538461502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30</v>
      </c>
      <c r="B62" s="63">
        <f>206.36/1.3</f>
        <v>158.73846153846154</v>
      </c>
      <c r="C62" s="63"/>
      <c r="D62" s="63"/>
      <c r="E62" s="54"/>
      <c r="F62" s="54"/>
      <c r="G62" s="54"/>
      <c r="H62" s="54"/>
      <c r="I62" s="56">
        <f>IFERROR(B62/A62,"")</f>
        <v>5.2912820512820513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36</v>
      </c>
      <c r="B63" s="63">
        <f>313.64/1.3</f>
        <v>241.26153846153844</v>
      </c>
      <c r="C63" s="63"/>
      <c r="D63" s="63"/>
      <c r="E63" s="54"/>
      <c r="F63" s="54"/>
      <c r="G63" s="54"/>
      <c r="H63" s="54"/>
      <c r="I63" s="52">
        <f>IF(A63&lt;&gt;0,(B63-(B62-D62))/(A63-A62),"")</f>
        <v>13.753846153846149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42</v>
      </c>
      <c r="B64" s="63">
        <f>435.53/1.3</f>
        <v>335.02307692307687</v>
      </c>
      <c r="C64" s="63">
        <v>1</v>
      </c>
      <c r="D64" s="63">
        <f>136.48/1.3</f>
        <v>104.98461538461537</v>
      </c>
      <c r="E64" s="54"/>
      <c r="F64" s="54"/>
      <c r="G64" s="54"/>
      <c r="H64" s="54"/>
      <c r="I64" s="52">
        <f>IF(A64&lt;&gt;0,(B64-(B63-D63))/(A64-A63),"")</f>
        <v>15.626923076923072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46</v>
      </c>
      <c r="B65" s="63">
        <f>375.09/1.3</f>
        <v>288.53076923076918</v>
      </c>
      <c r="C65" s="63"/>
      <c r="D65" s="63"/>
      <c r="E65" s="54"/>
      <c r="F65" s="54"/>
      <c r="G65" s="54"/>
      <c r="H65" s="54"/>
      <c r="I65" s="52">
        <f>IF(A65&lt;&gt;0,(B65-(B64-D64))/(A65-A64),"")</f>
        <v>14.623076923076923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50</v>
      </c>
      <c r="B66" s="63">
        <f>454.94/1.3</f>
        <v>349.95384615384614</v>
      </c>
      <c r="C66" s="63">
        <v>2</v>
      </c>
      <c r="D66" s="63">
        <f>130.87/1.3</f>
        <v>100.66923076923077</v>
      </c>
      <c r="E66" s="54"/>
      <c r="F66" s="54"/>
      <c r="G66" s="54"/>
      <c r="H66" s="54"/>
      <c r="I66" s="52">
        <f t="shared" ref="I66:I81" si="2">IF(A66&lt;&gt;0,(B66-(B65-D65))/(A66-A65),"")</f>
        <v>15.355769230769241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54</v>
      </c>
      <c r="B67" s="63">
        <f>396.52/1.3</f>
        <v>305.01538461538462</v>
      </c>
      <c r="C67" s="63"/>
      <c r="D67" s="63"/>
      <c r="E67" s="54"/>
      <c r="F67" s="54"/>
      <c r="G67" s="54"/>
      <c r="H67" s="54"/>
      <c r="I67" s="52">
        <f t="shared" si="2"/>
        <v>13.932692307692307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58</v>
      </c>
      <c r="B68" s="63">
        <f>472.32/1.3</f>
        <v>363.32307692307688</v>
      </c>
      <c r="C68" s="63">
        <v>3</v>
      </c>
      <c r="D68" s="63">
        <f>104.41/1.3</f>
        <v>80.315384615384616</v>
      </c>
      <c r="E68" s="54"/>
      <c r="F68" s="54"/>
      <c r="G68" s="54"/>
      <c r="H68" s="54"/>
      <c r="I68" s="52">
        <f t="shared" si="2"/>
        <v>14.576923076923066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62</v>
      </c>
      <c r="B69" s="53">
        <f>438.08/1.3</f>
        <v>336.98461538461538</v>
      </c>
      <c r="C69" s="53"/>
      <c r="D69" s="53"/>
      <c r="E69" s="54"/>
      <c r="F69" s="54"/>
      <c r="G69" s="54"/>
      <c r="H69" s="54"/>
      <c r="I69" s="52">
        <f t="shared" si="2"/>
        <v>13.494230769230782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66</v>
      </c>
      <c r="B70" s="53">
        <f>510.63/1.3</f>
        <v>392.7923076923077</v>
      </c>
      <c r="C70" s="53">
        <v>4</v>
      </c>
      <c r="D70" s="53">
        <f>102.92/1.3</f>
        <v>79.169230769230765</v>
      </c>
      <c r="E70" s="54"/>
      <c r="F70" s="54"/>
      <c r="G70" s="54"/>
      <c r="H70" s="54"/>
      <c r="I70" s="52">
        <f t="shared" si="2"/>
        <v>13.95192307692308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71</v>
      </c>
      <c r="B71" s="53">
        <f>491.3/1.3</f>
        <v>377.92307692307691</v>
      </c>
      <c r="C71" s="53"/>
      <c r="D71" s="53"/>
      <c r="E71" s="54"/>
      <c r="F71" s="54"/>
      <c r="G71" s="54"/>
      <c r="H71" s="54"/>
      <c r="I71" s="52">
        <f t="shared" si="2"/>
        <v>12.859999999999991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f>560.13/1.3</f>
        <v>430.86923076923074</v>
      </c>
      <c r="C72" s="53">
        <v>5</v>
      </c>
      <c r="D72" s="53">
        <f>101.8/1.3</f>
        <v>78.307692307692307</v>
      </c>
      <c r="E72" s="54"/>
      <c r="F72" s="54"/>
      <c r="G72" s="54"/>
      <c r="H72" s="54"/>
      <c r="I72" s="52">
        <f t="shared" si="2"/>
        <v>13.236538461538458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79</v>
      </c>
      <c r="B73" s="53">
        <f>521.63/1.3</f>
        <v>401.25384615384615</v>
      </c>
      <c r="C73" s="53"/>
      <c r="D73" s="53"/>
      <c r="E73" s="54"/>
      <c r="F73" s="54"/>
      <c r="G73" s="54"/>
      <c r="H73" s="54"/>
      <c r="I73" s="52">
        <f t="shared" si="2"/>
        <v>12.173076923076934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83</v>
      </c>
      <c r="B74" s="53">
        <f>585.83/1.3</f>
        <v>450.63846153846157</v>
      </c>
      <c r="C74" s="53">
        <v>6</v>
      </c>
      <c r="D74" s="53">
        <f>103.62/1.3</f>
        <v>79.707692307692312</v>
      </c>
      <c r="E74" s="54"/>
      <c r="F74" s="54"/>
      <c r="G74" s="54"/>
      <c r="H74" s="54"/>
      <c r="I74" s="52">
        <f t="shared" si="2"/>
        <v>12.346153846153854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87</v>
      </c>
      <c r="B75" s="53">
        <f>540.89/1.3</f>
        <v>416.06923076923073</v>
      </c>
      <c r="C75" s="53"/>
      <c r="D75" s="53"/>
      <c r="E75" s="54"/>
      <c r="F75" s="54"/>
      <c r="G75" s="54"/>
      <c r="H75" s="54"/>
      <c r="I75" s="52">
        <f t="shared" si="2"/>
        <v>11.284615384615364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91</v>
      </c>
      <c r="B76" s="53">
        <f>600.03/1.3</f>
        <v>461.56153846153842</v>
      </c>
      <c r="C76" s="53">
        <v>7</v>
      </c>
      <c r="D76" s="53">
        <f>298.66/1.3</f>
        <v>229.73846153846154</v>
      </c>
      <c r="E76" s="54"/>
      <c r="F76" s="54"/>
      <c r="G76" s="54"/>
      <c r="H76" s="54"/>
      <c r="I76" s="52">
        <f t="shared" si="2"/>
        <v>11.373076923076923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96</v>
      </c>
      <c r="B77" s="53">
        <f>351.01/1.3</f>
        <v>270.00769230769231</v>
      </c>
      <c r="C77" s="53"/>
      <c r="D77" s="53"/>
      <c r="E77" s="54"/>
      <c r="F77" s="54"/>
      <c r="G77" s="54"/>
      <c r="H77" s="54"/>
      <c r="I77" s="52">
        <f t="shared" si="2"/>
        <v>7.6369230769230851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101</v>
      </c>
      <c r="B78" s="53">
        <f>399.89/1.3</f>
        <v>307.60769230769228</v>
      </c>
      <c r="C78" s="53">
        <v>8</v>
      </c>
      <c r="D78" s="53">
        <f>B78</f>
        <v>307.60769230769228</v>
      </c>
      <c r="E78" s="54"/>
      <c r="F78" s="54"/>
      <c r="G78" s="54"/>
      <c r="H78" s="54"/>
      <c r="I78" s="52">
        <f t="shared" si="2"/>
        <v>7.5199999999999934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42</v>
      </c>
      <c r="C88" s="63"/>
      <c r="D88" s="6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62+8</f>
        <v>70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76+8+21</f>
        <v>105</v>
      </c>
      <c r="C90" s="63">
        <v>1</v>
      </c>
      <c r="D90" s="63">
        <f>8+21</f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f>95+21</f>
        <v>116</v>
      </c>
      <c r="C91" s="63"/>
      <c r="D91" s="63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f>116+21+21</f>
        <v>158</v>
      </c>
      <c r="C92" s="63">
        <v>2</v>
      </c>
      <c r="D92" s="63">
        <f>21+21</f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f>137+21</f>
        <v>158</v>
      </c>
      <c r="C93" s="63"/>
      <c r="D93" s="63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f>157+21+21</f>
        <v>199</v>
      </c>
      <c r="C94" s="63">
        <v>3</v>
      </c>
      <c r="D94" s="63">
        <f>21+21</f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3">
        <f>176+21</f>
        <v>197</v>
      </c>
      <c r="C95" s="63"/>
      <c r="D95" s="63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laricio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f>46.42/1.3</f>
        <v>35.707692307692305</v>
      </c>
      <c r="C114" s="63"/>
      <c r="D114" s="63"/>
      <c r="E114" s="54"/>
      <c r="F114" s="54"/>
      <c r="G114" s="54"/>
      <c r="H114" s="93"/>
      <c r="I114" s="56">
        <f>IFERROR(B114/A114,"")</f>
        <v>2.3805128205128203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21</v>
      </c>
      <c r="B115" s="63">
        <f>148.63/1.3</f>
        <v>114.33076923076922</v>
      </c>
      <c r="C115" s="63"/>
      <c r="D115" s="63"/>
      <c r="E115" s="54"/>
      <c r="F115" s="54"/>
      <c r="G115" s="54"/>
      <c r="H115" s="93"/>
      <c r="I115" s="56">
        <f t="shared" ref="I115:I133" si="4">IF(A115&lt;&gt;0,(B115-(B114-D114))/(A115-A114),"")</f>
        <v>13.103846153846154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22</v>
      </c>
      <c r="B116" s="63">
        <f>168.98/1.3</f>
        <v>129.98461538461538</v>
      </c>
      <c r="C116" s="63">
        <v>1</v>
      </c>
      <c r="D116" s="63">
        <f>68.57/1.3</f>
        <v>52.746153846153838</v>
      </c>
      <c r="E116" s="93"/>
      <c r="F116" s="93"/>
      <c r="G116" s="93"/>
      <c r="H116" s="93">
        <v>1</v>
      </c>
      <c r="I116" s="56">
        <f t="shared" si="4"/>
        <v>15.65384615384616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24</v>
      </c>
      <c r="B117" s="63">
        <f>129.64/1.3</f>
        <v>99.723076923076903</v>
      </c>
      <c r="C117" s="63"/>
      <c r="D117" s="63"/>
      <c r="E117" s="93"/>
      <c r="F117" s="93"/>
      <c r="G117" s="93"/>
      <c r="H117" s="93"/>
      <c r="I117" s="56">
        <f t="shared" si="4"/>
        <v>11.242307692307683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27</v>
      </c>
      <c r="B118" s="63">
        <f>182.93/1.3</f>
        <v>140.71538461538461</v>
      </c>
      <c r="C118" s="63">
        <v>2</v>
      </c>
      <c r="D118" s="63">
        <f>45.04/1.3</f>
        <v>34.646153846153844</v>
      </c>
      <c r="E118" s="93"/>
      <c r="F118" s="93"/>
      <c r="G118" s="93">
        <v>0.5</v>
      </c>
      <c r="H118" s="93">
        <v>0.5</v>
      </c>
      <c r="I118" s="56">
        <f t="shared" si="4"/>
        <v>13.664102564102569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30</v>
      </c>
      <c r="B119" s="63">
        <f>188.48/1.3</f>
        <v>144.98461538461538</v>
      </c>
      <c r="C119" s="63"/>
      <c r="D119" s="63"/>
      <c r="E119" s="93"/>
      <c r="F119" s="93"/>
      <c r="G119" s="93"/>
      <c r="H119" s="93"/>
      <c r="I119" s="56">
        <f t="shared" si="4"/>
        <v>12.971794871794875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33</v>
      </c>
      <c r="B120" s="63">
        <f>239.07/1.3</f>
        <v>183.89999999999998</v>
      </c>
      <c r="C120" s="63">
        <v>3</v>
      </c>
      <c r="D120" s="63">
        <f>55.91/1.3</f>
        <v>43.007692307692302</v>
      </c>
      <c r="E120" s="93"/>
      <c r="F120" s="93"/>
      <c r="G120" s="93"/>
      <c r="H120" s="93"/>
      <c r="I120" s="56">
        <f t="shared" si="4"/>
        <v>12.971794871794865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41</v>
      </c>
      <c r="B121" s="63">
        <f>315.66/1.3</f>
        <v>242.81538461538463</v>
      </c>
      <c r="C121" s="63">
        <v>4</v>
      </c>
      <c r="D121" s="63">
        <f>76.03/1.3</f>
        <v>58.484615384615381</v>
      </c>
      <c r="E121" s="93"/>
      <c r="F121" s="93"/>
      <c r="G121" s="93"/>
      <c r="H121" s="93"/>
      <c r="I121" s="56">
        <f t="shared" si="4"/>
        <v>12.74038461538462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50</v>
      </c>
      <c r="B122" s="63">
        <f>378.41/1.3</f>
        <v>291.0846153846154</v>
      </c>
      <c r="C122" s="63">
        <v>5</v>
      </c>
      <c r="D122" s="63">
        <f>71.88/1.3</f>
        <v>55.292307692307688</v>
      </c>
      <c r="E122" s="93"/>
      <c r="F122" s="93"/>
      <c r="G122" s="93"/>
      <c r="H122" s="93"/>
      <c r="I122" s="56">
        <f t="shared" si="4"/>
        <v>11.861538461538462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f>445.15/1.3</f>
        <v>342.42307692307691</v>
      </c>
      <c r="C123" s="63">
        <v>6</v>
      </c>
      <c r="D123" s="63">
        <f>70.54/1.3</f>
        <v>54.261538461538464</v>
      </c>
      <c r="E123" s="93"/>
      <c r="F123" s="93"/>
      <c r="G123" s="93"/>
      <c r="H123" s="93"/>
      <c r="I123" s="56">
        <f t="shared" si="4"/>
        <v>10.66307692307692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f>493.99/1.3</f>
        <v>379.99230769230769</v>
      </c>
      <c r="C124" s="63">
        <v>7</v>
      </c>
      <c r="D124" s="63">
        <f>68.47/1.3</f>
        <v>52.669230769230765</v>
      </c>
      <c r="E124" s="93"/>
      <c r="F124" s="93"/>
      <c r="G124" s="93"/>
      <c r="H124" s="93"/>
      <c r="I124" s="56">
        <f t="shared" si="4"/>
        <v>9.1830769230769249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80</v>
      </c>
      <c r="B125" s="63">
        <f>523.78/1.3</f>
        <v>402.90769230769229</v>
      </c>
      <c r="C125" s="63">
        <v>8</v>
      </c>
      <c r="D125" s="63">
        <f>B125</f>
        <v>402.90769230769229</v>
      </c>
      <c r="E125" s="93"/>
      <c r="F125" s="93"/>
      <c r="G125" s="93"/>
      <c r="H125" s="93"/>
      <c r="I125" s="56">
        <f t="shared" si="4"/>
        <v>7.5584615384615343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63"/>
      <c r="B128" s="53"/>
      <c r="C128" s="6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Erable sycomore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10</v>
      </c>
      <c r="B140" s="63">
        <f>11.1</f>
        <v>11.1</v>
      </c>
      <c r="C140" s="63"/>
      <c r="D140" s="63"/>
      <c r="E140" s="54"/>
      <c r="F140" s="54"/>
      <c r="G140" s="54"/>
      <c r="H140" s="93"/>
      <c r="I140" s="60">
        <f>IFERROR(B140/A140,"")</f>
        <v>1.1099999999999999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15</v>
      </c>
      <c r="B141" s="63">
        <f>33+31.5</f>
        <v>64.5</v>
      </c>
      <c r="C141" s="63"/>
      <c r="D141" s="63"/>
      <c r="E141" s="54"/>
      <c r="F141" s="54"/>
      <c r="G141" s="54"/>
      <c r="H141" s="93"/>
      <c r="I141" s="60">
        <f t="shared" ref="I141:I159" si="5">IF(A141&lt;&gt;0,(B141-(B140-D140))/(A141-A140),"")</f>
        <v>10.68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20</v>
      </c>
      <c r="B142" s="63">
        <f>66.8+31.5+35</f>
        <v>133.30000000000001</v>
      </c>
      <c r="C142" s="63">
        <v>1</v>
      </c>
      <c r="D142" s="63">
        <f>31.5+35</f>
        <v>66.5</v>
      </c>
      <c r="E142" s="93"/>
      <c r="F142" s="93"/>
      <c r="G142" s="93"/>
      <c r="H142" s="93">
        <v>1</v>
      </c>
      <c r="I142" s="60">
        <f t="shared" si="5"/>
        <v>13.760000000000002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25</v>
      </c>
      <c r="B143" s="63">
        <f>105.5+35</f>
        <v>140.5</v>
      </c>
      <c r="C143" s="63"/>
      <c r="D143" s="63"/>
      <c r="E143" s="93"/>
      <c r="F143" s="93"/>
      <c r="G143" s="93"/>
      <c r="H143" s="93"/>
      <c r="I143" s="60">
        <f t="shared" si="5"/>
        <v>14.739999999999998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30</v>
      </c>
      <c r="B144" s="63">
        <f>141.8+35+35</f>
        <v>211.8</v>
      </c>
      <c r="C144" s="63">
        <v>2</v>
      </c>
      <c r="D144" s="63">
        <f>35+35</f>
        <v>70</v>
      </c>
      <c r="E144" s="93"/>
      <c r="F144" s="93"/>
      <c r="G144" s="93"/>
      <c r="H144" s="93">
        <v>1</v>
      </c>
      <c r="I144" s="60">
        <f t="shared" si="5"/>
        <v>14.260000000000002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35</v>
      </c>
      <c r="B145" s="63">
        <f>171.4+35</f>
        <v>206.4</v>
      </c>
      <c r="C145" s="63"/>
      <c r="D145" s="63"/>
      <c r="E145" s="93"/>
      <c r="F145" s="93"/>
      <c r="G145" s="93"/>
      <c r="H145" s="93"/>
      <c r="I145" s="60">
        <f t="shared" si="5"/>
        <v>12.919999999999998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40</v>
      </c>
      <c r="B146" s="63">
        <f>193.1+35+35</f>
        <v>263.10000000000002</v>
      </c>
      <c r="C146" s="63">
        <v>3</v>
      </c>
      <c r="D146" s="63">
        <f>35+35</f>
        <v>70</v>
      </c>
      <c r="E146" s="93"/>
      <c r="F146" s="93"/>
      <c r="G146" s="93"/>
      <c r="H146" s="93"/>
      <c r="I146" s="60">
        <f t="shared" si="5"/>
        <v>11.340000000000003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3">
        <v>45</v>
      </c>
      <c r="B147" s="63">
        <f>218+24.2</f>
        <v>242.2</v>
      </c>
      <c r="C147" s="63"/>
      <c r="D147" s="63"/>
      <c r="E147" s="93"/>
      <c r="F147" s="93"/>
      <c r="G147" s="93"/>
      <c r="H147" s="93"/>
      <c r="I147" s="60">
        <f>IF(A147&lt;&gt;0,(B147-(B146-D146))/(A147-A146),"")</f>
        <v>9.8199999999999932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3">
        <v>50</v>
      </c>
      <c r="B148" s="63">
        <f>241.8+24.2+18.9</f>
        <v>284.89999999999998</v>
      </c>
      <c r="C148" s="63">
        <v>4</v>
      </c>
      <c r="D148" s="63">
        <f>24.2+18.9</f>
        <v>43.099999999999994</v>
      </c>
      <c r="E148" s="93"/>
      <c r="F148" s="93"/>
      <c r="G148" s="93"/>
      <c r="H148" s="93"/>
      <c r="I148" s="60">
        <f t="shared" si="5"/>
        <v>8.5399999999999974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3">
        <v>55</v>
      </c>
      <c r="B149" s="63">
        <f>262.6+16</f>
        <v>278.60000000000002</v>
      </c>
      <c r="C149" s="63"/>
      <c r="D149" s="63"/>
      <c r="E149" s="93"/>
      <c r="F149" s="93"/>
      <c r="G149" s="93"/>
      <c r="H149" s="93"/>
      <c r="I149" s="60">
        <f t="shared" si="5"/>
        <v>7.3600000000000083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3">
        <v>60</v>
      </c>
      <c r="B150" s="63">
        <f>279.8+16+14.2</f>
        <v>310</v>
      </c>
      <c r="C150" s="63">
        <v>5</v>
      </c>
      <c r="D150" s="63">
        <f>16+14.2</f>
        <v>30.2</v>
      </c>
      <c r="E150" s="93"/>
      <c r="F150" s="93"/>
      <c r="G150" s="93"/>
      <c r="H150" s="93"/>
      <c r="I150" s="60">
        <f t="shared" si="5"/>
        <v>6.2799999999999958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3">
        <v>65</v>
      </c>
      <c r="B151" s="63">
        <f>292.6+13.4</f>
        <v>306</v>
      </c>
      <c r="C151" s="63"/>
      <c r="D151" s="63"/>
      <c r="E151" s="93"/>
      <c r="F151" s="93"/>
      <c r="G151" s="93"/>
      <c r="H151" s="93"/>
      <c r="I151" s="60">
        <f t="shared" si="5"/>
        <v>5.2399999999999975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3">
        <v>70</v>
      </c>
      <c r="B152" s="63">
        <f>302.6+13.4+12.5</f>
        <v>328.5</v>
      </c>
      <c r="C152" s="63">
        <v>6</v>
      </c>
      <c r="D152" s="63">
        <f>13.4+12.5</f>
        <v>25.9</v>
      </c>
      <c r="E152" s="68"/>
      <c r="F152" s="68"/>
      <c r="G152" s="68"/>
      <c r="H152" s="68"/>
      <c r="I152" s="60">
        <f t="shared" si="5"/>
        <v>4.5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3">
        <v>75</v>
      </c>
      <c r="B153" s="63">
        <f>311.9+11.6</f>
        <v>323.5</v>
      </c>
      <c r="C153" s="63"/>
      <c r="D153" s="63"/>
      <c r="E153" s="68"/>
      <c r="F153" s="68"/>
      <c r="G153" s="68"/>
      <c r="H153" s="68"/>
      <c r="I153" s="60">
        <f t="shared" si="5"/>
        <v>4.1799999999999953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63">
        <v>80</v>
      </c>
      <c r="B154" s="53">
        <v>341.3</v>
      </c>
      <c r="C154" s="63">
        <v>7</v>
      </c>
      <c r="D154" s="53">
        <v>341.3</v>
      </c>
      <c r="E154" s="57"/>
      <c r="F154" s="57"/>
      <c r="G154" s="57"/>
      <c r="H154" s="57"/>
      <c r="I154" s="60">
        <f t="shared" si="5"/>
        <v>3.5600000000000023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Chêne rouge d'Amérique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10</v>
      </c>
      <c r="B166" s="63">
        <v>23</v>
      </c>
      <c r="C166" s="63"/>
      <c r="D166" s="63"/>
      <c r="E166" s="54"/>
      <c r="F166" s="54"/>
      <c r="G166" s="54"/>
      <c r="H166" s="54"/>
      <c r="I166" s="52">
        <f>IFERROR(B166/A166,"")</f>
        <v>2.2999999999999998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15</v>
      </c>
      <c r="B167" s="63">
        <v>60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7.4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20</v>
      </c>
      <c r="B168" s="63">
        <f>67+41</f>
        <v>108</v>
      </c>
      <c r="C168" s="63">
        <v>1</v>
      </c>
      <c r="D168" s="63">
        <v>41</v>
      </c>
      <c r="E168" s="54"/>
      <c r="F168" s="54"/>
      <c r="G168" s="54"/>
      <c r="H168" s="54">
        <v>1</v>
      </c>
      <c r="I168" s="52">
        <f t="shared" si="6"/>
        <v>9.6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25</v>
      </c>
      <c r="B169" s="63">
        <f>90+23</f>
        <v>113</v>
      </c>
      <c r="C169" s="63"/>
      <c r="D169" s="63"/>
      <c r="E169" s="54"/>
      <c r="F169" s="54"/>
      <c r="G169" s="54"/>
      <c r="H169" s="54"/>
      <c r="I169" s="52">
        <f t="shared" si="6"/>
        <v>9.1999999999999993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30</v>
      </c>
      <c r="B170" s="63">
        <f>111+23+24</f>
        <v>158</v>
      </c>
      <c r="C170" s="63">
        <v>2</v>
      </c>
      <c r="D170" s="63">
        <f>23+24</f>
        <v>47</v>
      </c>
      <c r="E170" s="54"/>
      <c r="F170" s="54"/>
      <c r="G170" s="54"/>
      <c r="H170" s="54">
        <v>1</v>
      </c>
      <c r="I170" s="52">
        <f t="shared" si="6"/>
        <v>9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35</v>
      </c>
      <c r="B171" s="63">
        <f>129+24</f>
        <v>153</v>
      </c>
      <c r="C171" s="63"/>
      <c r="D171" s="63"/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40</v>
      </c>
      <c r="B172" s="63">
        <f>145+24+23</f>
        <v>192</v>
      </c>
      <c r="C172" s="63">
        <v>3</v>
      </c>
      <c r="D172" s="63">
        <f>24+23</f>
        <v>47</v>
      </c>
      <c r="E172" s="54"/>
      <c r="F172" s="54"/>
      <c r="G172" s="54"/>
      <c r="H172" s="54"/>
      <c r="I172" s="52">
        <f t="shared" si="6"/>
        <v>7.8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45</v>
      </c>
      <c r="B173" s="53">
        <v>180</v>
      </c>
      <c r="C173" s="53"/>
      <c r="D173" s="53"/>
      <c r="E173" s="54"/>
      <c r="F173" s="54"/>
      <c r="G173" s="54"/>
      <c r="H173" s="54"/>
      <c r="I173" s="52">
        <f t="shared" si="6"/>
        <v>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50</v>
      </c>
      <c r="B174" s="53">
        <v>213</v>
      </c>
      <c r="C174" s="53">
        <v>4</v>
      </c>
      <c r="D174" s="53">
        <v>43</v>
      </c>
      <c r="E174" s="54"/>
      <c r="F174" s="54"/>
      <c r="G174" s="54"/>
      <c r="H174" s="54"/>
      <c r="I174" s="52">
        <f t="shared" si="6"/>
        <v>6.6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55</v>
      </c>
      <c r="B175" s="53">
        <v>201</v>
      </c>
      <c r="C175" s="53"/>
      <c r="D175" s="53"/>
      <c r="E175" s="54"/>
      <c r="F175" s="54"/>
      <c r="G175" s="54"/>
      <c r="H175" s="54"/>
      <c r="I175" s="52">
        <f t="shared" si="6"/>
        <v>6.2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60</v>
      </c>
      <c r="B176" s="53">
        <v>227</v>
      </c>
      <c r="C176" s="53">
        <v>5</v>
      </c>
      <c r="D176" s="53">
        <v>38</v>
      </c>
      <c r="E176" s="54"/>
      <c r="F176" s="54"/>
      <c r="G176" s="54"/>
      <c r="H176" s="54"/>
      <c r="I176" s="52">
        <f t="shared" si="6"/>
        <v>5.2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65</v>
      </c>
      <c r="B177" s="53">
        <v>214</v>
      </c>
      <c r="C177" s="53"/>
      <c r="D177" s="53"/>
      <c r="E177" s="54"/>
      <c r="F177" s="54"/>
      <c r="G177" s="54"/>
      <c r="H177" s="54"/>
      <c r="I177" s="52">
        <f t="shared" si="6"/>
        <v>5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70</v>
      </c>
      <c r="B178" s="53">
        <v>237</v>
      </c>
      <c r="C178" s="53">
        <v>6</v>
      </c>
      <c r="D178" s="53">
        <v>33</v>
      </c>
      <c r="E178" s="54"/>
      <c r="F178" s="54"/>
      <c r="G178" s="54"/>
      <c r="H178" s="54"/>
      <c r="I178" s="52">
        <f t="shared" si="6"/>
        <v>4.5999999999999996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75</v>
      </c>
      <c r="B179" s="53">
        <v>223</v>
      </c>
      <c r="C179" s="53"/>
      <c r="D179" s="53"/>
      <c r="E179" s="54"/>
      <c r="F179" s="54"/>
      <c r="G179" s="54"/>
      <c r="H179" s="54"/>
      <c r="I179" s="52">
        <f t="shared" si="6"/>
        <v>3.8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80</v>
      </c>
      <c r="B180" s="53">
        <v>241</v>
      </c>
      <c r="C180" s="53">
        <v>7</v>
      </c>
      <c r="D180" s="53">
        <v>27</v>
      </c>
      <c r="E180" s="54"/>
      <c r="F180" s="54"/>
      <c r="G180" s="54"/>
      <c r="H180" s="54"/>
      <c r="I180" s="52">
        <f t="shared" si="6"/>
        <v>3.6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85</v>
      </c>
      <c r="B181" s="53">
        <v>230</v>
      </c>
      <c r="C181" s="53"/>
      <c r="D181" s="53"/>
      <c r="E181" s="54"/>
      <c r="F181" s="54"/>
      <c r="G181" s="54"/>
      <c r="H181" s="54"/>
      <c r="I181" s="52">
        <f t="shared" si="6"/>
        <v>3.2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90</v>
      </c>
      <c r="B182" s="53">
        <v>245</v>
      </c>
      <c r="C182" s="53">
        <v>8</v>
      </c>
      <c r="D182" s="53">
        <v>23</v>
      </c>
      <c r="E182" s="54"/>
      <c r="F182" s="54"/>
      <c r="G182" s="54"/>
      <c r="H182" s="54"/>
      <c r="I182" s="52">
        <f t="shared" si="6"/>
        <v>3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95</v>
      </c>
      <c r="B183" s="53">
        <v>236</v>
      </c>
      <c r="C183" s="53"/>
      <c r="D183" s="53"/>
      <c r="E183" s="54"/>
      <c r="F183" s="54"/>
      <c r="G183" s="54"/>
      <c r="H183" s="54"/>
      <c r="I183" s="52">
        <f t="shared" si="6"/>
        <v>2.8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100</v>
      </c>
      <c r="B184" s="53">
        <v>251</v>
      </c>
      <c r="C184" s="53">
        <v>9</v>
      </c>
      <c r="D184" s="53">
        <v>251</v>
      </c>
      <c r="E184" s="54"/>
      <c r="F184" s="54"/>
      <c r="G184" s="54"/>
      <c r="H184" s="54"/>
      <c r="I184" s="52">
        <f t="shared" si="6"/>
        <v>3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Tilleul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3">
        <f>78/1.56</f>
        <v>50</v>
      </c>
      <c r="C192" s="63"/>
      <c r="D192" s="63"/>
      <c r="E192" s="54"/>
      <c r="F192" s="54"/>
      <c r="G192" s="54"/>
      <c r="H192" s="66"/>
      <c r="I192" s="52">
        <f>IFERROR(B192/A192,"")</f>
        <v>3.3333333333333335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3">
        <f>(126+16)/1.56</f>
        <v>91.025641025641022</v>
      </c>
      <c r="C193" s="63">
        <v>1</v>
      </c>
      <c r="D193" s="63">
        <f>(16+22)/1.56</f>
        <v>24.358974358974358</v>
      </c>
      <c r="E193" s="66"/>
      <c r="F193" s="66"/>
      <c r="G193" s="66"/>
      <c r="H193" s="66">
        <v>1</v>
      </c>
      <c r="I193" s="52">
        <f t="shared" ref="I193:I211" si="7">IF(A193&lt;&gt;0,(B193-(B192-D192))/(A193-A192),"")</f>
        <v>8.2051282051282044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3">
        <f>170/1.56</f>
        <v>108.97435897435896</v>
      </c>
      <c r="C194" s="63"/>
      <c r="D194" s="63"/>
      <c r="E194" s="66"/>
      <c r="F194" s="66"/>
      <c r="G194" s="66"/>
      <c r="H194" s="66"/>
      <c r="I194" s="52">
        <f t="shared" si="7"/>
        <v>8.4615384615384617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3">
        <f>(208+25)/1.56</f>
        <v>149.35897435897436</v>
      </c>
      <c r="C195" s="63">
        <v>2</v>
      </c>
      <c r="D195" s="63">
        <f>(25+26)/1.56</f>
        <v>32.692307692307693</v>
      </c>
      <c r="E195" s="66"/>
      <c r="F195" s="66"/>
      <c r="G195" s="66"/>
      <c r="H195" s="66">
        <v>1</v>
      </c>
      <c r="I195" s="52">
        <f t="shared" si="7"/>
        <v>8.0769230769230802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3">
        <f>242/1.56</f>
        <v>155.12820512820511</v>
      </c>
      <c r="C196" s="63"/>
      <c r="D196" s="63"/>
      <c r="E196" s="66"/>
      <c r="F196" s="66"/>
      <c r="G196" s="66"/>
      <c r="H196" s="66"/>
      <c r="I196" s="52">
        <f t="shared" si="7"/>
        <v>7.6923076923076881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3">
        <f>(271+27)/1.56</f>
        <v>191.02564102564102</v>
      </c>
      <c r="C197" s="63">
        <v>3</v>
      </c>
      <c r="D197" s="63">
        <f>(27+27)/1.56</f>
        <v>34.615384615384613</v>
      </c>
      <c r="E197" s="66"/>
      <c r="F197" s="66"/>
      <c r="G197" s="66"/>
      <c r="H197" s="66"/>
      <c r="I197" s="52">
        <f t="shared" si="7"/>
        <v>7.1794871794871824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45</v>
      </c>
      <c r="B198" s="63">
        <f>297/1.56</f>
        <v>190.38461538461539</v>
      </c>
      <c r="C198" s="63"/>
      <c r="D198" s="63"/>
      <c r="E198" s="66"/>
      <c r="F198" s="66"/>
      <c r="G198" s="66"/>
      <c r="H198" s="66"/>
      <c r="I198" s="52">
        <f t="shared" si="7"/>
        <v>6.7948717948717956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8">
        <v>50</v>
      </c>
      <c r="B199" s="58">
        <v>221.7948717948718</v>
      </c>
      <c r="C199" s="58">
        <v>4</v>
      </c>
      <c r="D199" s="58">
        <v>32.692307692307693</v>
      </c>
      <c r="E199" s="66"/>
      <c r="F199" s="66"/>
      <c r="G199" s="66"/>
      <c r="H199" s="66"/>
      <c r="I199" s="52">
        <f t="shared" si="7"/>
        <v>6.2820512820512819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8">
        <v>55</v>
      </c>
      <c r="B200" s="58">
        <v>217.94871794871793</v>
      </c>
      <c r="C200" s="58"/>
      <c r="D200" s="58"/>
      <c r="E200" s="66"/>
      <c r="F200" s="66"/>
      <c r="G200" s="66"/>
      <c r="H200" s="66"/>
      <c r="I200" s="52">
        <f t="shared" si="7"/>
        <v>5.7692307692307683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8">
        <v>60</v>
      </c>
      <c r="B201" s="58">
        <v>244.87179487179486</v>
      </c>
      <c r="C201" s="58">
        <v>5</v>
      </c>
      <c r="D201" s="58">
        <v>30.128205128205128</v>
      </c>
      <c r="E201" s="66"/>
      <c r="F201" s="66"/>
      <c r="G201" s="66"/>
      <c r="H201" s="66"/>
      <c r="I201" s="52">
        <f t="shared" si="7"/>
        <v>5.3846153846153868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8">
        <v>65</v>
      </c>
      <c r="B202" s="58">
        <v>240.38461538461539</v>
      </c>
      <c r="C202" s="58"/>
      <c r="D202" s="58"/>
      <c r="E202" s="66"/>
      <c r="F202" s="66"/>
      <c r="G202" s="66"/>
      <c r="H202" s="66"/>
      <c r="I202" s="52">
        <f t="shared" si="7"/>
        <v>5.1282051282051331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8">
        <v>70</v>
      </c>
      <c r="B203" s="58">
        <v>265.38461538461536</v>
      </c>
      <c r="C203" s="58">
        <v>6</v>
      </c>
      <c r="D203" s="58">
        <v>27.564102564102562</v>
      </c>
      <c r="E203" s="66"/>
      <c r="F203" s="66"/>
      <c r="G203" s="66"/>
      <c r="H203" s="66"/>
      <c r="I203" s="52">
        <f t="shared" si="7"/>
        <v>4.9999999999999947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8">
        <v>75</v>
      </c>
      <c r="B204" s="58">
        <v>260.89743589743591</v>
      </c>
      <c r="C204" s="58"/>
      <c r="D204" s="58"/>
      <c r="E204" s="67"/>
      <c r="F204" s="67"/>
      <c r="G204" s="67"/>
      <c r="H204" s="67"/>
      <c r="I204" s="52">
        <f t="shared" si="7"/>
        <v>4.6153846153846247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94">
        <v>80</v>
      </c>
      <c r="B205" s="63">
        <f>(419+21)/1.56</f>
        <v>282.05128205128204</v>
      </c>
      <c r="C205" s="94">
        <v>7</v>
      </c>
      <c r="D205" s="63">
        <f>(21+20)/1.56</f>
        <v>26.282051282051281</v>
      </c>
      <c r="E205" s="57"/>
      <c r="F205" s="57"/>
      <c r="G205" s="57"/>
      <c r="H205" s="57"/>
      <c r="I205" s="52">
        <f t="shared" si="7"/>
        <v>4.2307692307692264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85</v>
      </c>
      <c r="B206" s="53">
        <v>276.28205128205127</v>
      </c>
      <c r="C206" s="53"/>
      <c r="D206" s="53"/>
      <c r="E206" s="57"/>
      <c r="F206" s="57"/>
      <c r="G206" s="57"/>
      <c r="H206" s="57"/>
      <c r="I206" s="52">
        <f t="shared" si="7"/>
        <v>4.1025641025640995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90</v>
      </c>
      <c r="B207" s="53">
        <v>295.5128205128205</v>
      </c>
      <c r="C207" s="53">
        <v>8</v>
      </c>
      <c r="D207" s="53">
        <v>24.358974358974358</v>
      </c>
      <c r="E207" s="57"/>
      <c r="F207" s="57"/>
      <c r="G207" s="57"/>
      <c r="H207" s="57"/>
      <c r="I207" s="52">
        <f t="shared" si="7"/>
        <v>3.8461538461538454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95</v>
      </c>
      <c r="B208" s="53">
        <v>289.74358974358972</v>
      </c>
      <c r="C208" s="53"/>
      <c r="D208" s="53"/>
      <c r="E208" s="57"/>
      <c r="F208" s="57"/>
      <c r="G208" s="57"/>
      <c r="H208" s="57"/>
      <c r="I208" s="52">
        <f t="shared" si="7"/>
        <v>3.7179487179487181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100</v>
      </c>
      <c r="B209" s="53">
        <v>307.69230769230768</v>
      </c>
      <c r="C209" s="53">
        <v>9</v>
      </c>
      <c r="D209" s="53">
        <v>22.435897435897434</v>
      </c>
      <c r="E209" s="57"/>
      <c r="F209" s="57"/>
      <c r="G209" s="57"/>
      <c r="H209" s="57"/>
      <c r="I209" s="52">
        <f t="shared" si="7"/>
        <v>3.5897435897435912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105</v>
      </c>
      <c r="B210" s="53">
        <v>301.28205128205127</v>
      </c>
      <c r="C210" s="53"/>
      <c r="D210" s="53"/>
      <c r="E210" s="57"/>
      <c r="F210" s="57"/>
      <c r="G210" s="57"/>
      <c r="H210" s="57"/>
      <c r="I210" s="52">
        <f t="shared" si="7"/>
        <v>3.2051282051282102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110</v>
      </c>
      <c r="B211" s="53">
        <v>317.94871794871796</v>
      </c>
      <c r="C211" s="53">
        <v>10</v>
      </c>
      <c r="D211" s="53">
        <v>317.94871794871796</v>
      </c>
      <c r="E211" s="57"/>
      <c r="F211" s="57"/>
      <c r="G211" s="57"/>
      <c r="H211" s="57"/>
      <c r="I211" s="52">
        <f t="shared" si="7"/>
        <v>3.333333333333337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Alisier torminal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20</v>
      </c>
      <c r="B218" s="63">
        <v>42</v>
      </c>
      <c r="C218" s="63"/>
      <c r="D218" s="63"/>
      <c r="E218" s="54"/>
      <c r="F218" s="54"/>
      <c r="G218" s="54"/>
      <c r="H218" s="54"/>
      <c r="I218" s="56">
        <f>IFERROR(B218/A218,"")</f>
        <v>2.1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25</v>
      </c>
      <c r="B219" s="63">
        <f>62+8</f>
        <v>70</v>
      </c>
      <c r="C219" s="63"/>
      <c r="D219" s="63"/>
      <c r="E219" s="54"/>
      <c r="F219" s="54"/>
      <c r="G219" s="54"/>
      <c r="H219" s="54"/>
      <c r="I219" s="56">
        <f t="shared" ref="I219:I237" si="8">IF(A219&lt;&gt;0,(B219-(B218-D218))/(A219-A218),"")</f>
        <v>5.6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30</v>
      </c>
      <c r="B220" s="63">
        <f>76+8+21</f>
        <v>105</v>
      </c>
      <c r="C220" s="63">
        <v>1</v>
      </c>
      <c r="D220" s="63">
        <f>8+21</f>
        <v>29</v>
      </c>
      <c r="E220" s="54"/>
      <c r="F220" s="54"/>
      <c r="G220" s="54"/>
      <c r="H220" s="54">
        <v>1</v>
      </c>
      <c r="I220" s="56">
        <f t="shared" si="8"/>
        <v>7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35</v>
      </c>
      <c r="B221" s="63">
        <f>95+21</f>
        <v>116</v>
      </c>
      <c r="C221" s="63"/>
      <c r="D221" s="63"/>
      <c r="E221" s="54"/>
      <c r="F221" s="54"/>
      <c r="G221" s="54"/>
      <c r="H221" s="54"/>
      <c r="I221" s="56">
        <f t="shared" si="8"/>
        <v>8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40</v>
      </c>
      <c r="B222" s="63">
        <f>116+21+21</f>
        <v>158</v>
      </c>
      <c r="C222" s="63">
        <v>2</v>
      </c>
      <c r="D222" s="63">
        <f>21+21</f>
        <v>42</v>
      </c>
      <c r="E222" s="54"/>
      <c r="F222" s="54"/>
      <c r="G222" s="54"/>
      <c r="H222" s="54"/>
      <c r="I222" s="56">
        <f t="shared" si="8"/>
        <v>8.4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45</v>
      </c>
      <c r="B223" s="63">
        <f>137+21</f>
        <v>158</v>
      </c>
      <c r="C223" s="63"/>
      <c r="D223" s="63"/>
      <c r="E223" s="54"/>
      <c r="F223" s="54"/>
      <c r="G223" s="54"/>
      <c r="H223" s="54"/>
      <c r="I223" s="56">
        <f t="shared" si="8"/>
        <v>8.4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50</v>
      </c>
      <c r="B224" s="63">
        <f>157+21+21</f>
        <v>199</v>
      </c>
      <c r="C224" s="63">
        <v>3</v>
      </c>
      <c r="D224" s="63">
        <f>21+21</f>
        <v>42</v>
      </c>
      <c r="E224" s="54"/>
      <c r="F224" s="54"/>
      <c r="G224" s="54"/>
      <c r="H224" s="54"/>
      <c r="I224" s="56">
        <f t="shared" si="8"/>
        <v>8.1999999999999993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55</v>
      </c>
      <c r="B225" s="63">
        <f>176+21</f>
        <v>197</v>
      </c>
      <c r="C225" s="63"/>
      <c r="D225" s="63"/>
      <c r="E225" s="54"/>
      <c r="F225" s="54"/>
      <c r="G225" s="54"/>
      <c r="H225" s="54"/>
      <c r="I225" s="56">
        <f t="shared" si="8"/>
        <v>8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60</v>
      </c>
      <c r="B226" s="53">
        <v>235</v>
      </c>
      <c r="C226" s="53">
        <v>4</v>
      </c>
      <c r="D226" s="53">
        <v>42</v>
      </c>
      <c r="E226" s="54"/>
      <c r="F226" s="54"/>
      <c r="G226" s="54"/>
      <c r="H226" s="54"/>
      <c r="I226" s="56">
        <f t="shared" si="8"/>
        <v>7.6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3">
        <v>65</v>
      </c>
      <c r="B227" s="53">
        <v>229</v>
      </c>
      <c r="C227" s="53"/>
      <c r="D227" s="53"/>
      <c r="E227" s="54"/>
      <c r="F227" s="54"/>
      <c r="G227" s="54"/>
      <c r="H227" s="54"/>
      <c r="I227" s="56">
        <f t="shared" si="8"/>
        <v>7.2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3">
        <v>70</v>
      </c>
      <c r="B228" s="53">
        <v>263</v>
      </c>
      <c r="C228" s="53">
        <v>5</v>
      </c>
      <c r="D228" s="53">
        <v>42</v>
      </c>
      <c r="E228" s="54"/>
      <c r="F228" s="54"/>
      <c r="G228" s="54"/>
      <c r="H228" s="54"/>
      <c r="I228" s="56">
        <f t="shared" si="8"/>
        <v>6.8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3">
        <v>75</v>
      </c>
      <c r="B229" s="53">
        <v>252</v>
      </c>
      <c r="C229" s="53"/>
      <c r="D229" s="53"/>
      <c r="E229" s="54"/>
      <c r="F229" s="54"/>
      <c r="G229" s="54"/>
      <c r="H229" s="54"/>
      <c r="I229" s="56">
        <f t="shared" si="8"/>
        <v>6.2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3">
        <v>80</v>
      </c>
      <c r="B230" s="53">
        <v>282</v>
      </c>
      <c r="C230" s="53">
        <v>6</v>
      </c>
      <c r="D230" s="53">
        <v>42</v>
      </c>
      <c r="E230" s="54"/>
      <c r="F230" s="54"/>
      <c r="G230" s="54"/>
      <c r="H230" s="54"/>
      <c r="I230" s="56">
        <f t="shared" si="8"/>
        <v>6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53">
        <v>90</v>
      </c>
      <c r="B231" s="53">
        <v>296</v>
      </c>
      <c r="C231" s="53">
        <v>7</v>
      </c>
      <c r="D231" s="53">
        <v>42</v>
      </c>
      <c r="E231" s="54"/>
      <c r="F231" s="54"/>
      <c r="G231" s="54"/>
      <c r="H231" s="54"/>
      <c r="I231" s="56">
        <f t="shared" si="8"/>
        <v>5.6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100</v>
      </c>
      <c r="B232" s="53">
        <v>303</v>
      </c>
      <c r="C232" s="53">
        <v>8</v>
      </c>
      <c r="D232" s="53">
        <v>42</v>
      </c>
      <c r="E232" s="54"/>
      <c r="F232" s="54"/>
      <c r="G232" s="54"/>
      <c r="H232" s="54"/>
      <c r="I232" s="56">
        <f t="shared" si="8"/>
        <v>4.9000000000000004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110</v>
      </c>
      <c r="B233" s="53">
        <v>305</v>
      </c>
      <c r="C233" s="53">
        <v>9</v>
      </c>
      <c r="D233" s="53">
        <v>39</v>
      </c>
      <c r="E233" s="54"/>
      <c r="F233" s="54"/>
      <c r="G233" s="54"/>
      <c r="H233" s="54"/>
      <c r="I233" s="56">
        <f t="shared" si="8"/>
        <v>4.4000000000000004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120</v>
      </c>
      <c r="B234" s="53">
        <v>303</v>
      </c>
      <c r="C234" s="53">
        <v>10</v>
      </c>
      <c r="D234" s="53">
        <v>35</v>
      </c>
      <c r="E234" s="54"/>
      <c r="F234" s="54"/>
      <c r="G234" s="54"/>
      <c r="H234" s="54"/>
      <c r="I234" s="56">
        <f t="shared" si="8"/>
        <v>3.7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130</v>
      </c>
      <c r="B235" s="53">
        <v>300</v>
      </c>
      <c r="C235" s="53">
        <v>11</v>
      </c>
      <c r="D235" s="53">
        <v>31</v>
      </c>
      <c r="E235" s="54"/>
      <c r="F235" s="54"/>
      <c r="G235" s="54"/>
      <c r="H235" s="54"/>
      <c r="I235" s="56">
        <f t="shared" si="8"/>
        <v>3.2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140</v>
      </c>
      <c r="B236" s="53">
        <v>296</v>
      </c>
      <c r="C236" s="53">
        <v>12</v>
      </c>
      <c r="D236" s="53">
        <v>27</v>
      </c>
      <c r="E236" s="54"/>
      <c r="F236" s="54"/>
      <c r="G236" s="54"/>
      <c r="H236" s="54"/>
      <c r="I236" s="56">
        <f t="shared" si="8"/>
        <v>2.7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150</v>
      </c>
      <c r="B237" s="53">
        <v>293</v>
      </c>
      <c r="C237" s="53">
        <v>13</v>
      </c>
      <c r="D237" s="53">
        <v>293</v>
      </c>
      <c r="E237" s="54"/>
      <c r="F237" s="54"/>
      <c r="G237" s="54"/>
      <c r="H237" s="54"/>
      <c r="I237" s="56">
        <f t="shared" si="8"/>
        <v>2.4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Douglas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Pin laricio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Erable sycomore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Chêne rouge d'Amérique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Tilleul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Alisier torminal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323.98185264074681</v>
      </c>
      <c r="T3" s="62">
        <f>IF('Données projet'!E9&gt;30,$R$33-$H$33,LOOKUP('Données projet'!$E$9,$A$3:$A$203,R3:R203)-LOOKUP('Données projet'!$E$9,$A$3:$A$203,$H$3:$H$203))</f>
        <v>301.22207291854005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276.78862011733338</v>
      </c>
      <c r="AO3" s="62">
        <f>IF('Données projet'!E10&gt;30,$AM$33-$H$33,LOOKUP('Données projet'!$E$10,$A$3:$A$203,AM3:AM203)-LOOKUP('Données projet'!$E$10,$A$3:$A$203,$H$3:$H$203))</f>
        <v>202.1678469635836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428.8489304403459</v>
      </c>
      <c r="BJ3" s="62">
        <f>IF('Données projet'!E11&gt;30,$BH$33-$H$33,LOOKUP('Données projet'!$E$11,$A$3:$A$203,BH3:BH203)-LOOKUP('Données projet'!$E$11,$A$3:$A$203,$H$3:$H$203))</f>
        <v>247.01165577562966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289.12367833861299</v>
      </c>
      <c r="CE3" s="62">
        <f>IF('Données projet'!E12&gt;30,$CC$33-$H$33,LOOKUP('Données projet'!$E$12,$A$3:$A$203,CC3:CC203)-LOOKUP('Données projet'!$E$12,$A$3:$A$203,$H$3:$H$203))</f>
        <v>229.06617320689003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370.59298168107364</v>
      </c>
      <c r="CZ3" s="62">
        <f>IF('Données projet'!E13&gt;30,$CX$33-$H$33,LOOKUP('Données projet'!$E$13,$A$3:$A$203,CX3:CX203)-LOOKUP('Données projet'!$E$13,$A$3:$A$203,$H$3:$H$203))</f>
        <v>404.61777090709171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341.65872153228599</v>
      </c>
      <c r="DU3" s="62">
        <f>IF('Données projet'!E14&gt;30,$DS$33-$H$33,LOOKUP('Données projet'!$E$14,$A$3:$A$203,DS3:DS203)-LOOKUP('Données projet'!$E$14,$A$3:$A$203,$H$3:$H$203))</f>
        <v>339.49697153894937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312.06797204903796</v>
      </c>
      <c r="EP3" s="62">
        <f>IF('Données projet'!E15&gt;30,$EN$33-$H$33,LOOKUP('Données projet'!$E$15,$A$3:$A$203,EN3:EN203)-LOOKUP('Données projet'!$E$15,$A$3:$A$203,$H$3:$H$203))</f>
        <v>258.20189001775151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256.66666666666669</v>
      </c>
      <c r="FJ3" s="62">
        <f ca="1">AVERAGE(OFFSET($FI$3,0,0,'Données projet'!$E$16+1,1))-AVERAGE(OFFSET($H$3,0,0,'Données projet'!$E$16+1,1))</f>
        <v>455.50822833641354</v>
      </c>
      <c r="FK3" s="62">
        <f>IF('Données projet'!E16&gt;30,$FI$33-$H$33,LOOKUP('Données projet'!$E$16,$A$3:$A$203,FI3:FI203)-LOOKUP('Données projet'!$E$16,$A$3:$A$203,$H$3:$H$203))</f>
        <v>261.14722581688039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7.7987854251012134</v>
      </c>
      <c r="N4" s="14">
        <f>IF('Données projet'!$A$36&gt;35,N3+M4-V3,IF(A4&lt;'Données projet'!$A$36,$K$205^A4,IF(A4='Données projet'!$A$36,'Données projet'!$B$36,N3+M4-V3)))</f>
        <v>1.3009230512021859</v>
      </c>
      <c r="O4" s="14">
        <f>N4*VLOOKUP('Données projet'!$B$9,Paramètres!$A$1:$I$89,3,0)*VLOOKUP('Données projet'!$B$9,Paramètres!$A$1:$I$89,5,0)</f>
        <v>0.72721598562202194</v>
      </c>
      <c r="P4" s="14">
        <f>EXP(-1.0587+0.8836*LN(O4)+0.284)</f>
        <v>0.3477906162348457</v>
      </c>
      <c r="Q4" s="22">
        <f t="shared" ref="Q4:Q34" si="2">(O4+P4)*0.475*44/12</f>
        <v>1.8723031649007107</v>
      </c>
      <c r="R4" s="62">
        <f t="shared" si="0"/>
        <v>259.76119205378956</v>
      </c>
      <c r="S4" s="62">
        <f ca="1">AVERAGE(OFFSET($R$3,0,0,'Données projet'!$E$9+1,1))-AVERAGE(OFFSET($H$3,0,0,'Données projet'!$E$9+1,1))</f>
        <v>323.98185264074681</v>
      </c>
      <c r="T4" s="62">
        <f>$T$3</f>
        <v>301.22207291854005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5.2912820512820513</v>
      </c>
      <c r="AI4" s="14">
        <f>IF('Données projet'!$A$62&gt;35,AI3+AH4-AQ3,IF(A4&lt;'Données projet'!$A$62,$AF$205^A4,IF(A4='Données projet'!$A$62,'Données projet'!$B$62,AI3+AH4-AQ3)))</f>
        <v>1.1840119133911551</v>
      </c>
      <c r="AJ4" s="14">
        <f>AI4*VLOOKUP('Données projet'!$B$10,Paramètres!$A$1:$I$89,3,0)*VLOOKUP('Données projet'!$B$10,Paramètres!$A$1:$I$89,5,0)</f>
        <v>0.55411757546706064</v>
      </c>
      <c r="AK4" s="14">
        <f>EXP(-1.0587+0.8836*LN(AJ4)+0.284)</f>
        <v>0.27352607028546766</v>
      </c>
      <c r="AL4" s="22">
        <f t="shared" ref="AL4:AL67" si="4">(AJ4+AK4)*0.475*44/12</f>
        <v>1.4414793496856533</v>
      </c>
      <c r="AM4" s="62">
        <f t="shared" ref="AM4:AM67" si="5">AL4+(AD4+AE4)*44/12</f>
        <v>259.33036823857452</v>
      </c>
      <c r="AN4" s="62">
        <f ca="1">AVERAGE(OFFSET($AM$3,0,0,'Données projet'!$E$10+1,1))-AVERAGE(OFFSET($H$3,0,0,'Données projet'!$E$10+1,1))</f>
        <v>276.78862011733338</v>
      </c>
      <c r="AO4" s="62">
        <f>$AO$3</f>
        <v>202.1678469635836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1.0907244698905405</v>
      </c>
      <c r="BF4" s="14">
        <f>EXP(-1.0587+0.8836*LN(BE4)+0.284)</f>
        <v>0.49759623852608204</v>
      </c>
      <c r="BG4" s="22">
        <f t="shared" ref="BG4:BG67" si="7">(BE4+BF4)*0.475*44/12</f>
        <v>2.7663252338256172</v>
      </c>
      <c r="BH4" s="62">
        <f t="shared" ref="BH4:BH67" si="8">BG4+(AY4+AZ4)*44/12</f>
        <v>260.65521412271448</v>
      </c>
      <c r="BI4" s="62">
        <f ca="1">AVERAGE(OFFSET($BH$3,0,0,'Données projet'!$E$11+1,1))-AVERAGE(OFFSET($H$3,0,0,'Données projet'!$E$11+1,1))</f>
        <v>428.8489304403459</v>
      </c>
      <c r="BJ4" s="62">
        <f>$BJ$3</f>
        <v>247.01165577562966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2.3805128205128203</v>
      </c>
      <c r="BY4" s="13">
        <f>IF('Données projet'!$A$114&gt;35,BY3+BX4-CG3,IF(A4&lt;'Données projet'!$A$114,$BV$205^A4,IF(A4='Données projet'!$A$114,'Données projet'!$B$114,BY3+BX4-CG3)))</f>
        <v>1.2691631451226497</v>
      </c>
      <c r="BZ4" s="14">
        <f>BY4*VLOOKUP('Données projet'!$B$12,Paramètres!$A$1:$I$89,3,0)*VLOOKUP('Données projet'!$B$12,Paramètres!$A$1:$I$89,5,0)</f>
        <v>0.75895956078334459</v>
      </c>
      <c r="CA4" s="14">
        <f>EXP(-1.0587+0.8836*LN(BZ4)+0.284)</f>
        <v>0.36117131619841292</v>
      </c>
      <c r="CB4" s="22">
        <f t="shared" ref="CB4:CB67" si="10">(BZ4+CA4)*0.475*44/12</f>
        <v>1.9508946107432275</v>
      </c>
      <c r="CC4" s="62">
        <f t="shared" ref="CC4:CC67" si="11">CB4+(BT4+BU4)*44/12</f>
        <v>259.83978349963206</v>
      </c>
      <c r="CD4" s="62">
        <f ca="1">AVERAGE(OFFSET($CC$3,0,0,'Données projet'!$E$12+1,1))-AVERAGE(OFFSET($H$3,0,0,'Données projet'!$E$12+1,1))</f>
        <v>289.12367833861299</v>
      </c>
      <c r="CE4" s="62">
        <f>$CE$3</f>
        <v>229.06617320689003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1.1099999999999999</v>
      </c>
      <c r="CT4" s="13">
        <f>IF('Données projet'!$A$140&gt;35,CT3+CS4-DB3,IF(A4&lt;'Données projet'!$A$140,$CQ$205^A4,IF(A4='Données projet'!$A$140,'Données projet'!$B$140,CT3+CS4-DB3)))</f>
        <v>1.2721323532877689</v>
      </c>
      <c r="CU4" s="18">
        <f>CT4*VLOOKUP('Données projet'!$B$13,Paramètres!$A$1:$I$89,3,0)*VLOOKUP('Données projet'!$B$13,Paramètres!$A$1:$I$89,5,0)</f>
        <v>1.0121085002757488</v>
      </c>
      <c r="CV4" s="14">
        <f>EXP(-1.0587+0.8836*LN(CU4)+0.284)</f>
        <v>0.46576913511432322</v>
      </c>
      <c r="CW4" s="22">
        <f t="shared" ref="CW4:CW67" si="13">(CU4+CV4)*0.475*44/12</f>
        <v>2.5739702149710419</v>
      </c>
      <c r="CX4" s="62">
        <f t="shared" ref="CX4:CX67" si="14">CW4+(CO4+CP4)*44/12</f>
        <v>260.4628591038599</v>
      </c>
      <c r="CY4" s="62">
        <f ca="1">AVERAGE(OFFSET($CX$3,0,0,'Données projet'!$E$13+1,1))-AVERAGE(OFFSET($H$3,0,0,'Données projet'!$E$13+1,1))</f>
        <v>370.59298168107364</v>
      </c>
      <c r="CZ4" s="62">
        <f>$CZ$3</f>
        <v>404.61777090709171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2.2999999999999998</v>
      </c>
      <c r="DO4" s="13">
        <f>IF('Données projet'!$A$166&gt;35,DO3+DN4-DW3,IF(A4&lt;'Données projet'!$A$166,$DL$205^A4,IF(A4='Données projet'!$A$166,'Données projet'!$B$166,DO3+DN4-DW3)))</f>
        <v>1.3682730833261529</v>
      </c>
      <c r="DP4" s="18">
        <f>DO4*VLOOKUP('Données projet'!$B$14,Paramètres!$A$1:$I$89,3,0)*VLOOKUP('Données projet'!$B$14,Paramètres!$A$1:$I$89,5,0)</f>
        <v>1.1953233655937274</v>
      </c>
      <c r="DQ4" s="14">
        <f>EXP(-1.0587+0.8836*LN(DP4)+0.284)</f>
        <v>0.53953319778599107</v>
      </c>
      <c r="DR4" s="22">
        <f t="shared" ref="DR4:DR67" si="16">(DP4+DQ4)*0.475*44/12</f>
        <v>3.0215418478863434</v>
      </c>
      <c r="DS4" s="62">
        <f t="shared" ref="DS4:DS67" si="17">DR4+(DJ4+DK4)*44/12</f>
        <v>260.9104307367752</v>
      </c>
      <c r="DT4" s="62">
        <f ca="1">AVERAGE(OFFSET($DS$3,0,0,'Données projet'!$E$14+1,1))-AVERAGE(OFFSET($H$3,0,0,'Données projet'!$E$14+1,1))</f>
        <v>341.65872153228599</v>
      </c>
      <c r="DU4" s="62">
        <f>$DU$3</f>
        <v>339.49697153894937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3.3333333333333335</v>
      </c>
      <c r="EJ4" s="13">
        <f>IF('Données projet'!$A$192&gt;35,EJ3+EI4-ER3,IF(A4&lt;'Données projet'!$A$192,$EG$205^A4,IF(A4='Données projet'!$A$192,'Données projet'!$B$192,EJ3+EI4-ER3)))</f>
        <v>1.2979700365523266</v>
      </c>
      <c r="EK4" s="18">
        <f>EJ4*VLOOKUP('Données projet'!$B$15,Paramètres!$A$1:$I$89,3,0)*VLOOKUP('Données projet'!$B$15,Paramètres!$A$1:$I$89,5,0)</f>
        <v>0.87067830051930062</v>
      </c>
      <c r="EL4" s="14">
        <f>EXP(-1.0587+0.8836*LN(EK4)+0.284)</f>
        <v>0.40776537662742923</v>
      </c>
      <c r="EM4" s="22">
        <f t="shared" ref="EM4:EM67" si="19">(EK4+EL4)*0.475*44/12</f>
        <v>2.226622737697221</v>
      </c>
      <c r="EN4" s="62">
        <f t="shared" ref="EN4:EN67" si="20">EM4+(EE4+EF4)*44/12</f>
        <v>260.11551162658606</v>
      </c>
      <c r="EO4" s="62">
        <f ca="1">AVERAGE(OFFSET($EN$3,0,0,'Données projet'!$E$15+1,1))-AVERAGE(OFFSET($H$3,0,0,'Données projet'!$E$15+1,1))</f>
        <v>312.06797204903796</v>
      </c>
      <c r="EP4" s="62">
        <f>$EP$3</f>
        <v>258.20189001775151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2.1</v>
      </c>
      <c r="FE4" s="13">
        <f>IF('Données projet'!$A$218&gt;35,FE3+FD4-FM3,IF(A4&lt;'Données projet'!$A$218,$FB$205^A4,IF(A4='Données projet'!$A$218,'Données projet'!$B$218,FE3+FD4-FM3)))</f>
        <v>1.2054868146447177</v>
      </c>
      <c r="FF4" s="18">
        <f>FE4*VLOOKUP('Données projet'!$B$16,Paramètres!$A$1:$I$89,3,0)*VLOOKUP('Données projet'!$B$16,Paramètres!$A$1:$I$89,5,0)</f>
        <v>1.165946847124371</v>
      </c>
      <c r="FG4" s="14">
        <f>EXP(-1.0587+0.8836*LN(FF4)+0.284)</f>
        <v>0.52780002987456354</v>
      </c>
      <c r="FH4" s="22">
        <f t="shared" ref="FH4:FH67" si="22">(FF4+FG4)*0.475*44/12</f>
        <v>2.9499424774398109</v>
      </c>
      <c r="FI4" s="62">
        <f t="shared" ref="FI4:FI67" si="23">FH4+(EZ4+FA4)*44/12</f>
        <v>260.83883136632869</v>
      </c>
      <c r="FJ4" s="62">
        <f ca="1">AVERAGE(OFFSET($FI$3,0,0,'Données projet'!$E$16+1,1))-AVERAGE(OFFSET($H$3,0,0,'Données projet'!$E$16+1,1))</f>
        <v>455.50822833641354</v>
      </c>
      <c r="FK4" s="62">
        <f>$FK$3</f>
        <v>261.14722581688039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7.7987854251012134</v>
      </c>
      <c r="N5" s="14">
        <f>IF('Données projet'!$A$36&gt;35,N4+M5-V4,IF(A5&lt;'Données projet'!$A$36,$K$205^A5,IF(A5='Données projet'!$A$36,'Données projet'!$B$36,N4+M5-V4)))</f>
        <v>1.6924007851492051</v>
      </c>
      <c r="O5" s="14">
        <f>N5*VLOOKUP('Données projet'!$B$9,Paramètres!$A$1:$I$89,3,0)*VLOOKUP('Données projet'!$B$9,Paramètres!$A$1:$I$89,5,0)</f>
        <v>0.94605203889840572</v>
      </c>
      <c r="P5" s="14">
        <f t="shared" ref="P5:P68" si="33">EXP(-1.0587+0.8836*LN(O5)+0.284)</f>
        <v>0.43880400409515918</v>
      </c>
      <c r="Q5" s="22">
        <f t="shared" si="2"/>
        <v>2.4119576082137919</v>
      </c>
      <c r="R5" s="62">
        <f t="shared" si="0"/>
        <v>261.52306871932495</v>
      </c>
      <c r="S5" s="62">
        <f ca="1">AVERAGE(OFFSET($R$3,0,0,'Données projet'!$E$9+1,1))-AVERAGE(OFFSET($H$3,0,0,'Données projet'!$E$9+1,1))</f>
        <v>323.98185264074681</v>
      </c>
      <c r="T5" s="62">
        <f t="shared" ref="T5:T68" si="34">$T$3</f>
        <v>301.22207291854005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5.2912820512820513</v>
      </c>
      <c r="AI5" s="14">
        <f>IF('Données projet'!$A$62&gt;35,AI4+AH5-AQ4,IF(A5&lt;'Données projet'!$A$62,$AF$205^A5,IF(A5='Données projet'!$A$62,'Données projet'!$B$62,AI4+AH5-AQ4)))</f>
        <v>1.4018842110521841</v>
      </c>
      <c r="AJ5" s="14">
        <f>AI5*VLOOKUP('Données projet'!$B$10,Paramètres!$A$1:$I$89,3,0)*VLOOKUP('Données projet'!$B$10,Paramètres!$A$1:$I$89,5,0)</f>
        <v>0.65608181077242211</v>
      </c>
      <c r="AK5" s="14">
        <f t="shared" ref="AK5:AK68" si="35">EXP(-1.0587+0.8836*LN(AJ5)+0.284)</f>
        <v>0.31755294992125549</v>
      </c>
      <c r="AL5" s="22">
        <f t="shared" si="4"/>
        <v>1.6957472082081553</v>
      </c>
      <c r="AM5" s="62">
        <f t="shared" si="5"/>
        <v>260.8068583193193</v>
      </c>
      <c r="AN5" s="62">
        <f ca="1">AVERAGE(OFFSET($AM$3,0,0,'Données projet'!$E$10+1,1))-AVERAGE(OFFSET($H$3,0,0,'Données projet'!$E$10+1,1))</f>
        <v>276.78862011733338</v>
      </c>
      <c r="AO5" s="62">
        <f t="shared" ref="AO5:AO68" si="36">$AO$3</f>
        <v>202.1678469635836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1.3148539668633961</v>
      </c>
      <c r="BF5" s="14">
        <f t="shared" ref="BF5:BF68" si="37">EXP(-1.0587+0.8836*LN(BE5)+0.284)</f>
        <v>0.58693801963664449</v>
      </c>
      <c r="BG5" s="22">
        <f t="shared" si="7"/>
        <v>3.3122877098209038</v>
      </c>
      <c r="BH5" s="62">
        <f t="shared" si="8"/>
        <v>262.42339882093205</v>
      </c>
      <c r="BI5" s="62">
        <f ca="1">AVERAGE(OFFSET($BH$3,0,0,'Données projet'!$E$11+1,1))-AVERAGE(OFFSET($H$3,0,0,'Données projet'!$E$11+1,1))</f>
        <v>428.8489304403459</v>
      </c>
      <c r="BJ5" s="62">
        <f t="shared" ref="BJ5:BJ68" si="38">$BJ$3</f>
        <v>247.01165577562966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2.3805128205128203</v>
      </c>
      <c r="BY5" s="13">
        <f>IF('Données projet'!$A$114&gt;35,BY4+BX5-CG4,IF(A5&lt;'Données projet'!$A$114,$BV$205^A5,IF(A5='Données projet'!$A$114,'Données projet'!$B$114,BY4+BX5-CG4)))</f>
        <v>1.610775088937616</v>
      </c>
      <c r="BZ5" s="14">
        <f>BY5*VLOOKUP('Données projet'!$B$12,Paramètres!$A$1:$I$89,3,0)*VLOOKUP('Données projet'!$B$12,Paramètres!$A$1:$I$89,5,0)</f>
        <v>0.96324350318469443</v>
      </c>
      <c r="CA5" s="14">
        <f t="shared" ref="CA5:CA68" si="39">EXP(-1.0587+0.8836*LN(BZ5)+0.284)</f>
        <v>0.44584230224208238</v>
      </c>
      <c r="CB5" s="22">
        <f t="shared" si="10"/>
        <v>2.4541577777849692</v>
      </c>
      <c r="CC5" s="62">
        <f t="shared" si="11"/>
        <v>261.56526888889613</v>
      </c>
      <c r="CD5" s="62">
        <f ca="1">AVERAGE(OFFSET($CC$3,0,0,'Données projet'!$E$12+1,1))-AVERAGE(OFFSET($H$3,0,0,'Données projet'!$E$12+1,1))</f>
        <v>289.12367833861299</v>
      </c>
      <c r="CE5" s="62">
        <f t="shared" ref="CE5:CE68" si="40">$CE$3</f>
        <v>229.06617320689003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1.1099999999999999</v>
      </c>
      <c r="CT5" s="13">
        <f>IF('Données projet'!$A$140&gt;35,CT4+CS5-DB4,IF(A5&lt;'Données projet'!$A$140,$CQ$205^A5,IF(A5='Données projet'!$A$140,'Données projet'!$B$140,CT4+CS5-DB4)))</f>
        <v>1.6183207242814768</v>
      </c>
      <c r="CU5" s="18">
        <f>CT5*VLOOKUP('Données projet'!$B$13,Paramètres!$A$1:$I$89,3,0)*VLOOKUP('Données projet'!$B$13,Paramètres!$A$1:$I$89,5,0)</f>
        <v>1.2875359682383429</v>
      </c>
      <c r="CV5" s="14">
        <f t="shared" ref="CV5:CV68" si="41">EXP(-1.0587+0.8836*LN(CU5)+0.284)</f>
        <v>0.57614983837086087</v>
      </c>
      <c r="CW5" s="22">
        <f t="shared" si="13"/>
        <v>3.2459194465110297</v>
      </c>
      <c r="CX5" s="62">
        <f t="shared" si="14"/>
        <v>262.35703055762218</v>
      </c>
      <c r="CY5" s="62">
        <f ca="1">AVERAGE(OFFSET($CX$3,0,0,'Données projet'!$E$13+1,1))-AVERAGE(OFFSET($H$3,0,0,'Données projet'!$E$13+1,1))</f>
        <v>370.59298168107364</v>
      </c>
      <c r="CZ5" s="62">
        <f t="shared" ref="CZ5:CZ68" si="42">$CZ$3</f>
        <v>404.61777090709171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2.2999999999999998</v>
      </c>
      <c r="DO5" s="13">
        <f>IF('Données projet'!$A$166&gt;35,DO4+DN5-DW4,IF(A5&lt;'Données projet'!$A$166,$DL$205^A5,IF(A5='Données projet'!$A$166,'Données projet'!$B$166,DO4+DN5-DW4)))</f>
        <v>1.8721712305548575</v>
      </c>
      <c r="DP5" s="18">
        <f>DO5*VLOOKUP('Données projet'!$B$14,Paramètres!$A$1:$I$89,3,0)*VLOOKUP('Données projet'!$B$14,Paramètres!$A$1:$I$89,5,0)</f>
        <v>1.6355287870127238</v>
      </c>
      <c r="DQ5" s="14">
        <f t="shared" ref="DQ5:DQ68" si="43">EXP(-1.0587+0.8836*LN(DP5)+0.284)</f>
        <v>0.71177125311828726</v>
      </c>
      <c r="DR5" s="22">
        <f t="shared" si="16"/>
        <v>4.0882142365615106</v>
      </c>
      <c r="DS5" s="62">
        <f t="shared" si="17"/>
        <v>263.19932534767264</v>
      </c>
      <c r="DT5" s="62">
        <f ca="1">AVERAGE(OFFSET($DS$3,0,0,'Données projet'!$E$14+1,1))-AVERAGE(OFFSET($H$3,0,0,'Données projet'!$E$14+1,1))</f>
        <v>341.65872153228599</v>
      </c>
      <c r="DU5" s="62">
        <f t="shared" ref="DU5:DU68" si="44">$DU$3</f>
        <v>339.49697153894937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3.3333333333333335</v>
      </c>
      <c r="EJ5" s="13">
        <f>IF('Données projet'!$A$192&gt;35,EJ4+EI5-ER4,IF(A5&lt;'Données projet'!$A$192,$EG$205^A5,IF(A5='Données projet'!$A$192,'Données projet'!$B$192,EJ4+EI5-ER4)))</f>
        <v>1.6847262157876479</v>
      </c>
      <c r="EK5" s="18">
        <f>EJ5*VLOOKUP('Données projet'!$B$15,Paramètres!$A$1:$I$89,3,0)*VLOOKUP('Données projet'!$B$15,Paramètres!$A$1:$I$89,5,0)</f>
        <v>1.1301143455503542</v>
      </c>
      <c r="EL5" s="14">
        <f t="shared" ref="EL5:EL68" si="45">EXP(-1.0587+0.8836*LN(EK5)+0.284)</f>
        <v>0.5134415452108555</v>
      </c>
      <c r="EM5" s="22">
        <f t="shared" si="19"/>
        <v>2.8625265097424397</v>
      </c>
      <c r="EN5" s="62">
        <f t="shared" si="20"/>
        <v>261.97363762085359</v>
      </c>
      <c r="EO5" s="62">
        <f ca="1">AVERAGE(OFFSET($EN$3,0,0,'Données projet'!$E$15+1,1))-AVERAGE(OFFSET($H$3,0,0,'Données projet'!$E$15+1,1))</f>
        <v>312.06797204903796</v>
      </c>
      <c r="EP5" s="62">
        <f t="shared" ref="EP5:EP68" si="46">$EP$3</f>
        <v>258.20189001775151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2.1</v>
      </c>
      <c r="FE5" s="13">
        <f>IF('Données projet'!$A$218&gt;35,FE4+FD5-FM4,IF(A5&lt;'Données projet'!$A$218,$FB$205^A5,IF(A5='Données projet'!$A$218,'Données projet'!$B$218,FE4+FD5-FM4)))</f>
        <v>1.4531984602822681</v>
      </c>
      <c r="FF5" s="18">
        <f>FE5*VLOOKUP('Données projet'!$B$16,Paramètres!$A$1:$I$89,3,0)*VLOOKUP('Données projet'!$B$16,Paramètres!$A$1:$I$89,5,0)</f>
        <v>1.4055335507850097</v>
      </c>
      <c r="FG5" s="14">
        <f t="shared" ref="FG5:FG68" si="47">EXP(-1.0587+0.8836*LN(FF5)+0.284)</f>
        <v>0.62256480317525631</v>
      </c>
      <c r="FH5" s="22">
        <f t="shared" si="22"/>
        <v>3.5322712998141292</v>
      </c>
      <c r="FI5" s="62">
        <f t="shared" si="23"/>
        <v>262.64338241092526</v>
      </c>
      <c r="FJ5" s="62">
        <f ca="1">AVERAGE(OFFSET($FI$3,0,0,'Données projet'!$E$16+1,1))-AVERAGE(OFFSET($H$3,0,0,'Données projet'!$E$16+1,1))</f>
        <v>455.50822833641354</v>
      </c>
      <c r="FK5" s="62">
        <f t="shared" ref="FK5:FK68" si="48">$FK$3</f>
        <v>261.14722581688039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7.7987854251012134</v>
      </c>
      <c r="N6" s="14">
        <f>IF('Données projet'!$A$36&gt;35,N5+M6-V5,IF(A6&lt;'Données projet'!$A$36,$K$205^A6,IF(A6='Données projet'!$A$36,'Données projet'!$B$36,N5+M6-V5)))</f>
        <v>2.2016831932732788</v>
      </c>
      <c r="O6" s="14">
        <f>N6*VLOOKUP('Données projet'!$B$9,Paramètres!$A$1:$I$89,3,0)*VLOOKUP('Données projet'!$B$9,Paramètres!$A$1:$I$89,5,0)</f>
        <v>1.2307409050397629</v>
      </c>
      <c r="P6" s="14">
        <f t="shared" si="33"/>
        <v>0.55363470151801264</v>
      </c>
      <c r="Q6" s="22">
        <f t="shared" si="2"/>
        <v>3.1077875147547922</v>
      </c>
      <c r="R6" s="62">
        <f t="shared" si="0"/>
        <v>263.44112084808813</v>
      </c>
      <c r="S6" s="62">
        <f ca="1">AVERAGE(OFFSET($R$3,0,0,'Données projet'!$E$9+1,1))-AVERAGE(OFFSET($H$3,0,0,'Données projet'!$E$9+1,1))</f>
        <v>323.98185264074681</v>
      </c>
      <c r="T6" s="62">
        <f t="shared" si="34"/>
        <v>301.22207291854005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5.2912820512820513</v>
      </c>
      <c r="AI6" s="14">
        <f>IF('Données projet'!$A$62&gt;35,AI5+AH6-AQ5,IF(A6&lt;'Données projet'!$A$62,$AF$205^A6,IF(A6='Données projet'!$A$62,'Données projet'!$B$62,AI5+AH6-AQ5)))</f>
        <v>1.6598476070807464</v>
      </c>
      <c r="AJ6" s="14">
        <f>AI6*VLOOKUP('Données projet'!$B$10,Paramètres!$A$1:$I$89,3,0)*VLOOKUP('Données projet'!$B$10,Paramètres!$A$1:$I$89,5,0)</f>
        <v>0.77680868011378923</v>
      </c>
      <c r="AK6" s="14">
        <f t="shared" si="35"/>
        <v>0.36866641595972582</v>
      </c>
      <c r="AL6" s="22">
        <f t="shared" si="4"/>
        <v>1.9950357923280386</v>
      </c>
      <c r="AM6" s="62">
        <f t="shared" si="5"/>
        <v>262.32836912566137</v>
      </c>
      <c r="AN6" s="62">
        <f ca="1">AVERAGE(OFFSET($AM$3,0,0,'Données projet'!$E$10+1,1))-AVERAGE(OFFSET($H$3,0,0,'Données projet'!$E$10+1,1))</f>
        <v>276.78862011733338</v>
      </c>
      <c r="AO6" s="62">
        <f t="shared" si="36"/>
        <v>202.1678469635836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1.5850391202371266</v>
      </c>
      <c r="BF6" s="14">
        <f t="shared" si="37"/>
        <v>0.69232082604846479</v>
      </c>
      <c r="BG6" s="22">
        <f t="shared" si="7"/>
        <v>3.966401906447405</v>
      </c>
      <c r="BH6" s="62">
        <f t="shared" si="8"/>
        <v>264.29973523978072</v>
      </c>
      <c r="BI6" s="62">
        <f ca="1">AVERAGE(OFFSET($BH$3,0,0,'Données projet'!$E$11+1,1))-AVERAGE(OFFSET($H$3,0,0,'Données projet'!$E$11+1,1))</f>
        <v>428.8489304403459</v>
      </c>
      <c r="BJ6" s="62">
        <f t="shared" si="38"/>
        <v>247.01165577562966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2.3805128205128203</v>
      </c>
      <c r="BY6" s="13">
        <f>IF('Données projet'!$A$114&gt;35,BY5+BX6-CG5,IF(A6&lt;'Données projet'!$A$114,$BV$205^A6,IF(A6='Données projet'!$A$114,'Données projet'!$B$114,BY5+BX6-CG5)))</f>
        <v>2.0443363779612804</v>
      </c>
      <c r="BZ6" s="14">
        <f>BY6*VLOOKUP('Données projet'!$B$12,Paramètres!$A$1:$I$89,3,0)*VLOOKUP('Données projet'!$B$12,Paramètres!$A$1:$I$89,5,0)</f>
        <v>1.2225131540208458</v>
      </c>
      <c r="CA6" s="14">
        <f t="shared" si="39"/>
        <v>0.55036308132321654</v>
      </c>
      <c r="CB6" s="22">
        <f t="shared" si="10"/>
        <v>3.0877594432242415</v>
      </c>
      <c r="CC6" s="62">
        <f t="shared" si="11"/>
        <v>263.42109277655754</v>
      </c>
      <c r="CD6" s="62">
        <f ca="1">AVERAGE(OFFSET($CC$3,0,0,'Données projet'!$E$12+1,1))-AVERAGE(OFFSET($H$3,0,0,'Données projet'!$E$12+1,1))</f>
        <v>289.12367833861299</v>
      </c>
      <c r="CE6" s="62">
        <f t="shared" si="40"/>
        <v>229.06617320689003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1.1099999999999999</v>
      </c>
      <c r="CT6" s="13">
        <f>IF('Données projet'!$A$140&gt;35,CT5+CS6-DB5,IF(A6&lt;'Données projet'!$A$140,$CQ$205^A6,IF(A6='Données projet'!$A$140,'Données projet'!$B$140,CT5+CS6-DB5)))</f>
        <v>2.0587181513545616</v>
      </c>
      <c r="CU6" s="18">
        <f>CT6*VLOOKUP('Données projet'!$B$13,Paramètres!$A$1:$I$89,3,0)*VLOOKUP('Données projet'!$B$13,Paramètres!$A$1:$I$89,5,0)</f>
        <v>1.6379161612176893</v>
      </c>
      <c r="CV6" s="14">
        <f t="shared" si="41"/>
        <v>0.71268920851376738</v>
      </c>
      <c r="CW6" s="22">
        <f t="shared" si="13"/>
        <v>4.0939710189489533</v>
      </c>
      <c r="CX6" s="62">
        <f t="shared" si="14"/>
        <v>264.42730435228225</v>
      </c>
      <c r="CY6" s="62">
        <f ca="1">AVERAGE(OFFSET($CX$3,0,0,'Données projet'!$E$13+1,1))-AVERAGE(OFFSET($H$3,0,0,'Données projet'!$E$13+1,1))</f>
        <v>370.59298168107364</v>
      </c>
      <c r="CZ6" s="62">
        <f t="shared" si="42"/>
        <v>404.61777090709171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2.2999999999999998</v>
      </c>
      <c r="DO6" s="13">
        <f>IF('Données projet'!$A$166&gt;35,DO5+DN6-DW5,IF(A6&lt;'Données projet'!$A$166,$DL$205^A6,IF(A6='Données projet'!$A$166,'Données projet'!$B$166,DO5+DN6-DW5)))</f>
        <v>2.5616415021458128</v>
      </c>
      <c r="DP6" s="18">
        <f>DO6*VLOOKUP('Données projet'!$B$14,Paramètres!$A$1:$I$89,3,0)*VLOOKUP('Données projet'!$B$14,Paramètres!$A$1:$I$89,5,0)</f>
        <v>2.237850016274582</v>
      </c>
      <c r="DQ6" s="14">
        <f t="shared" si="43"/>
        <v>0.93899377989068589</v>
      </c>
      <c r="DR6" s="22">
        <f t="shared" si="16"/>
        <v>5.5330029449878415</v>
      </c>
      <c r="DS6" s="62">
        <f t="shared" si="17"/>
        <v>265.86633627832117</v>
      </c>
      <c r="DT6" s="62">
        <f ca="1">AVERAGE(OFFSET($DS$3,0,0,'Données projet'!$E$14+1,1))-AVERAGE(OFFSET($H$3,0,0,'Données projet'!$E$14+1,1))</f>
        <v>341.65872153228599</v>
      </c>
      <c r="DU6" s="62">
        <f t="shared" si="44"/>
        <v>339.49697153894937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3.3333333333333335</v>
      </c>
      <c r="EJ6" s="13">
        <f>IF('Données projet'!$A$192&gt;35,EJ5+EI6-ER5,IF(A6&lt;'Données projet'!$A$192,$EG$205^A6,IF(A6='Données projet'!$A$192,'Données projet'!$B$192,EJ5+EI6-ER5)))</f>
        <v>2.1867241478865562</v>
      </c>
      <c r="EK6" s="18">
        <f>EJ6*VLOOKUP('Données projet'!$B$15,Paramètres!$A$1:$I$89,3,0)*VLOOKUP('Données projet'!$B$15,Paramètres!$A$1:$I$89,5,0)</f>
        <v>1.4668545584023018</v>
      </c>
      <c r="EL6" s="14">
        <f t="shared" si="45"/>
        <v>0.64650467023192038</v>
      </c>
      <c r="EM6" s="22">
        <f t="shared" si="19"/>
        <v>3.6807673232046039</v>
      </c>
      <c r="EN6" s="62">
        <f t="shared" si="20"/>
        <v>264.01410065653789</v>
      </c>
      <c r="EO6" s="62">
        <f ca="1">AVERAGE(OFFSET($EN$3,0,0,'Données projet'!$E$15+1,1))-AVERAGE(OFFSET($H$3,0,0,'Données projet'!$E$15+1,1))</f>
        <v>312.06797204903796</v>
      </c>
      <c r="EP6" s="62">
        <f t="shared" si="46"/>
        <v>258.20189001775151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2.1</v>
      </c>
      <c r="FE6" s="13">
        <f>IF('Données projet'!$A$218&gt;35,FE5+FD6-FM5,IF(A6&lt;'Données projet'!$A$218,$FB$205^A6,IF(A6='Données projet'!$A$218,'Données projet'!$B$218,FE5+FD6-FM5)))</f>
        <v>1.7518115829322798</v>
      </c>
      <c r="FF6" s="18">
        <f>FE6*VLOOKUP('Données projet'!$B$16,Paramètres!$A$1:$I$89,3,0)*VLOOKUP('Données projet'!$B$16,Paramètres!$A$1:$I$89,5,0)</f>
        <v>1.694352163012101</v>
      </c>
      <c r="FG6" s="14">
        <f t="shared" si="47"/>
        <v>0.73434428233124405</v>
      </c>
      <c r="FH6" s="22">
        <f t="shared" si="22"/>
        <v>4.2299796423063247</v>
      </c>
      <c r="FI6" s="62">
        <f t="shared" si="23"/>
        <v>264.56331297563963</v>
      </c>
      <c r="FJ6" s="62">
        <f ca="1">AVERAGE(OFFSET($FI$3,0,0,'Données projet'!$E$16+1,1))-AVERAGE(OFFSET($H$3,0,0,'Données projet'!$E$16+1,1))</f>
        <v>455.50822833641354</v>
      </c>
      <c r="FK6" s="62">
        <f t="shared" si="48"/>
        <v>261.14722581688039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7.7987854251012134</v>
      </c>
      <c r="N7" s="14">
        <f>IF('Données projet'!$A$36&gt;35,N6+M7-V6,IF(A7&lt;'Données projet'!$A$36,$K$205^A7,IF(A7='Données projet'!$A$36,'Données projet'!$B$36,N6+M7-V6)))</f>
        <v>2.8642204175736459</v>
      </c>
      <c r="O7" s="14">
        <f>N7*VLOOKUP('Données projet'!$B$9,Paramètres!$A$1:$I$89,3,0)*VLOOKUP('Données projet'!$B$9,Paramètres!$A$1:$I$89,5,0)</f>
        <v>1.6010992134236679</v>
      </c>
      <c r="P7" s="14">
        <f t="shared" si="33"/>
        <v>0.69851546445430523</v>
      </c>
      <c r="Q7" s="22">
        <f t="shared" si="2"/>
        <v>4.0051622306374703</v>
      </c>
      <c r="R7" s="62">
        <f t="shared" si="0"/>
        <v>265.56071778619304</v>
      </c>
      <c r="S7" s="62">
        <f ca="1">AVERAGE(OFFSET($R$3,0,0,'Données projet'!$E$9+1,1))-AVERAGE(OFFSET($H$3,0,0,'Données projet'!$E$9+1,1))</f>
        <v>323.98185264074681</v>
      </c>
      <c r="T7" s="62">
        <f t="shared" si="34"/>
        <v>301.22207291854005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5.2912820512820513</v>
      </c>
      <c r="AI7" s="14">
        <f>IF('Données projet'!$A$62&gt;35,AI6+AH7-AQ6,IF(A7&lt;'Données projet'!$A$62,$AF$205^A7,IF(A7='Données projet'!$A$62,'Données projet'!$B$62,AI6+AH7-AQ6)))</f>
        <v>1.9652793411974046</v>
      </c>
      <c r="AJ7" s="14">
        <f>AI7*VLOOKUP('Données projet'!$B$10,Paramètres!$A$1:$I$89,3,0)*VLOOKUP('Données projet'!$B$10,Paramètres!$A$1:$I$89,5,0)</f>
        <v>0.91975073168038535</v>
      </c>
      <c r="AK7" s="14">
        <f t="shared" si="35"/>
        <v>0.42800712854436657</v>
      </c>
      <c r="AL7" s="22">
        <f t="shared" si="4"/>
        <v>2.347344939891443</v>
      </c>
      <c r="AM7" s="62">
        <f t="shared" si="5"/>
        <v>263.902900495447</v>
      </c>
      <c r="AN7" s="62">
        <f ca="1">AVERAGE(OFFSET($AM$3,0,0,'Données projet'!$E$10+1,1))-AVERAGE(OFFSET($H$3,0,0,'Données projet'!$E$10+1,1))</f>
        <v>276.78862011733338</v>
      </c>
      <c r="AO7" s="62">
        <f t="shared" si="36"/>
        <v>202.1678469635836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1.9107437601419195</v>
      </c>
      <c r="BF7" s="14">
        <f t="shared" si="37"/>
        <v>0.81662477151702284</v>
      </c>
      <c r="BG7" s="22">
        <f t="shared" si="7"/>
        <v>4.7501668593059909</v>
      </c>
      <c r="BH7" s="62">
        <f t="shared" si="8"/>
        <v>266.30572241486152</v>
      </c>
      <c r="BI7" s="62">
        <f ca="1">AVERAGE(OFFSET($BH$3,0,0,'Données projet'!$E$11+1,1))-AVERAGE(OFFSET($H$3,0,0,'Données projet'!$E$11+1,1))</f>
        <v>428.8489304403459</v>
      </c>
      <c r="BJ7" s="62">
        <f t="shared" si="38"/>
        <v>247.01165577562966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2.3805128205128203</v>
      </c>
      <c r="BY7" s="13">
        <f>IF('Données projet'!$A$114&gt;35,BY6+BX7-CG6,IF(A7&lt;'Données projet'!$A$114,$BV$205^A7,IF(A7='Données projet'!$A$114,'Données projet'!$B$114,BY6+BX7-CG6)))</f>
        <v>2.5945963871419848</v>
      </c>
      <c r="BZ7" s="14">
        <f>BY7*VLOOKUP('Données projet'!$B$12,Paramètres!$A$1:$I$89,3,0)*VLOOKUP('Données projet'!$B$12,Paramètres!$A$1:$I$89,5,0)</f>
        <v>1.551568639510907</v>
      </c>
      <c r="CA7" s="14">
        <f t="shared" si="39"/>
        <v>0.67938712805030732</v>
      </c>
      <c r="CB7" s="22">
        <f t="shared" si="10"/>
        <v>3.8855812951691147</v>
      </c>
      <c r="CC7" s="62">
        <f t="shared" si="11"/>
        <v>265.44113685072466</v>
      </c>
      <c r="CD7" s="62">
        <f ca="1">AVERAGE(OFFSET($CC$3,0,0,'Données projet'!$E$12+1,1))-AVERAGE(OFFSET($H$3,0,0,'Données projet'!$E$12+1,1))</f>
        <v>289.12367833861299</v>
      </c>
      <c r="CE7" s="62">
        <f t="shared" si="40"/>
        <v>229.06617320689003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1.1099999999999999</v>
      </c>
      <c r="CT7" s="13">
        <f>IF('Données projet'!$A$140&gt;35,CT6+CS7-DB6,IF(A7&lt;'Données projet'!$A$140,$CQ$205^A7,IF(A7='Données projet'!$A$140,'Données projet'!$B$140,CT6+CS7-DB6)))</f>
        <v>2.6189619666389237</v>
      </c>
      <c r="CU7" s="18">
        <f>CT7*VLOOKUP('Données projet'!$B$13,Paramètres!$A$1:$I$89,3,0)*VLOOKUP('Données projet'!$B$13,Paramètres!$A$1:$I$89,5,0)</f>
        <v>2.0836461406579279</v>
      </c>
      <c r="CV7" s="14">
        <f t="shared" si="41"/>
        <v>0.88158647994800687</v>
      </c>
      <c r="CW7" s="22">
        <f t="shared" si="13"/>
        <v>5.1644468142220035</v>
      </c>
      <c r="CX7" s="62">
        <f t="shared" si="14"/>
        <v>266.72000236977755</v>
      </c>
      <c r="CY7" s="62">
        <f ca="1">AVERAGE(OFFSET($CX$3,0,0,'Données projet'!$E$13+1,1))-AVERAGE(OFFSET($H$3,0,0,'Données projet'!$E$13+1,1))</f>
        <v>370.59298168107364</v>
      </c>
      <c r="CZ7" s="62">
        <f t="shared" si="42"/>
        <v>404.61777090709171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2.2999999999999998</v>
      </c>
      <c r="DO7" s="13">
        <f>IF('Données projet'!$A$166&gt;35,DO6+DN7-DW6,IF(A7&lt;'Données projet'!$A$166,$DL$205^A7,IF(A7='Données projet'!$A$166,'Données projet'!$B$166,DO6+DN7-DW6)))</f>
        <v>3.5050251165172894</v>
      </c>
      <c r="DP7" s="18">
        <f>DO7*VLOOKUP('Données projet'!$B$14,Paramètres!$A$1:$I$89,3,0)*VLOOKUP('Données projet'!$B$14,Paramètres!$A$1:$I$89,5,0)</f>
        <v>3.0619899417895042</v>
      </c>
      <c r="DQ7" s="14">
        <f t="shared" si="43"/>
        <v>1.2387537636714157</v>
      </c>
      <c r="DR7" s="22">
        <f t="shared" si="16"/>
        <v>7.4904619536777686</v>
      </c>
      <c r="DS7" s="62">
        <f t="shared" si="17"/>
        <v>269.04601750923331</v>
      </c>
      <c r="DT7" s="62">
        <f ca="1">AVERAGE(OFFSET($DS$3,0,0,'Données projet'!$E$14+1,1))-AVERAGE(OFFSET($H$3,0,0,'Données projet'!$E$14+1,1))</f>
        <v>341.65872153228599</v>
      </c>
      <c r="DU7" s="62">
        <f t="shared" si="44"/>
        <v>339.49697153894937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3.3333333333333335</v>
      </c>
      <c r="EJ7" s="13">
        <f>IF('Données projet'!$A$192&gt;35,EJ6+EI7-ER6,IF(A7&lt;'Données projet'!$A$192,$EG$205^A7,IF(A7='Données projet'!$A$192,'Données projet'!$B$192,EJ6+EI7-ER6)))</f>
        <v>2.8383024221621684</v>
      </c>
      <c r="EK7" s="18">
        <f>EJ7*VLOOKUP('Données projet'!$B$15,Paramètres!$A$1:$I$89,3,0)*VLOOKUP('Données projet'!$B$15,Paramètres!$A$1:$I$89,5,0)</f>
        <v>1.9039332647863827</v>
      </c>
      <c r="EL7" s="14">
        <f t="shared" si="45"/>
        <v>0.81405233474053373</v>
      </c>
      <c r="EM7" s="22">
        <f t="shared" si="19"/>
        <v>4.7338249191760466</v>
      </c>
      <c r="EN7" s="62">
        <f t="shared" si="20"/>
        <v>266.28938047473162</v>
      </c>
      <c r="EO7" s="62">
        <f ca="1">AVERAGE(OFFSET($EN$3,0,0,'Données projet'!$E$15+1,1))-AVERAGE(OFFSET($H$3,0,0,'Données projet'!$E$15+1,1))</f>
        <v>312.06797204903796</v>
      </c>
      <c r="EP7" s="62">
        <f t="shared" si="46"/>
        <v>258.20189001775151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2.1</v>
      </c>
      <c r="FE7" s="13">
        <f>IF('Données projet'!$A$218&gt;35,FE6+FD7-FM6,IF(A7&lt;'Données projet'!$A$218,$FB$205^A7,IF(A7='Données projet'!$A$218,'Données projet'!$B$218,FE6+FD7-FM6)))</f>
        <v>2.1117857649667546</v>
      </c>
      <c r="FF7" s="18">
        <f>FE7*VLOOKUP('Données projet'!$B$16,Paramètres!$A$1:$I$89,3,0)*VLOOKUP('Données projet'!$B$16,Paramètres!$A$1:$I$89,5,0)</f>
        <v>2.042519191875845</v>
      </c>
      <c r="FG7" s="14">
        <f t="shared" si="47"/>
        <v>0.86619340226463792</v>
      </c>
      <c r="FH7" s="22">
        <f t="shared" si="22"/>
        <v>5.0660077681280073</v>
      </c>
      <c r="FI7" s="62">
        <f t="shared" si="23"/>
        <v>266.62156332368357</v>
      </c>
      <c r="FJ7" s="62">
        <f ca="1">AVERAGE(OFFSET($FI$3,0,0,'Données projet'!$E$16+1,1))-AVERAGE(OFFSET($H$3,0,0,'Données projet'!$E$16+1,1))</f>
        <v>455.50822833641354</v>
      </c>
      <c r="FK7" s="62">
        <f t="shared" si="48"/>
        <v>261.14722581688039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7.7987854251012134</v>
      </c>
      <c r="N8" s="14">
        <f>IF('Données projet'!$A$36&gt;35,N7+M8-V7,IF(A8&lt;'Données projet'!$A$36,$K$205^A8,IF(A8='Données projet'!$A$36,'Données projet'!$B$36,N7+M8-V7)))</f>
        <v>3.7261303649455062</v>
      </c>
      <c r="O8" s="14">
        <f>N8*VLOOKUP('Données projet'!$B$9,Paramètres!$A$1:$I$89,3,0)*VLOOKUP('Données projet'!$B$9,Paramètres!$A$1:$I$89,5,0)</f>
        <v>2.082906874004538</v>
      </c>
      <c r="P8" s="14">
        <f t="shared" si="33"/>
        <v>0.88131009986182929</v>
      </c>
      <c r="Q8" s="22">
        <f t="shared" si="2"/>
        <v>5.1626778961505897</v>
      </c>
      <c r="R8" s="62">
        <f t="shared" si="0"/>
        <v>267.94045567392834</v>
      </c>
      <c r="S8" s="62">
        <f ca="1">AVERAGE(OFFSET($R$3,0,0,'Données projet'!$E$9+1,1))-AVERAGE(OFFSET($H$3,0,0,'Données projet'!$E$9+1,1))</f>
        <v>323.98185264074681</v>
      </c>
      <c r="T8" s="62">
        <f t="shared" si="34"/>
        <v>301.22207291854005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5.2912820512820513</v>
      </c>
      <c r="AI8" s="14">
        <f>IF('Données projet'!$A$62&gt;35,AI7+AH8-AQ7,IF(A8&lt;'Données projet'!$A$62,$AF$205^A8,IF(A8='Données projet'!$A$62,'Données projet'!$B$62,AI7+AH8-AQ7)))</f>
        <v>2.3269141531192479</v>
      </c>
      <c r="AJ8" s="14">
        <f>AI8*VLOOKUP('Données projet'!$B$10,Paramètres!$A$1:$I$89,3,0)*VLOOKUP('Données projet'!$B$10,Paramètres!$A$1:$I$89,5,0)</f>
        <v>1.0889958236598081</v>
      </c>
      <c r="AK8" s="14">
        <f t="shared" si="35"/>
        <v>0.49689934898980909</v>
      </c>
      <c r="AL8" s="22">
        <f t="shared" si="4"/>
        <v>2.7621007590314162</v>
      </c>
      <c r="AM8" s="62">
        <f t="shared" si="5"/>
        <v>265.53987853680917</v>
      </c>
      <c r="AN8" s="62">
        <f ca="1">AVERAGE(OFFSET($AM$3,0,0,'Données projet'!$E$10+1,1))-AVERAGE(OFFSET($H$3,0,0,'Données projet'!$E$10+1,1))</f>
        <v>276.78862011733338</v>
      </c>
      <c r="AO8" s="62">
        <f t="shared" si="36"/>
        <v>202.1678469635836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2.3033764090157529</v>
      </c>
      <c r="BF8" s="14">
        <f t="shared" si="37"/>
        <v>0.96324708482559218</v>
      </c>
      <c r="BG8" s="22">
        <f t="shared" si="7"/>
        <v>5.6893692517736758</v>
      </c>
      <c r="BH8" s="62">
        <f t="shared" si="8"/>
        <v>268.46714702955143</v>
      </c>
      <c r="BI8" s="62">
        <f ca="1">AVERAGE(OFFSET($BH$3,0,0,'Données projet'!$E$11+1,1))-AVERAGE(OFFSET($H$3,0,0,'Données projet'!$E$11+1,1))</f>
        <v>428.8489304403459</v>
      </c>
      <c r="BJ8" s="62">
        <f t="shared" si="38"/>
        <v>247.01165577562966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2.3805128205128203</v>
      </c>
      <c r="BY8" s="13">
        <f>IF('Données projet'!$A$114&gt;35,BY7+BX8-CG7,IF(A8&lt;'Données projet'!$A$114,$BV$205^A8,IF(A8='Données projet'!$A$114,'Données projet'!$B$114,BY7+BX8-CG7)))</f>
        <v>3.2929661110289854</v>
      </c>
      <c r="BZ8" s="14">
        <f>BY8*VLOOKUP('Données projet'!$B$12,Paramètres!$A$1:$I$89,3,0)*VLOOKUP('Données projet'!$B$12,Paramètres!$A$1:$I$89,5,0)</f>
        <v>1.9691937343953334</v>
      </c>
      <c r="CA8" s="14">
        <f t="shared" si="39"/>
        <v>0.83865885162703413</v>
      </c>
      <c r="CB8" s="22">
        <f t="shared" si="10"/>
        <v>4.8903432539889566</v>
      </c>
      <c r="CC8" s="62">
        <f t="shared" si="11"/>
        <v>267.6681210317667</v>
      </c>
      <c r="CD8" s="62">
        <f ca="1">AVERAGE(OFFSET($CC$3,0,0,'Données projet'!$E$12+1,1))-AVERAGE(OFFSET($H$3,0,0,'Données projet'!$E$12+1,1))</f>
        <v>289.12367833861299</v>
      </c>
      <c r="CE8" s="62">
        <f t="shared" si="40"/>
        <v>229.06617320689003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1.1099999999999999</v>
      </c>
      <c r="CT8" s="13">
        <f>IF('Données projet'!$A$140&gt;35,CT7+CS8-DB7,IF(A8&lt;'Données projet'!$A$140,$CQ$205^A8,IF(A8='Données projet'!$A$140,'Données projet'!$B$140,CT7+CS8-DB7)))</f>
        <v>3.331666249791537</v>
      </c>
      <c r="CU8" s="18">
        <f>CT8*VLOOKUP('Données projet'!$B$13,Paramètres!$A$1:$I$89,3,0)*VLOOKUP('Données projet'!$B$13,Paramètres!$A$1:$I$89,5,0)</f>
        <v>2.650673668334147</v>
      </c>
      <c r="CV8" s="14">
        <f t="shared" si="41"/>
        <v>1.0905100180313785</v>
      </c>
      <c r="CW8" s="22">
        <f t="shared" si="13"/>
        <v>6.5158949204199574</v>
      </c>
      <c r="CX8" s="62">
        <f t="shared" si="14"/>
        <v>269.29367269819772</v>
      </c>
      <c r="CY8" s="62">
        <f ca="1">AVERAGE(OFFSET($CX$3,0,0,'Données projet'!$E$13+1,1))-AVERAGE(OFFSET($H$3,0,0,'Données projet'!$E$13+1,1))</f>
        <v>370.59298168107364</v>
      </c>
      <c r="CZ8" s="62">
        <f t="shared" si="42"/>
        <v>404.61777090709171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2.2999999999999998</v>
      </c>
      <c r="DO8" s="13">
        <f>IF('Données projet'!$A$166&gt;35,DO7+DN8-DW7,IF(A8&lt;'Données projet'!$A$166,$DL$205^A8,IF(A8='Données projet'!$A$166,'Données projet'!$B$166,DO7+DN8-DW7)))</f>
        <v>4.79583152331272</v>
      </c>
      <c r="DP8" s="18">
        <f>DO8*VLOOKUP('Données projet'!$B$14,Paramètres!$A$1:$I$89,3,0)*VLOOKUP('Données projet'!$B$14,Paramètres!$A$1:$I$89,5,0)</f>
        <v>4.189638418765993</v>
      </c>
      <c r="DQ8" s="14">
        <f t="shared" si="43"/>
        <v>1.6342077230679199</v>
      </c>
      <c r="DR8" s="22">
        <f t="shared" si="16"/>
        <v>10.143198697027399</v>
      </c>
      <c r="DS8" s="62">
        <f t="shared" si="17"/>
        <v>272.92097647480517</v>
      </c>
      <c r="DT8" s="62">
        <f ca="1">AVERAGE(OFFSET($DS$3,0,0,'Données projet'!$E$14+1,1))-AVERAGE(OFFSET($H$3,0,0,'Données projet'!$E$14+1,1))</f>
        <v>341.65872153228599</v>
      </c>
      <c r="DU8" s="62">
        <f t="shared" si="44"/>
        <v>339.49697153894937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3.3333333333333335</v>
      </c>
      <c r="EJ8" s="13">
        <f>IF('Données projet'!$A$192&gt;35,EJ7+EI8-ER7,IF(A8&lt;'Données projet'!$A$192,$EG$205^A8,IF(A8='Données projet'!$A$192,'Données projet'!$B$192,EJ7+EI8-ER7)))</f>
        <v>3.6840314986403868</v>
      </c>
      <c r="EK8" s="18">
        <f>EJ8*VLOOKUP('Données projet'!$B$15,Paramètres!$A$1:$I$89,3,0)*VLOOKUP('Données projet'!$B$15,Paramètres!$A$1:$I$89,5,0)</f>
        <v>2.4712483292879717</v>
      </c>
      <c r="EL8" s="14">
        <f t="shared" si="45"/>
        <v>1.0250215260762008</v>
      </c>
      <c r="EM8" s="22">
        <f t="shared" si="19"/>
        <v>6.0893366647592657</v>
      </c>
      <c r="EN8" s="62">
        <f t="shared" si="20"/>
        <v>268.86711444253706</v>
      </c>
      <c r="EO8" s="62">
        <f ca="1">AVERAGE(OFFSET($EN$3,0,0,'Données projet'!$E$15+1,1))-AVERAGE(OFFSET($H$3,0,0,'Données projet'!$E$15+1,1))</f>
        <v>312.06797204903796</v>
      </c>
      <c r="EP8" s="62">
        <f t="shared" si="46"/>
        <v>258.20189001775151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2.1</v>
      </c>
      <c r="FE8" s="13">
        <f>IF('Données projet'!$A$218&gt;35,FE7+FD8-FM7,IF(A8&lt;'Données projet'!$A$218,$FB$205^A8,IF(A8='Données projet'!$A$218,'Données projet'!$B$218,FE7+FD8-FM7)))</f>
        <v>2.5457298950218314</v>
      </c>
      <c r="FF8" s="18">
        <f>FE8*VLOOKUP('Données projet'!$B$16,Paramètres!$A$1:$I$89,3,0)*VLOOKUP('Données projet'!$B$16,Paramètres!$A$1:$I$89,5,0)</f>
        <v>2.4622299544651152</v>
      </c>
      <c r="FG8" s="14">
        <f t="shared" si="47"/>
        <v>1.021715601495419</v>
      </c>
      <c r="FH8" s="22">
        <f t="shared" si="22"/>
        <v>6.0678718432979295</v>
      </c>
      <c r="FI8" s="62">
        <f t="shared" si="23"/>
        <v>268.84564962107572</v>
      </c>
      <c r="FJ8" s="62">
        <f ca="1">AVERAGE(OFFSET($FI$3,0,0,'Données projet'!$E$16+1,1))-AVERAGE(OFFSET($H$3,0,0,'Données projet'!$E$16+1,1))</f>
        <v>455.50822833641354</v>
      </c>
      <c r="FK8" s="62">
        <f t="shared" si="48"/>
        <v>261.14722581688039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7.7987854251012134</v>
      </c>
      <c r="N9" s="14">
        <f>IF('Données projet'!$A$36&gt;35,N8+M9-V8,IF(A9&lt;'Données projet'!$A$36,$K$205^A9,IF(A9='Données projet'!$A$36,'Données projet'!$B$36,N8+M9-V8)))</f>
        <v>4.8474088835420224</v>
      </c>
      <c r="O9" s="14">
        <f>N9*VLOOKUP('Données projet'!$B$9,Paramètres!$A$1:$I$89,3,0)*VLOOKUP('Données projet'!$B$9,Paramètres!$A$1:$I$89,5,0)</f>
        <v>2.7097015658999908</v>
      </c>
      <c r="P9" s="14">
        <f t="shared" si="33"/>
        <v>1.1119402957316735</v>
      </c>
      <c r="Q9" s="22">
        <f t="shared" si="2"/>
        <v>6.6560262423418139</v>
      </c>
      <c r="R9" s="62">
        <f t="shared" si="0"/>
        <v>270.6560262423418</v>
      </c>
      <c r="S9" s="62">
        <f ca="1">AVERAGE(OFFSET($R$3,0,0,'Données projet'!$E$9+1,1))-AVERAGE(OFFSET($H$3,0,0,'Données projet'!$E$9+1,1))</f>
        <v>323.98185264074681</v>
      </c>
      <c r="T9" s="62">
        <f t="shared" si="34"/>
        <v>301.22207291854005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5.2912820512820513</v>
      </c>
      <c r="AI9" s="14">
        <f>IF('Données projet'!$A$62&gt;35,AI8+AH9-AQ8,IF(A9&lt;'Données projet'!$A$62,$AF$205^A9,IF(A9='Données projet'!$A$62,'Données projet'!$B$62,AI8+AH9-AQ8)))</f>
        <v>2.7550940787316796</v>
      </c>
      <c r="AJ9" s="14">
        <f>AI9*VLOOKUP('Données projet'!$B$10,Paramètres!$A$1:$I$89,3,0)*VLOOKUP('Données projet'!$B$10,Paramètres!$A$1:$I$89,5,0)</f>
        <v>1.289384028846426</v>
      </c>
      <c r="AK9" s="14">
        <f t="shared" si="35"/>
        <v>0.57688049230914107</v>
      </c>
      <c r="AL9" s="22">
        <f t="shared" si="4"/>
        <v>3.2504107076792792</v>
      </c>
      <c r="AM9" s="62">
        <f t="shared" si="5"/>
        <v>267.25041070767929</v>
      </c>
      <c r="AN9" s="62">
        <f ca="1">AVERAGE(OFFSET($AM$3,0,0,'Données projet'!$E$10+1,1))-AVERAGE(OFFSET($H$3,0,0,'Données projet'!$E$10+1,1))</f>
        <v>276.78862011733338</v>
      </c>
      <c r="AO9" s="62">
        <f t="shared" si="36"/>
        <v>202.1678469635836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2.7766898902321886</v>
      </c>
      <c r="BF9" s="14">
        <f t="shared" si="37"/>
        <v>1.1361949561012803</v>
      </c>
      <c r="BG9" s="22">
        <f t="shared" si="7"/>
        <v>6.8149411073641248</v>
      </c>
      <c r="BH9" s="62">
        <f t="shared" si="8"/>
        <v>270.81494110736412</v>
      </c>
      <c r="BI9" s="62">
        <f ca="1">AVERAGE(OFFSET($BH$3,0,0,'Données projet'!$E$11+1,1))-AVERAGE(OFFSET($H$3,0,0,'Données projet'!$E$11+1,1))</f>
        <v>428.8489304403459</v>
      </c>
      <c r="BJ9" s="62">
        <f t="shared" si="38"/>
        <v>247.01165577562966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2.3805128205128203</v>
      </c>
      <c r="BY9" s="13">
        <f>IF('Données projet'!$A$114&gt;35,BY8+BX9-CG8,IF(A9&lt;'Données projet'!$A$114,$BV$205^A9,IF(A9='Données projet'!$A$114,'Données projet'!$B$114,BY8+BX9-CG8)))</f>
        <v>4.1793112262558481</v>
      </c>
      <c r="BZ9" s="14">
        <f>BY9*VLOOKUP('Données projet'!$B$12,Paramètres!$A$1:$I$89,3,0)*VLOOKUP('Données projet'!$B$12,Paramètres!$A$1:$I$89,5,0)</f>
        <v>2.4992281133009975</v>
      </c>
      <c r="CA9" s="14">
        <f t="shared" si="39"/>
        <v>1.0352693484653335</v>
      </c>
      <c r="CB9" s="22">
        <f t="shared" si="10"/>
        <v>6.1559164125763592</v>
      </c>
      <c r="CC9" s="62">
        <f t="shared" si="11"/>
        <v>270.15591641257635</v>
      </c>
      <c r="CD9" s="62">
        <f ca="1">AVERAGE(OFFSET($CC$3,0,0,'Données projet'!$E$12+1,1))-AVERAGE(OFFSET($H$3,0,0,'Données projet'!$E$12+1,1))</f>
        <v>289.12367833861299</v>
      </c>
      <c r="CE9" s="62">
        <f t="shared" si="40"/>
        <v>229.06617320689003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1.1099999999999999</v>
      </c>
      <c r="CT9" s="13">
        <f>IF('Données projet'!$A$140&gt;35,CT8+CS9-DB8,IF(A9&lt;'Données projet'!$A$140,$CQ$205^A9,IF(A9='Données projet'!$A$140,'Données projet'!$B$140,CT8+CS9-DB8)))</f>
        <v>4.2383204267167436</v>
      </c>
      <c r="CU9" s="18">
        <f>CT9*VLOOKUP('Données projet'!$B$13,Paramètres!$A$1:$I$89,3,0)*VLOOKUP('Données projet'!$B$13,Paramètres!$A$1:$I$89,5,0)</f>
        <v>3.3720077314958417</v>
      </c>
      <c r="CV9" s="14">
        <f t="shared" si="41"/>
        <v>1.3489454823501079</v>
      </c>
      <c r="CW9" s="22">
        <f t="shared" si="13"/>
        <v>8.2223268474483628</v>
      </c>
      <c r="CX9" s="62">
        <f t="shared" si="14"/>
        <v>272.22232684744836</v>
      </c>
      <c r="CY9" s="62">
        <f ca="1">AVERAGE(OFFSET($CX$3,0,0,'Données projet'!$E$13+1,1))-AVERAGE(OFFSET($H$3,0,0,'Données projet'!$E$13+1,1))</f>
        <v>370.59298168107364</v>
      </c>
      <c r="CZ9" s="62">
        <f t="shared" si="42"/>
        <v>404.61777090709171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2.2999999999999998</v>
      </c>
      <c r="DO9" s="13">
        <f>IF('Données projet'!$A$166&gt;35,DO8+DN9-DW8,IF(A9&lt;'Données projet'!$A$166,$DL$205^A9,IF(A9='Données projet'!$A$166,'Données projet'!$B$166,DO8+DN9-DW8)))</f>
        <v>6.5620071855158564</v>
      </c>
      <c r="DP9" s="18">
        <f>DO9*VLOOKUP('Données projet'!$B$14,Paramètres!$A$1:$I$89,3,0)*VLOOKUP('Données projet'!$B$14,Paramètres!$A$1:$I$89,5,0)</f>
        <v>5.7325694772666536</v>
      </c>
      <c r="DQ9" s="14">
        <f t="shared" si="43"/>
        <v>2.1559045554135094</v>
      </c>
      <c r="DR9" s="22">
        <f t="shared" si="16"/>
        <v>13.739092273584617</v>
      </c>
      <c r="DS9" s="62">
        <f t="shared" si="17"/>
        <v>277.73909227358462</v>
      </c>
      <c r="DT9" s="62">
        <f ca="1">AVERAGE(OFFSET($DS$3,0,0,'Données projet'!$E$14+1,1))-AVERAGE(OFFSET($H$3,0,0,'Données projet'!$E$14+1,1))</f>
        <v>341.65872153228599</v>
      </c>
      <c r="DU9" s="62">
        <f t="shared" si="44"/>
        <v>339.49697153894937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3.3333333333333335</v>
      </c>
      <c r="EJ9" s="13">
        <f>IF('Données projet'!$A$192&gt;35,EJ8+EI9-ER8,IF(A9&lt;'Données projet'!$A$192,$EG$205^A9,IF(A9='Données projet'!$A$192,'Données projet'!$B$192,EJ8+EI9-ER8)))</f>
        <v>4.7817624989501848</v>
      </c>
      <c r="EK9" s="18">
        <f>EJ9*VLOOKUP('Données projet'!$B$15,Paramètres!$A$1:$I$89,3,0)*VLOOKUP('Données projet'!$B$15,Paramètres!$A$1:$I$89,5,0)</f>
        <v>3.2076062842957844</v>
      </c>
      <c r="EL9" s="14">
        <f t="shared" si="45"/>
        <v>1.2906653345014574</v>
      </c>
      <c r="EM9" s="22">
        <f t="shared" si="19"/>
        <v>7.8344897360718626</v>
      </c>
      <c r="EN9" s="62">
        <f t="shared" si="20"/>
        <v>271.83448973607187</v>
      </c>
      <c r="EO9" s="62">
        <f ca="1">AVERAGE(OFFSET($EN$3,0,0,'Données projet'!$E$15+1,1))-AVERAGE(OFFSET($H$3,0,0,'Données projet'!$E$15+1,1))</f>
        <v>312.06797204903796</v>
      </c>
      <c r="EP9" s="62">
        <f t="shared" si="46"/>
        <v>258.20189001775151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2.1</v>
      </c>
      <c r="FE9" s="13">
        <f>IF('Données projet'!$A$218&gt;35,FE8+FD9-FM8,IF(A9&lt;'Données projet'!$A$218,$FB$205^A9,IF(A9='Données projet'!$A$218,'Données projet'!$B$218,FE8+FD9-FM8)))</f>
        <v>3.0688438220956993</v>
      </c>
      <c r="FF9" s="18">
        <f>FE9*VLOOKUP('Données projet'!$B$16,Paramètres!$A$1:$I$89,3,0)*VLOOKUP('Données projet'!$B$16,Paramètres!$A$1:$I$89,5,0)</f>
        <v>2.9681857447309605</v>
      </c>
      <c r="FG9" s="14">
        <f t="shared" si="47"/>
        <v>1.2051613041728233</v>
      </c>
      <c r="FH9" s="22">
        <f t="shared" si="22"/>
        <v>7.2685794435074236</v>
      </c>
      <c r="FI9" s="62">
        <f t="shared" si="23"/>
        <v>271.26857944350741</v>
      </c>
      <c r="FJ9" s="62">
        <f ca="1">AVERAGE(OFFSET($FI$3,0,0,'Données projet'!$E$16+1,1))-AVERAGE(OFFSET($H$3,0,0,'Données projet'!$E$16+1,1))</f>
        <v>455.50822833641354</v>
      </c>
      <c r="FK9" s="62">
        <f t="shared" si="48"/>
        <v>261.14722581688039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7.7987854251012134</v>
      </c>
      <c r="N10" s="14">
        <f>IF('Données projet'!$A$36&gt;35,N9+M10-V9,IF(A10&lt;'Données projet'!$A$36,$K$205^A10,IF(A10='Données projet'!$A$36,'Données projet'!$B$36,N9+M10-V9)))</f>
        <v>6.3061059552020682</v>
      </c>
      <c r="O10" s="14">
        <f>N10*VLOOKUP('Données projet'!$B$9,Paramètres!$A$1:$I$89,3,0)*VLOOKUP('Données projet'!$B$9,Paramètres!$A$1:$I$89,5,0)</f>
        <v>3.5251132289579559</v>
      </c>
      <c r="P10" s="14">
        <f t="shared" si="33"/>
        <v>1.4029241483397099</v>
      </c>
      <c r="Q10" s="22">
        <f t="shared" si="2"/>
        <v>8.5829984321267663</v>
      </c>
      <c r="R10" s="62">
        <f t="shared" si="0"/>
        <v>273.805220654349</v>
      </c>
      <c r="S10" s="62">
        <f ca="1">AVERAGE(OFFSET($R$3,0,0,'Données projet'!$E$9+1,1))-AVERAGE(OFFSET($H$3,0,0,'Données projet'!$E$9+1,1))</f>
        <v>323.98185264074681</v>
      </c>
      <c r="T10" s="62">
        <f t="shared" si="34"/>
        <v>301.22207291854005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5.2912820512820513</v>
      </c>
      <c r="AI10" s="14">
        <f>IF('Données projet'!$A$62&gt;35,AI9+AH10-AQ9,IF(A10&lt;'Données projet'!$A$62,$AF$205^A10,IF(A10='Données projet'!$A$62,'Données projet'!$B$62,AI9+AH10-AQ9)))</f>
        <v>3.2620642117317376</v>
      </c>
      <c r="AJ10" s="14">
        <f>AI10*VLOOKUP('Données projet'!$B$10,Paramètres!$A$1:$I$89,3,0)*VLOOKUP('Données projet'!$B$10,Paramètres!$A$1:$I$89,5,0)</f>
        <v>1.5266460510904531</v>
      </c>
      <c r="AK10" s="14">
        <f t="shared" si="35"/>
        <v>0.66973543652934475</v>
      </c>
      <c r="AL10" s="22">
        <f t="shared" si="4"/>
        <v>3.825364424271148</v>
      </c>
      <c r="AM10" s="62">
        <f t="shared" si="5"/>
        <v>269.04758664649336</v>
      </c>
      <c r="AN10" s="62">
        <f ca="1">AVERAGE(OFFSET($AM$3,0,0,'Données projet'!$E$10+1,1))-AVERAGE(OFFSET($H$3,0,0,'Données projet'!$E$10+1,1))</f>
        <v>276.78862011733338</v>
      </c>
      <c r="AO10" s="62">
        <f t="shared" si="36"/>
        <v>202.1678469635836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3.3472630510321921</v>
      </c>
      <c r="BF10" s="14">
        <f t="shared" si="37"/>
        <v>1.34019505338418</v>
      </c>
      <c r="BG10" s="22">
        <f t="shared" si="7"/>
        <v>8.1639895318585136</v>
      </c>
      <c r="BH10" s="62">
        <f t="shared" si="8"/>
        <v>273.38621175408076</v>
      </c>
      <c r="BI10" s="62">
        <f ca="1">AVERAGE(OFFSET($BH$3,0,0,'Données projet'!$E$11+1,1))-AVERAGE(OFFSET($H$3,0,0,'Données projet'!$E$11+1,1))</f>
        <v>428.8489304403459</v>
      </c>
      <c r="BJ10" s="62">
        <f t="shared" si="38"/>
        <v>247.01165577562966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2.3805128205128203</v>
      </c>
      <c r="BY10" s="13">
        <f>IF('Données projet'!$A$114&gt;35,BY9+BX10-CG9,IF(A10&lt;'Données projet'!$A$114,$BV$205^A10,IF(A10='Données projet'!$A$114,'Données projet'!$B$114,BY9+BX10-CG9)))</f>
        <v>5.304227780361269</v>
      </c>
      <c r="BZ10" s="14">
        <f>BY10*VLOOKUP('Données projet'!$B$12,Paramètres!$A$1:$I$89,3,0)*VLOOKUP('Données projet'!$B$12,Paramètres!$A$1:$I$89,5,0)</f>
        <v>3.1719282126560389</v>
      </c>
      <c r="CA10" s="14">
        <f t="shared" si="39"/>
        <v>1.2779721120125676</v>
      </c>
      <c r="CB10" s="22">
        <f t="shared" si="10"/>
        <v>7.7502430654644883</v>
      </c>
      <c r="CC10" s="62">
        <f t="shared" si="11"/>
        <v>272.9724652876867</v>
      </c>
      <c r="CD10" s="62">
        <f ca="1">AVERAGE(OFFSET($CC$3,0,0,'Données projet'!$E$12+1,1))-AVERAGE(OFFSET($H$3,0,0,'Données projet'!$E$12+1,1))</f>
        <v>289.12367833861299</v>
      </c>
      <c r="CE10" s="62">
        <f t="shared" si="40"/>
        <v>229.06617320689003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1.1099999999999999</v>
      </c>
      <c r="CT10" s="13">
        <f>IF('Données projet'!$A$140&gt;35,CT9+CS10-DB9,IF(A10&lt;'Données projet'!$A$140,$CQ$205^A10,IF(A10='Données projet'!$A$140,'Données projet'!$B$140,CT9+CS10-DB9)))</f>
        <v>5.3917045384267919</v>
      </c>
      <c r="CU10" s="18">
        <f>CT10*VLOOKUP('Données projet'!$B$13,Paramètres!$A$1:$I$89,3,0)*VLOOKUP('Données projet'!$B$13,Paramètres!$A$1:$I$89,5,0)</f>
        <v>4.289640130772356</v>
      </c>
      <c r="CV10" s="14">
        <f t="shared" si="41"/>
        <v>1.6686264997708673</v>
      </c>
      <c r="CW10" s="22">
        <f t="shared" si="13"/>
        <v>10.377314381529446</v>
      </c>
      <c r="CX10" s="62">
        <f t="shared" si="14"/>
        <v>275.59953660375169</v>
      </c>
      <c r="CY10" s="62">
        <f ca="1">AVERAGE(OFFSET($CX$3,0,0,'Données projet'!$E$13+1,1))-AVERAGE(OFFSET($H$3,0,0,'Données projet'!$E$13+1,1))</f>
        <v>370.59298168107364</v>
      </c>
      <c r="CZ10" s="62">
        <f t="shared" si="42"/>
        <v>404.61777090709171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2.2999999999999998</v>
      </c>
      <c r="DO10" s="13">
        <f>IF('Données projet'!$A$166&gt;35,DO9+DN10-DW9,IF(A10&lt;'Données projet'!$A$166,$DL$205^A10,IF(A10='Données projet'!$A$166,'Données projet'!$B$166,DO9+DN10-DW9)))</f>
        <v>8.9786178045341511</v>
      </c>
      <c r="DP10" s="18">
        <f>DO10*VLOOKUP('Données projet'!$B$14,Paramètres!$A$1:$I$89,3,0)*VLOOKUP('Données projet'!$B$14,Paramètres!$A$1:$I$89,5,0)</f>
        <v>7.8437205140410358</v>
      </c>
      <c r="DQ10" s="14">
        <f t="shared" si="43"/>
        <v>2.8441454451868036</v>
      </c>
      <c r="DR10" s="22">
        <f t="shared" si="16"/>
        <v>18.614699878988485</v>
      </c>
      <c r="DS10" s="62">
        <f t="shared" si="17"/>
        <v>283.83692210121069</v>
      </c>
      <c r="DT10" s="62">
        <f ca="1">AVERAGE(OFFSET($DS$3,0,0,'Données projet'!$E$14+1,1))-AVERAGE(OFFSET($H$3,0,0,'Données projet'!$E$14+1,1))</f>
        <v>341.65872153228599</v>
      </c>
      <c r="DU10" s="62">
        <f t="shared" si="44"/>
        <v>339.49697153894937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3.3333333333333335</v>
      </c>
      <c r="EJ10" s="13">
        <f>IF('Données projet'!$A$192&gt;35,EJ9+EI10-ER9,IF(A10&lt;'Données projet'!$A$192,$EG$205^A10,IF(A10='Données projet'!$A$192,'Données projet'!$B$192,EJ9+EI10-ER9)))</f>
        <v>6.2065844455469161</v>
      </c>
      <c r="EK10" s="18">
        <f>EJ10*VLOOKUP('Données projet'!$B$15,Paramètres!$A$1:$I$89,3,0)*VLOOKUP('Données projet'!$B$15,Paramètres!$A$1:$I$89,5,0)</f>
        <v>4.1633768460728717</v>
      </c>
      <c r="EL10" s="14">
        <f t="shared" si="45"/>
        <v>1.6251531926949223</v>
      </c>
      <c r="EM10" s="22">
        <f t="shared" si="19"/>
        <v>10.081689817520575</v>
      </c>
      <c r="EN10" s="62">
        <f t="shared" si="20"/>
        <v>275.30391203974278</v>
      </c>
      <c r="EO10" s="62">
        <f ca="1">AVERAGE(OFFSET($EN$3,0,0,'Données projet'!$E$15+1,1))-AVERAGE(OFFSET($H$3,0,0,'Données projet'!$E$15+1,1))</f>
        <v>312.06797204903796</v>
      </c>
      <c r="EP10" s="62">
        <f t="shared" si="46"/>
        <v>258.20189001775151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2.1</v>
      </c>
      <c r="FE10" s="13">
        <f>IF('Données projet'!$A$218&gt;35,FE9+FD10-FM9,IF(A10&lt;'Données projet'!$A$218,$FB$205^A10,IF(A10='Données projet'!$A$218,'Données projet'!$B$218,FE9+FD10-FM9)))</f>
        <v>3.6994507637402658</v>
      </c>
      <c r="FF10" s="18">
        <f>FE10*VLOOKUP('Données projet'!$B$16,Paramètres!$A$1:$I$89,3,0)*VLOOKUP('Données projet'!$B$16,Paramètres!$A$1:$I$89,5,0)</f>
        <v>3.5781087786895851</v>
      </c>
      <c r="FG10" s="14">
        <f t="shared" si="47"/>
        <v>1.4215440842341414</v>
      </c>
      <c r="FH10" s="22">
        <f t="shared" si="22"/>
        <v>8.707728736258824</v>
      </c>
      <c r="FI10" s="62">
        <f t="shared" si="23"/>
        <v>273.92995095848107</v>
      </c>
      <c r="FJ10" s="62">
        <f ca="1">AVERAGE(OFFSET($FI$3,0,0,'Données projet'!$E$16+1,1))-AVERAGE(OFFSET($H$3,0,0,'Données projet'!$E$16+1,1))</f>
        <v>455.50822833641354</v>
      </c>
      <c r="FK10" s="62">
        <f t="shared" si="48"/>
        <v>261.14722581688039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7.7987854251012134</v>
      </c>
      <c r="N11" s="14">
        <f>IF('Données projet'!$A$36&gt;35,N10+M11-V10,IF(A11&lt;'Données projet'!$A$36,$K$205^A11,IF(A11='Données projet'!$A$36,'Données projet'!$B$36,N10+M11-V10)))</f>
        <v>8.2037586004457506</v>
      </c>
      <c r="O11" s="14">
        <f>N11*VLOOKUP('Données projet'!$B$9,Paramètres!$A$1:$I$89,3,0)*VLOOKUP('Données projet'!$B$9,Paramètres!$A$1:$I$89,5,0)</f>
        <v>4.5859010576491741</v>
      </c>
      <c r="P11" s="14">
        <f t="shared" si="33"/>
        <v>1.770055616789747</v>
      </c>
      <c r="Q11" s="22">
        <f t="shared" si="2"/>
        <v>11.069957874647789</v>
      </c>
      <c r="R11" s="62">
        <f t="shared" si="0"/>
        <v>277.51440231909226</v>
      </c>
      <c r="S11" s="62">
        <f ca="1">AVERAGE(OFFSET($R$3,0,0,'Données projet'!$E$9+1,1))-AVERAGE(OFFSET($H$3,0,0,'Données projet'!$E$9+1,1))</f>
        <v>323.98185264074681</v>
      </c>
      <c r="T11" s="62">
        <f t="shared" si="34"/>
        <v>301.22207291854005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5.2912820512820513</v>
      </c>
      <c r="AI11" s="14">
        <f>IF('Données projet'!$A$62&gt;35,AI10+AH11-AQ10,IF(A11&lt;'Données projet'!$A$62,$AF$205^A11,IF(A11='Données projet'!$A$62,'Données projet'!$B$62,AI10+AH11-AQ10)))</f>
        <v>3.8623228889373045</v>
      </c>
      <c r="AJ11" s="14">
        <f>AI11*VLOOKUP('Données projet'!$B$10,Paramètres!$A$1:$I$89,3,0)*VLOOKUP('Données projet'!$B$10,Paramètres!$A$1:$I$89,5,0)</f>
        <v>1.8075671120226584</v>
      </c>
      <c r="AK11" s="14">
        <f t="shared" si="35"/>
        <v>0.77753635444962066</v>
      </c>
      <c r="AL11" s="22">
        <f t="shared" si="4"/>
        <v>4.5023885374392192</v>
      </c>
      <c r="AM11" s="62">
        <f t="shared" si="5"/>
        <v>270.94683298188369</v>
      </c>
      <c r="AN11" s="62">
        <f ca="1">AVERAGE(OFFSET($AM$3,0,0,'Données projet'!$E$10+1,1))-AVERAGE(OFFSET($H$3,0,0,'Données projet'!$E$10+1,1))</f>
        <v>276.78862011733338</v>
      </c>
      <c r="AO11" s="62">
        <f t="shared" si="36"/>
        <v>202.1678469635836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4.0350814731667564</v>
      </c>
      <c r="BF11" s="14">
        <f t="shared" si="37"/>
        <v>1.5808227025391921</v>
      </c>
      <c r="BG11" s="22">
        <f t="shared" si="7"/>
        <v>9.7810331060211926</v>
      </c>
      <c r="BH11" s="62">
        <f t="shared" si="8"/>
        <v>276.22547755046565</v>
      </c>
      <c r="BI11" s="62">
        <f ca="1">AVERAGE(OFFSET($BH$3,0,0,'Données projet'!$E$11+1,1))-AVERAGE(OFFSET($H$3,0,0,'Données projet'!$E$11+1,1))</f>
        <v>428.8489304403459</v>
      </c>
      <c r="BJ11" s="62">
        <f t="shared" si="38"/>
        <v>247.01165577562966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2.3805128205128203</v>
      </c>
      <c r="BY11" s="13">
        <f>IF('Données projet'!$A$114&gt;35,BY10+BX11-CG10,IF(A11&lt;'Données projet'!$A$114,$BV$205^A11,IF(A11='Données projet'!$A$114,'Données projet'!$B$114,BY10+BX11-CG10)))</f>
        <v>6.7319304121702404</v>
      </c>
      <c r="BZ11" s="14">
        <f>BY11*VLOOKUP('Données projet'!$B$12,Paramètres!$A$1:$I$89,3,0)*VLOOKUP('Données projet'!$B$12,Paramètres!$A$1:$I$89,5,0)</f>
        <v>4.0256943864778041</v>
      </c>
      <c r="CA11" s="14">
        <f t="shared" si="39"/>
        <v>1.5775727558271786</v>
      </c>
      <c r="CB11" s="22">
        <f t="shared" si="10"/>
        <v>9.759023606181179</v>
      </c>
      <c r="CC11" s="62">
        <f t="shared" si="11"/>
        <v>276.20346805062564</v>
      </c>
      <c r="CD11" s="62">
        <f ca="1">AVERAGE(OFFSET($CC$3,0,0,'Données projet'!$E$12+1,1))-AVERAGE(OFFSET($H$3,0,0,'Données projet'!$E$12+1,1))</f>
        <v>289.12367833861299</v>
      </c>
      <c r="CE11" s="62">
        <f t="shared" si="40"/>
        <v>229.06617320689003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1.1099999999999999</v>
      </c>
      <c r="CT11" s="13">
        <f>IF('Données projet'!$A$140&gt;35,CT10+CS11-DB10,IF(A11&lt;'Données projet'!$A$140,$CQ$205^A11,IF(A11='Données projet'!$A$140,'Données projet'!$B$140,CT10+CS11-DB10)))</f>
        <v>6.8589617827012184</v>
      </c>
      <c r="CU11" s="18">
        <f>CT11*VLOOKUP('Données projet'!$B$13,Paramètres!$A$1:$I$89,3,0)*VLOOKUP('Données projet'!$B$13,Paramètres!$A$1:$I$89,5,0)</f>
        <v>5.4569899943170901</v>
      </c>
      <c r="CV11" s="14">
        <f t="shared" si="41"/>
        <v>2.0640674009203073</v>
      </c>
      <c r="CW11" s="22">
        <f t="shared" si="13"/>
        <v>13.0991749633718</v>
      </c>
      <c r="CX11" s="62">
        <f t="shared" si="14"/>
        <v>279.54361940781627</v>
      </c>
      <c r="CY11" s="62">
        <f ca="1">AVERAGE(OFFSET($CX$3,0,0,'Données projet'!$E$13+1,1))-AVERAGE(OFFSET($H$3,0,0,'Données projet'!$E$13+1,1))</f>
        <v>370.59298168107364</v>
      </c>
      <c r="CZ11" s="62">
        <f t="shared" si="42"/>
        <v>404.61777090709171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2.2999999999999998</v>
      </c>
      <c r="DO11" s="13">
        <f>IF('Données projet'!$A$166&gt;35,DO10+DN11-DW10,IF(A11&lt;'Données projet'!$A$166,$DL$205^A11,IF(A11='Données projet'!$A$166,'Données projet'!$B$166,DO10+DN11-DW10)))</f>
        <v>12.285201067417038</v>
      </c>
      <c r="DP11" s="18">
        <f>DO11*VLOOKUP('Données projet'!$B$14,Paramètres!$A$1:$I$89,3,0)*VLOOKUP('Données projet'!$B$14,Paramètres!$A$1:$I$89,5,0)</f>
        <v>10.732351652495526</v>
      </c>
      <c r="DQ11" s="14">
        <f t="shared" si="43"/>
        <v>3.7520971385606225</v>
      </c>
      <c r="DR11" s="22">
        <f t="shared" si="16"/>
        <v>25.227081644422793</v>
      </c>
      <c r="DS11" s="62">
        <f t="shared" si="17"/>
        <v>291.67152608886727</v>
      </c>
      <c r="DT11" s="62">
        <f ca="1">AVERAGE(OFFSET($DS$3,0,0,'Données projet'!$E$14+1,1))-AVERAGE(OFFSET($H$3,0,0,'Données projet'!$E$14+1,1))</f>
        <v>341.65872153228599</v>
      </c>
      <c r="DU11" s="62">
        <f t="shared" si="44"/>
        <v>339.49697153894937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3.3333333333333335</v>
      </c>
      <c r="EJ11" s="13">
        <f>IF('Données projet'!$A$192&gt;35,EJ10+EI11-ER10,IF(A11&lt;'Données projet'!$A$192,$EG$205^A11,IF(A11='Données projet'!$A$192,'Données projet'!$B$192,EJ10+EI11-ER10)))</f>
        <v>8.0559606396516319</v>
      </c>
      <c r="EK11" s="18">
        <f>EJ11*VLOOKUP('Données projet'!$B$15,Paramètres!$A$1:$I$89,3,0)*VLOOKUP('Données projet'!$B$15,Paramètres!$A$1:$I$89,5,0)</f>
        <v>5.4039383970783144</v>
      </c>
      <c r="EL11" s="14">
        <f t="shared" si="45"/>
        <v>2.0463266728603036</v>
      </c>
      <c r="EM11" s="22">
        <f t="shared" si="19"/>
        <v>12.975878330143091</v>
      </c>
      <c r="EN11" s="62">
        <f t="shared" si="20"/>
        <v>279.42032277458753</v>
      </c>
      <c r="EO11" s="62">
        <f ca="1">AVERAGE(OFFSET($EN$3,0,0,'Données projet'!$E$15+1,1))-AVERAGE(OFFSET($H$3,0,0,'Données projet'!$E$15+1,1))</f>
        <v>312.06797204903796</v>
      </c>
      <c r="EP11" s="62">
        <f t="shared" si="46"/>
        <v>258.20189001775151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2.1</v>
      </c>
      <c r="FE11" s="13">
        <f>IF('Données projet'!$A$218&gt;35,FE10+FD11-FM10,IF(A11&lt;'Données projet'!$A$218,$FB$205^A11,IF(A11='Données projet'!$A$218,'Données projet'!$B$218,FE10+FD11-FM10)))</f>
        <v>4.4596391171162209</v>
      </c>
      <c r="FF11" s="18">
        <f>FE11*VLOOKUP('Données projet'!$B$16,Paramètres!$A$1:$I$89,3,0)*VLOOKUP('Données projet'!$B$16,Paramètres!$A$1:$I$89,5,0)</f>
        <v>4.3133629540748091</v>
      </c>
      <c r="FG11" s="14">
        <f t="shared" si="47"/>
        <v>1.6767776864592203</v>
      </c>
      <c r="FH11" s="22">
        <f t="shared" si="22"/>
        <v>10.432828282263435</v>
      </c>
      <c r="FI11" s="62">
        <f t="shared" si="23"/>
        <v>276.87727272670787</v>
      </c>
      <c r="FJ11" s="62">
        <f ca="1">AVERAGE(OFFSET($FI$3,0,0,'Données projet'!$E$16+1,1))-AVERAGE(OFFSET($H$3,0,0,'Données projet'!$E$16+1,1))</f>
        <v>455.50822833641354</v>
      </c>
      <c r="FK11" s="62">
        <f t="shared" si="48"/>
        <v>261.14722581688039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7.7987854251012134</v>
      </c>
      <c r="N12" s="14">
        <f>IF('Données projet'!$A$36&gt;35,N11+M12-V11,IF(A12&lt;'Données projet'!$A$36,$K$205^A12,IF(A12='Données projet'!$A$36,'Données projet'!$B$36,N11+M12-V11)))</f>
        <v>10.672458669818059</v>
      </c>
      <c r="O12" s="14">
        <f>N12*VLOOKUP('Données projet'!$B$9,Paramètres!$A$1:$I$89,3,0)*VLOOKUP('Données projet'!$B$9,Paramètres!$A$1:$I$89,5,0)</f>
        <v>5.9659043964282947</v>
      </c>
      <c r="P12" s="14">
        <f t="shared" si="33"/>
        <v>2.2332617841362223</v>
      </c>
      <c r="Q12" s="22">
        <f t="shared" si="2"/>
        <v>14.280214431149867</v>
      </c>
      <c r="R12" s="62">
        <f t="shared" si="0"/>
        <v>281.94688109781657</v>
      </c>
      <c r="S12" s="62">
        <f ca="1">AVERAGE(OFFSET($R$3,0,0,'Données projet'!$E$9+1,1))-AVERAGE(OFFSET($H$3,0,0,'Données projet'!$E$9+1,1))</f>
        <v>323.98185264074681</v>
      </c>
      <c r="T12" s="62">
        <f t="shared" si="34"/>
        <v>301.22207291854005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5.2912820512820513</v>
      </c>
      <c r="AI12" s="14">
        <f>IF('Données projet'!$A$62&gt;35,AI11+AH12-AQ11,IF(A12&lt;'Données projet'!$A$62,$AF$205^A12,IF(A12='Données projet'!$A$62,'Données projet'!$B$62,AI11+AH12-AQ11)))</f>
        <v>4.5730363138651118</v>
      </c>
      <c r="AJ12" s="14">
        <f>AI12*VLOOKUP('Données projet'!$B$10,Paramètres!$A$1:$I$89,3,0)*VLOOKUP('Données projet'!$B$10,Paramètres!$A$1:$I$89,5,0)</f>
        <v>2.1401809948888726</v>
      </c>
      <c r="AK12" s="14">
        <f t="shared" si="35"/>
        <v>0.90268895673749705</v>
      </c>
      <c r="AL12" s="22">
        <f t="shared" si="4"/>
        <v>5.2996651657492606</v>
      </c>
      <c r="AM12" s="62">
        <f t="shared" si="5"/>
        <v>272.96633183241596</v>
      </c>
      <c r="AN12" s="62">
        <f ca="1">AVERAGE(OFFSET($AM$3,0,0,'Données projet'!$E$10+1,1))-AVERAGE(OFFSET($H$3,0,0,'Données projet'!$E$10+1,1))</f>
        <v>276.78862011733338</v>
      </c>
      <c r="AO12" s="62">
        <f t="shared" si="36"/>
        <v>202.1678469635836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4.8642375119197085</v>
      </c>
      <c r="BF12" s="14">
        <f t="shared" si="37"/>
        <v>1.8646542609995393</v>
      </c>
      <c r="BG12" s="22">
        <f t="shared" si="7"/>
        <v>11.719486504501022</v>
      </c>
      <c r="BH12" s="62">
        <f t="shared" si="8"/>
        <v>279.38615317116773</v>
      </c>
      <c r="BI12" s="62">
        <f ca="1">AVERAGE(OFFSET($BH$3,0,0,'Données projet'!$E$11+1,1))-AVERAGE(OFFSET($H$3,0,0,'Données projet'!$E$11+1,1))</f>
        <v>428.8489304403459</v>
      </c>
      <c r="BJ12" s="62">
        <f t="shared" si="38"/>
        <v>247.01165577562966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2.3805128205128203</v>
      </c>
      <c r="BY12" s="13">
        <f>IF('Données projet'!$A$114&gt;35,BY11+BX12-CG11,IF(A12&lt;'Données projet'!$A$114,$BV$205^A12,IF(A12='Données projet'!$A$114,'Données projet'!$B$114,BY11+BX12-CG11)))</f>
        <v>8.5439179746567984</v>
      </c>
      <c r="BZ12" s="14">
        <f>BY12*VLOOKUP('Données projet'!$B$12,Paramètres!$A$1:$I$89,3,0)*VLOOKUP('Données projet'!$B$12,Paramètres!$A$1:$I$89,5,0)</f>
        <v>5.1092629488447656</v>
      </c>
      <c r="CA12" s="14">
        <f t="shared" si="39"/>
        <v>1.9474101011553873</v>
      </c>
      <c r="CB12" s="22">
        <f t="shared" si="10"/>
        <v>12.290372228750266</v>
      </c>
      <c r="CC12" s="62">
        <f t="shared" si="11"/>
        <v>279.95703889541693</v>
      </c>
      <c r="CD12" s="62">
        <f ca="1">AVERAGE(OFFSET($CC$3,0,0,'Données projet'!$E$12+1,1))-AVERAGE(OFFSET($H$3,0,0,'Données projet'!$E$12+1,1))</f>
        <v>289.12367833861299</v>
      </c>
      <c r="CE12" s="62">
        <f t="shared" si="40"/>
        <v>229.06617320689003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1.1099999999999999</v>
      </c>
      <c r="CT12" s="13">
        <f>IF('Données projet'!$A$140&gt;35,CT11+CS12-DB11,IF(A12&lt;'Données projet'!$A$140,$CQ$205^A12,IF(A12='Données projet'!$A$140,'Données projet'!$B$140,CT11+CS12-DB11)))</f>
        <v>8.7255071937385704</v>
      </c>
      <c r="CU12" s="18">
        <f>CT12*VLOOKUP('Données projet'!$B$13,Paramètres!$A$1:$I$89,3,0)*VLOOKUP('Données projet'!$B$13,Paramètres!$A$1:$I$89,5,0)</f>
        <v>6.9420135233384066</v>
      </c>
      <c r="CV12" s="14">
        <f t="shared" si="41"/>
        <v>2.5532222076821487</v>
      </c>
      <c r="CW12" s="22">
        <f t="shared" si="13"/>
        <v>16.5375355648608</v>
      </c>
      <c r="CX12" s="62">
        <f t="shared" si="14"/>
        <v>284.20420223152746</v>
      </c>
      <c r="CY12" s="62">
        <f ca="1">AVERAGE(OFFSET($CX$3,0,0,'Données projet'!$E$13+1,1))-AVERAGE(OFFSET($H$3,0,0,'Données projet'!$E$13+1,1))</f>
        <v>370.59298168107364</v>
      </c>
      <c r="CZ12" s="62">
        <f t="shared" si="42"/>
        <v>404.61777090709171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2.2999999999999998</v>
      </c>
      <c r="DO12" s="13">
        <f>IF('Données projet'!$A$166&gt;35,DO11+DN12-DW11,IF(A12&lt;'Données projet'!$A$166,$DL$205^A12,IF(A12='Données projet'!$A$166,'Données projet'!$B$166,DO11+DN12-DW11)))</f>
        <v>16.809509943796456</v>
      </c>
      <c r="DP12" s="18">
        <f>DO12*VLOOKUP('Données projet'!$B$14,Paramètres!$A$1:$I$89,3,0)*VLOOKUP('Données projet'!$B$14,Paramètres!$A$1:$I$89,5,0)</f>
        <v>14.684787886900585</v>
      </c>
      <c r="DQ12" s="14">
        <f t="shared" si="43"/>
        <v>4.9498990851609408</v>
      </c>
      <c r="DR12" s="22">
        <f t="shared" si="16"/>
        <v>34.197079809673824</v>
      </c>
      <c r="DS12" s="62">
        <f t="shared" si="17"/>
        <v>301.86374647634051</v>
      </c>
      <c r="DT12" s="62">
        <f ca="1">AVERAGE(OFFSET($DS$3,0,0,'Données projet'!$E$14+1,1))-AVERAGE(OFFSET($H$3,0,0,'Données projet'!$E$14+1,1))</f>
        <v>341.65872153228599</v>
      </c>
      <c r="DU12" s="62">
        <f t="shared" si="44"/>
        <v>339.49697153894937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3.3333333333333335</v>
      </c>
      <c r="EJ12" s="13">
        <f>IF('Données projet'!$A$192&gt;35,EJ11+EI12-ER11,IF(A12&lt;'Données projet'!$A$192,$EG$205^A12,IF(A12='Données projet'!$A$192,'Données projet'!$B$192,EJ11+EI12-ER11)))</f>
        <v>10.456395525912733</v>
      </c>
      <c r="EK12" s="18">
        <f>EJ12*VLOOKUP('Données projet'!$B$15,Paramètres!$A$1:$I$89,3,0)*VLOOKUP('Données projet'!$B$15,Paramètres!$A$1:$I$89,5,0)</f>
        <v>7.0141501187822621</v>
      </c>
      <c r="EL12" s="14">
        <f t="shared" si="45"/>
        <v>2.5766511556462244</v>
      </c>
      <c r="EM12" s="22">
        <f t="shared" si="19"/>
        <v>16.70397888629628</v>
      </c>
      <c r="EN12" s="62">
        <f t="shared" si="20"/>
        <v>284.37064555296297</v>
      </c>
      <c r="EO12" s="62">
        <f ca="1">AVERAGE(OFFSET($EN$3,0,0,'Données projet'!$E$15+1,1))-AVERAGE(OFFSET($H$3,0,0,'Données projet'!$E$15+1,1))</f>
        <v>312.06797204903796</v>
      </c>
      <c r="EP12" s="62">
        <f t="shared" si="46"/>
        <v>258.20189001775151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2.1</v>
      </c>
      <c r="FE12" s="13">
        <f>IF('Données projet'!$A$218&gt;35,FE11+FD12-FM11,IF(A12&lt;'Données projet'!$A$218,$FB$205^A12,IF(A12='Données projet'!$A$218,'Données projet'!$B$218,FE11+FD12-FM11)))</f>
        <v>5.3760361537574148</v>
      </c>
      <c r="FF12" s="18">
        <f>FE12*VLOOKUP('Données projet'!$B$16,Paramètres!$A$1:$I$89,3,0)*VLOOKUP('Données projet'!$B$16,Paramètres!$A$1:$I$89,5,0)</f>
        <v>5.1997021679141717</v>
      </c>
      <c r="FG12" s="14">
        <f t="shared" si="47"/>
        <v>1.977837649208241</v>
      </c>
      <c r="FH12" s="22">
        <f t="shared" si="22"/>
        <v>12.500881848154869</v>
      </c>
      <c r="FI12" s="62">
        <f t="shared" si="23"/>
        <v>280.16754851482153</v>
      </c>
      <c r="FJ12" s="62">
        <f ca="1">AVERAGE(OFFSET($FI$3,0,0,'Données projet'!$E$16+1,1))-AVERAGE(OFFSET($H$3,0,0,'Données projet'!$E$16+1,1))</f>
        <v>455.50822833641354</v>
      </c>
      <c r="FK12" s="62">
        <f t="shared" si="48"/>
        <v>261.14722581688039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7.7987854251012134</v>
      </c>
      <c r="N13" s="14">
        <f>IF('Données projet'!$A$36&gt;35,N12+M13-V12,IF(A13&lt;'Données projet'!$A$36,$K$205^A13,IF(A13='Données projet'!$A$36,'Données projet'!$B$36,N12+M13-V12)))</f>
        <v>13.884047496568932</v>
      </c>
      <c r="O13" s="14">
        <f>N13*VLOOKUP('Données projet'!$B$9,Paramètres!$A$1:$I$89,3,0)*VLOOKUP('Données projet'!$B$9,Paramètres!$A$1:$I$89,5,0)</f>
        <v>7.7611825505820331</v>
      </c>
      <c r="P13" s="14">
        <f t="shared" si="33"/>
        <v>2.8176844553216833</v>
      </c>
      <c r="Q13" s="22">
        <f t="shared" si="2"/>
        <v>18.424860035282308</v>
      </c>
      <c r="R13" s="62">
        <f t="shared" si="0"/>
        <v>287.31374892417114</v>
      </c>
      <c r="S13" s="62">
        <f ca="1">AVERAGE(OFFSET($R$3,0,0,'Données projet'!$E$9+1,1))-AVERAGE(OFFSET($H$3,0,0,'Données projet'!$E$9+1,1))</f>
        <v>323.98185264074681</v>
      </c>
      <c r="T13" s="62">
        <f t="shared" si="34"/>
        <v>301.22207291854005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5.2912820512820513</v>
      </c>
      <c r="AI13" s="14">
        <f>IF('Données projet'!$A$62&gt;35,AI12+AH13-AQ12,IF(A13&lt;'Données projet'!$A$62,$AF$205^A13,IF(A13='Données projet'!$A$62,'Données projet'!$B$62,AI12+AH13-AQ12)))</f>
        <v>5.4145294759866651</v>
      </c>
      <c r="AJ13" s="14">
        <f>AI13*VLOOKUP('Données projet'!$B$10,Paramètres!$A$1:$I$89,3,0)*VLOOKUP('Données projet'!$B$10,Paramètres!$A$1:$I$89,5,0)</f>
        <v>2.5339997947617592</v>
      </c>
      <c r="AK13" s="14">
        <f t="shared" si="35"/>
        <v>1.0479861783345426</v>
      </c>
      <c r="AL13" s="22">
        <f t="shared" si="4"/>
        <v>6.2386255698093906</v>
      </c>
      <c r="AM13" s="62">
        <f t="shared" si="5"/>
        <v>275.12751445869827</v>
      </c>
      <c r="AN13" s="62">
        <f ca="1">AVERAGE(OFFSET($AM$3,0,0,'Données projet'!$E$10+1,1))-AVERAGE(OFFSET($H$3,0,0,'Données projet'!$E$10+1,1))</f>
        <v>276.78862011733338</v>
      </c>
      <c r="AO13" s="62">
        <f t="shared" si="36"/>
        <v>202.1678469635836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5.8637741839194364</v>
      </c>
      <c r="BF13" s="14">
        <f t="shared" si="37"/>
        <v>2.1994468497187687</v>
      </c>
      <c r="BG13" s="22">
        <f t="shared" si="7"/>
        <v>14.043443300253207</v>
      </c>
      <c r="BH13" s="62">
        <f t="shared" si="8"/>
        <v>282.93233218914207</v>
      </c>
      <c r="BI13" s="62">
        <f ca="1">AVERAGE(OFFSET($BH$3,0,0,'Données projet'!$E$11+1,1))-AVERAGE(OFFSET($H$3,0,0,'Données projet'!$E$11+1,1))</f>
        <v>428.8489304403459</v>
      </c>
      <c r="BJ13" s="62">
        <f t="shared" si="38"/>
        <v>247.01165577562966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2.3805128205128203</v>
      </c>
      <c r="BY13" s="13">
        <f>IF('Données projet'!$A$114&gt;35,BY12+BX13-CG12,IF(A13&lt;'Données projet'!$A$114,$BV$205^A13,IF(A13='Données projet'!$A$114,'Données projet'!$B$114,BY12+BX13-CG12)))</f>
        <v>10.843625808385362</v>
      </c>
      <c r="BZ13" s="14">
        <f>BY13*VLOOKUP('Données projet'!$B$12,Paramètres!$A$1:$I$89,3,0)*VLOOKUP('Données projet'!$B$12,Paramètres!$A$1:$I$89,5,0)</f>
        <v>6.4844882334144467</v>
      </c>
      <c r="CA13" s="14">
        <f t="shared" si="39"/>
        <v>2.4039500479922649</v>
      </c>
      <c r="CB13" s="22">
        <f t="shared" si="10"/>
        <v>15.480696673450021</v>
      </c>
      <c r="CC13" s="62">
        <f t="shared" si="11"/>
        <v>284.3695855623389</v>
      </c>
      <c r="CD13" s="62">
        <f ca="1">AVERAGE(OFFSET($CC$3,0,0,'Données projet'!$E$12+1,1))-AVERAGE(OFFSET($H$3,0,0,'Données projet'!$E$12+1,1))</f>
        <v>289.12367833861299</v>
      </c>
      <c r="CE13" s="62">
        <f t="shared" si="40"/>
        <v>229.06617320689003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11.1</v>
      </c>
      <c r="CR13" s="13">
        <f>VLOOKUP(A13,'Données projet'!$A$139:$I$159,9,0)</f>
        <v>1.1099999999999999</v>
      </c>
      <c r="CS13" s="13">
        <f t="array" ref="CS13">INDEX(CR:CR,MIN(IF(ISNUMBER(CR13:CR209),ROW(CR13:CR209),"")))</f>
        <v>1.1099999999999999</v>
      </c>
      <c r="CT13" s="13">
        <f>IF('Données projet'!$A$140&gt;35,CT12+CS13-DB12,IF(A13&lt;'Données projet'!$A$140,$CQ$205^A13,IF(A13='Données projet'!$A$140,'Données projet'!$B$140,CT12+CS13-DB12)))</f>
        <v>11.1</v>
      </c>
      <c r="CU13" s="18">
        <f>CT13*VLOOKUP('Données projet'!$B$13,Paramètres!$A$1:$I$89,3,0)*VLOOKUP('Données projet'!$B$13,Paramètres!$A$1:$I$89,5,0)</f>
        <v>8.8311599999999988</v>
      </c>
      <c r="CV13" s="14">
        <f t="shared" si="41"/>
        <v>3.1582997914189717</v>
      </c>
      <c r="CW13" s="22">
        <f t="shared" si="13"/>
        <v>20.881642470054704</v>
      </c>
      <c r="CX13" s="62">
        <f t="shared" si="14"/>
        <v>289.77053135894357</v>
      </c>
      <c r="CY13" s="62">
        <f ca="1">AVERAGE(OFFSET($CX$3,0,0,'Données projet'!$E$13+1,1))-AVERAGE(OFFSET($H$3,0,0,'Données projet'!$E$13+1,1))</f>
        <v>370.59298168107364</v>
      </c>
      <c r="CZ13" s="62">
        <f t="shared" si="42"/>
        <v>404.61777090709171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>
        <f>VLOOKUP(A13,'Données projet'!$A$165:$I$185,2,0)</f>
        <v>23</v>
      </c>
      <c r="DM13" s="13">
        <f>VLOOKUP(A13,'Données projet'!$A$165:$I$185,9,0)</f>
        <v>2.2999999999999998</v>
      </c>
      <c r="DN13" s="13">
        <f t="array" ref="DN13">INDEX(DM:DM,MIN(IF(ISNUMBER(DM13:DM209),ROW(DM13:DM209),"")))</f>
        <v>2.2999999999999998</v>
      </c>
      <c r="DO13" s="13">
        <f>IF('Données projet'!$A$166&gt;35,DO12+DN13-DW12,IF(A13&lt;'Données projet'!$A$166,$DL$205^A13,IF(A13='Données projet'!$A$166,'Données projet'!$B$166,DO12+DN13-DW12)))</f>
        <v>23</v>
      </c>
      <c r="DP13" s="18">
        <f>DO13*VLOOKUP('Données projet'!$B$14,Paramètres!$A$1:$I$89,3,0)*VLOOKUP('Données projet'!$B$14,Paramètres!$A$1:$I$89,5,0)</f>
        <v>20.0928</v>
      </c>
      <c r="DQ13" s="14">
        <f t="shared" si="43"/>
        <v>6.5300817245569407</v>
      </c>
      <c r="DR13" s="22">
        <f t="shared" si="16"/>
        <v>46.368185670270002</v>
      </c>
      <c r="DS13" s="62">
        <f t="shared" si="17"/>
        <v>315.25707455915887</v>
      </c>
      <c r="DT13" s="62">
        <f ca="1">AVERAGE(OFFSET($DS$3,0,0,'Données projet'!$E$14+1,1))-AVERAGE(OFFSET($H$3,0,0,'Données projet'!$E$14+1,1))</f>
        <v>341.65872153228599</v>
      </c>
      <c r="DU13" s="62">
        <f t="shared" si="44"/>
        <v>339.49697153894937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3.3333333333333335</v>
      </c>
      <c r="EJ13" s="13">
        <f>IF('Données projet'!$A$192&gt;35,EJ12+EI13-ER12,IF(A13&lt;'Données projet'!$A$192,$EG$205^A13,IF(A13='Données projet'!$A$192,'Données projet'!$B$192,EJ12+EI13-ER12)))</f>
        <v>13.572088082974533</v>
      </c>
      <c r="EK13" s="18">
        <f>EJ13*VLOOKUP('Données projet'!$B$15,Paramètres!$A$1:$I$89,3,0)*VLOOKUP('Données projet'!$B$15,Paramètres!$A$1:$I$89,5,0)</f>
        <v>9.1041566860593175</v>
      </c>
      <c r="EL13" s="14">
        <f t="shared" si="45"/>
        <v>3.2444141328681457</v>
      </c>
      <c r="EM13" s="22">
        <f t="shared" si="19"/>
        <v>21.507094176298665</v>
      </c>
      <c r="EN13" s="62">
        <f t="shared" si="20"/>
        <v>290.39598306518752</v>
      </c>
      <c r="EO13" s="62">
        <f ca="1">AVERAGE(OFFSET($EN$3,0,0,'Données projet'!$E$15+1,1))-AVERAGE(OFFSET($H$3,0,0,'Données projet'!$E$15+1,1))</f>
        <v>312.06797204903796</v>
      </c>
      <c r="EP13" s="62">
        <f t="shared" si="46"/>
        <v>258.20189001775151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2.1</v>
      </c>
      <c r="FE13" s="13">
        <f>IF('Données projet'!$A$218&gt;35,FE12+FD13-FM12,IF(A13&lt;'Données projet'!$A$218,$FB$205^A13,IF(A13='Données projet'!$A$218,'Données projet'!$B$218,FE12+FD13-FM12)))</f>
        <v>6.4807406984078657</v>
      </c>
      <c r="FF13" s="18">
        <f>FE13*VLOOKUP('Données projet'!$B$16,Paramètres!$A$1:$I$89,3,0)*VLOOKUP('Données projet'!$B$16,Paramètres!$A$1:$I$89,5,0)</f>
        <v>6.2681724035000874</v>
      </c>
      <c r="FG13" s="14">
        <f t="shared" si="47"/>
        <v>2.3329519459947301</v>
      </c>
      <c r="FH13" s="22">
        <f t="shared" si="22"/>
        <v>14.98029157537014</v>
      </c>
      <c r="FI13" s="62">
        <f t="shared" si="23"/>
        <v>283.86918046425899</v>
      </c>
      <c r="FJ13" s="62">
        <f ca="1">AVERAGE(OFFSET($FI$3,0,0,'Données projet'!$E$16+1,1))-AVERAGE(OFFSET($H$3,0,0,'Données projet'!$E$16+1,1))</f>
        <v>455.50822833641354</v>
      </c>
      <c r="FK13" s="62">
        <f t="shared" si="48"/>
        <v>261.14722581688039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7.7987854251012134</v>
      </c>
      <c r="N14" s="14">
        <f>IF('Données projet'!$A$36&gt;35,N13+M14-V13,IF(A14&lt;'Données projet'!$A$36,$K$205^A14,IF(A14='Données projet'!$A$36,'Données projet'!$B$36,N13+M14-V13)))</f>
        <v>18.062077432272524</v>
      </c>
      <c r="O14" s="14">
        <f>N14*VLOOKUP('Données projet'!$B$9,Paramètres!$A$1:$I$89,3,0)*VLOOKUP('Données projet'!$B$9,Paramètres!$A$1:$I$89,5,0)</f>
        <v>10.096701284640341</v>
      </c>
      <c r="P14" s="14">
        <f t="shared" si="33"/>
        <v>3.5550447986697691</v>
      </c>
      <c r="Q14" s="22">
        <f t="shared" si="2"/>
        <v>23.776791095098442</v>
      </c>
      <c r="R14" s="62">
        <f t="shared" si="0"/>
        <v>293.88790220620956</v>
      </c>
      <c r="S14" s="62">
        <f ca="1">AVERAGE(OFFSET($R$3,0,0,'Données projet'!$E$9+1,1))-AVERAGE(OFFSET($H$3,0,0,'Données projet'!$E$9+1,1))</f>
        <v>323.98185264074681</v>
      </c>
      <c r="T14" s="62">
        <f t="shared" si="34"/>
        <v>301.22207291854005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5.2912820512820513</v>
      </c>
      <c r="AI14" s="14">
        <f>IF('Données projet'!$A$62&gt;35,AI13+AH14-AQ13,IF(A14&lt;'Données projet'!$A$62,$AF$205^A14,IF(A14='Données projet'!$A$62,'Données projet'!$B$62,AI13+AH14-AQ13)))</f>
        <v>6.4108674049757806</v>
      </c>
      <c r="AJ14" s="14">
        <f>AI14*VLOOKUP('Données projet'!$B$10,Paramètres!$A$1:$I$89,3,0)*VLOOKUP('Données projet'!$B$10,Paramètres!$A$1:$I$89,5,0)</f>
        <v>3.0002859455286655</v>
      </c>
      <c r="AK14" s="14">
        <f t="shared" si="35"/>
        <v>1.2166705062501608</v>
      </c>
      <c r="AL14" s="22">
        <f t="shared" si="4"/>
        <v>7.3445324868481237</v>
      </c>
      <c r="AM14" s="62">
        <f t="shared" si="5"/>
        <v>277.45564359795924</v>
      </c>
      <c r="AN14" s="62">
        <f ca="1">AVERAGE(OFFSET($AM$3,0,0,'Données projet'!$E$10+1,1))-AVERAGE(OFFSET($H$3,0,0,'Données projet'!$E$10+1,1))</f>
        <v>276.78862011733338</v>
      </c>
      <c r="AO14" s="62">
        <f t="shared" si="36"/>
        <v>202.1678469635836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7.0687024627689707</v>
      </c>
      <c r="BF14" s="14">
        <f t="shared" si="37"/>
        <v>2.5943503554083325</v>
      </c>
      <c r="BG14" s="22">
        <f t="shared" si="7"/>
        <v>16.829816991658799</v>
      </c>
      <c r="BH14" s="62">
        <f t="shared" si="8"/>
        <v>286.94092810276993</v>
      </c>
      <c r="BI14" s="62">
        <f ca="1">AVERAGE(OFFSET($BH$3,0,0,'Données projet'!$E$11+1,1))-AVERAGE(OFFSET($H$3,0,0,'Données projet'!$E$11+1,1))</f>
        <v>428.8489304403459</v>
      </c>
      <c r="BJ14" s="62">
        <f t="shared" si="38"/>
        <v>247.01165577562966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2.3805128205128203</v>
      </c>
      <c r="BY14" s="13">
        <f>IF('Données projet'!$A$114&gt;35,BY13+BX14-CG13,IF(A14&lt;'Données projet'!$A$114,$BV$205^A14,IF(A14='Données projet'!$A$114,'Données projet'!$B$114,BY13+BX14-CG13)))</f>
        <v>13.762330235503498</v>
      </c>
      <c r="BZ14" s="14">
        <f>BY14*VLOOKUP('Données projet'!$B$12,Paramètres!$A$1:$I$89,3,0)*VLOOKUP('Données projet'!$B$12,Paramètres!$A$1:$I$89,5,0)</f>
        <v>8.2298734808310936</v>
      </c>
      <c r="CA14" s="14">
        <f t="shared" si="39"/>
        <v>2.9675186699572826</v>
      </c>
      <c r="CB14" s="22">
        <f t="shared" si="10"/>
        <v>19.502124662623089</v>
      </c>
      <c r="CC14" s="62">
        <f t="shared" si="11"/>
        <v>289.61323577373423</v>
      </c>
      <c r="CD14" s="62">
        <f ca="1">AVERAGE(OFFSET($CC$3,0,0,'Données projet'!$E$12+1,1))-AVERAGE(OFFSET($H$3,0,0,'Données projet'!$E$12+1,1))</f>
        <v>289.12367833861299</v>
      </c>
      <c r="CE14" s="62">
        <f t="shared" si="40"/>
        <v>229.06617320689003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10.68</v>
      </c>
      <c r="CT14" s="13">
        <f>IF('Données projet'!$A$140&gt;35,CT13+CS14-DB13,IF(A14&lt;'Données projet'!$A$140,$CQ$205^A14,IF(A14='Données projet'!$A$140,'Données projet'!$B$140,CT13+CS14-DB13)))</f>
        <v>21.78</v>
      </c>
      <c r="CU14" s="18">
        <f>CT14*VLOOKUP('Données projet'!$B$13,Paramètres!$A$1:$I$89,3,0)*VLOOKUP('Données projet'!$B$13,Paramètres!$A$1:$I$89,5,0)</f>
        <v>17.328168000000002</v>
      </c>
      <c r="CV14" s="14">
        <f t="shared" si="41"/>
        <v>5.7294628302508057</v>
      </c>
      <c r="CW14" s="22">
        <f t="shared" si="13"/>
        <v>40.158707029353486</v>
      </c>
      <c r="CX14" s="62">
        <f t="shared" si="14"/>
        <v>310.26981814046462</v>
      </c>
      <c r="CY14" s="62">
        <f ca="1">AVERAGE(OFFSET($CX$3,0,0,'Données projet'!$E$13+1,1))-AVERAGE(OFFSET($H$3,0,0,'Données projet'!$E$13+1,1))</f>
        <v>370.59298168107364</v>
      </c>
      <c r="CZ14" s="62">
        <f t="shared" si="42"/>
        <v>404.61777090709171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7.4</v>
      </c>
      <c r="DO14" s="13">
        <f>IF('Données projet'!$A$166&gt;35,DO13+DN14-DW13,IF(A14&lt;'Données projet'!$A$166,$DL$205^A14,IF(A14='Données projet'!$A$166,'Données projet'!$B$166,DO13+DN14-DW13)))</f>
        <v>30.4</v>
      </c>
      <c r="DP14" s="18">
        <f>DO14*VLOOKUP('Données projet'!$B$14,Paramètres!$A$1:$I$89,3,0)*VLOOKUP('Données projet'!$B$14,Paramètres!$A$1:$I$89,5,0)</f>
        <v>26.557440000000003</v>
      </c>
      <c r="DQ14" s="14">
        <f t="shared" si="43"/>
        <v>8.3553182981993483</v>
      </c>
      <c r="DR14" s="22">
        <f t="shared" si="16"/>
        <v>60.806387369363868</v>
      </c>
      <c r="DS14" s="62">
        <f t="shared" si="17"/>
        <v>330.91749848047499</v>
      </c>
      <c r="DT14" s="62">
        <f ca="1">AVERAGE(OFFSET($DS$3,0,0,'Données projet'!$E$14+1,1))-AVERAGE(OFFSET($H$3,0,0,'Données projet'!$E$14+1,1))</f>
        <v>341.65872153228599</v>
      </c>
      <c r="DU14" s="62">
        <f t="shared" si="44"/>
        <v>339.49697153894937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3.3333333333333335</v>
      </c>
      <c r="EJ14" s="13">
        <f>IF('Données projet'!$A$192&gt;35,EJ13+EI14-ER13,IF(A14&lt;'Données projet'!$A$192,$EG$205^A14,IF(A14='Données projet'!$A$192,'Données projet'!$B$192,EJ13+EI14-ER13)))</f>
        <v>17.616163665149852</v>
      </c>
      <c r="EK14" s="18">
        <f>EJ14*VLOOKUP('Données projet'!$B$15,Paramètres!$A$1:$I$89,3,0)*VLOOKUP('Données projet'!$B$15,Paramètres!$A$1:$I$89,5,0)</f>
        <v>11.816922586582521</v>
      </c>
      <c r="EL14" s="14">
        <f t="shared" si="45"/>
        <v>4.0852340614632361</v>
      </c>
      <c r="EM14" s="22">
        <f t="shared" si="19"/>
        <v>27.696256162013025</v>
      </c>
      <c r="EN14" s="62">
        <f t="shared" si="20"/>
        <v>297.80736727312416</v>
      </c>
      <c r="EO14" s="62">
        <f ca="1">AVERAGE(OFFSET($EN$3,0,0,'Données projet'!$E$15+1,1))-AVERAGE(OFFSET($H$3,0,0,'Données projet'!$E$15+1,1))</f>
        <v>312.06797204903796</v>
      </c>
      <c r="EP14" s="62">
        <f t="shared" si="46"/>
        <v>258.20189001775151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2.1</v>
      </c>
      <c r="FE14" s="13">
        <f>IF('Données projet'!$A$218&gt;35,FE13+FD14-FM13,IF(A14&lt;'Données projet'!$A$218,$FB$205^A14,IF(A14='Données projet'!$A$218,'Données projet'!$B$218,FE13+FD14-FM13)))</f>
        <v>7.8124474610620815</v>
      </c>
      <c r="FF14" s="18">
        <f>FE14*VLOOKUP('Données projet'!$B$16,Paramètres!$A$1:$I$89,3,0)*VLOOKUP('Données projet'!$B$16,Paramètres!$A$1:$I$89,5,0)</f>
        <v>7.5561991843392455</v>
      </c>
      <c r="FG14" s="14">
        <f t="shared" si="47"/>
        <v>2.7518258561310041</v>
      </c>
      <c r="FH14" s="22">
        <f t="shared" si="22"/>
        <v>17.953143612152349</v>
      </c>
      <c r="FI14" s="62">
        <f t="shared" si="23"/>
        <v>288.0642547232635</v>
      </c>
      <c r="FJ14" s="62">
        <f ca="1">AVERAGE(OFFSET($FI$3,0,0,'Données projet'!$E$16+1,1))-AVERAGE(OFFSET($H$3,0,0,'Données projet'!$E$16+1,1))</f>
        <v>455.50822833641354</v>
      </c>
      <c r="FK14" s="62">
        <f t="shared" si="48"/>
        <v>261.14722581688039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7.7987854251012134</v>
      </c>
      <c r="N15" s="14">
        <f>IF('Données projet'!$A$36&gt;35,N14+M15-V14,IF(A15&lt;'Données projet'!$A$36,$K$205^A15,IF(A15='Données projet'!$A$36,'Données projet'!$B$36,N14+M15-V14)))</f>
        <v>23.497372884242115</v>
      </c>
      <c r="O15" s="14">
        <f>N15*VLOOKUP('Données projet'!$B$9,Paramètres!$A$1:$I$89,3,0)*VLOOKUP('Données projet'!$B$9,Paramètres!$A$1:$I$89,5,0)</f>
        <v>13.135031442291343</v>
      </c>
      <c r="P15" s="14">
        <f t="shared" si="33"/>
        <v>4.4853651006518103</v>
      </c>
      <c r="Q15" s="22">
        <f t="shared" si="2"/>
        <v>30.688857312292658</v>
      </c>
      <c r="R15" s="62">
        <f t="shared" si="0"/>
        <v>302.02219064562598</v>
      </c>
      <c r="S15" s="62">
        <f ca="1">AVERAGE(OFFSET($R$3,0,0,'Données projet'!$E$9+1,1))-AVERAGE(OFFSET($H$3,0,0,'Données projet'!$E$9+1,1))</f>
        <v>323.98185264074681</v>
      </c>
      <c r="T15" s="62">
        <f t="shared" si="34"/>
        <v>301.22207291854005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5.2912820512820513</v>
      </c>
      <c r="AI15" s="14">
        <f>IF('Données projet'!$A$62&gt;35,AI14+AH15-AQ14,IF(A15&lt;'Données projet'!$A$62,$AF$205^A15,IF(A15='Données projet'!$A$62,'Données projet'!$B$62,AI14+AH15-AQ14)))</f>
        <v>7.5905433826623616</v>
      </c>
      <c r="AJ15" s="14">
        <f>AI15*VLOOKUP('Données projet'!$B$10,Paramètres!$A$1:$I$89,3,0)*VLOOKUP('Données projet'!$B$10,Paramètres!$A$1:$I$89,5,0)</f>
        <v>3.5523743030859851</v>
      </c>
      <c r="AK15" s="14">
        <f t="shared" si="35"/>
        <v>1.4125063396651774</v>
      </c>
      <c r="AL15" s="22">
        <f t="shared" si="4"/>
        <v>8.6471671194582758</v>
      </c>
      <c r="AM15" s="62">
        <f t="shared" si="5"/>
        <v>279.9805004527916</v>
      </c>
      <c r="AN15" s="62">
        <f ca="1">AVERAGE(OFFSET($AM$3,0,0,'Données projet'!$E$10+1,1))-AVERAGE(OFFSET($H$3,0,0,'Données projet'!$E$10+1,1))</f>
        <v>276.78862011733338</v>
      </c>
      <c r="AO15" s="62">
        <f t="shared" si="36"/>
        <v>202.1678469635836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8.521227615514638</v>
      </c>
      <c r="BF15" s="14">
        <f t="shared" si="37"/>
        <v>3.0601574970852128</v>
      </c>
      <c r="BG15" s="22">
        <f t="shared" si="7"/>
        <v>20.170912404444739</v>
      </c>
      <c r="BH15" s="62">
        <f t="shared" si="8"/>
        <v>291.50424573777804</v>
      </c>
      <c r="BI15" s="62">
        <f ca="1">AVERAGE(OFFSET($BH$3,0,0,'Données projet'!$E$11+1,1))-AVERAGE(OFFSET($H$3,0,0,'Données projet'!$E$11+1,1))</f>
        <v>428.8489304403459</v>
      </c>
      <c r="BJ15" s="62">
        <f t="shared" si="38"/>
        <v>247.01165577562966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2.3805128205128203</v>
      </c>
      <c r="BY15" s="13">
        <f>IF('Données projet'!$A$114&gt;35,BY14+BX15-CG14,IF(A15&lt;'Données projet'!$A$114,$BV$205^A15,IF(A15='Données projet'!$A$114,'Données projet'!$B$114,BY14+BX15-CG14)))</f>
        <v>17.466642325908158</v>
      </c>
      <c r="BZ15" s="14">
        <f>BY15*VLOOKUP('Données projet'!$B$12,Paramètres!$A$1:$I$89,3,0)*VLOOKUP('Données projet'!$B$12,Paramètres!$A$1:$I$89,5,0)</f>
        <v>10.44505211089308</v>
      </c>
      <c r="CA15" s="14">
        <f t="shared" si="39"/>
        <v>3.6632071718377808</v>
      </c>
      <c r="CB15" s="22">
        <f t="shared" si="10"/>
        <v>24.571884917422917</v>
      </c>
      <c r="CC15" s="62">
        <f t="shared" si="11"/>
        <v>295.90521825075621</v>
      </c>
      <c r="CD15" s="62">
        <f ca="1">AVERAGE(OFFSET($CC$3,0,0,'Données projet'!$E$12+1,1))-AVERAGE(OFFSET($H$3,0,0,'Données projet'!$E$12+1,1))</f>
        <v>289.12367833861299</v>
      </c>
      <c r="CE15" s="62">
        <f t="shared" si="40"/>
        <v>229.06617320689003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10.68</v>
      </c>
      <c r="CT15" s="13">
        <f>IF('Données projet'!$A$140&gt;35,CT14+CS15-DB14,IF(A15&lt;'Données projet'!$A$140,$CQ$205^A15,IF(A15='Données projet'!$A$140,'Données projet'!$B$140,CT14+CS15-DB14)))</f>
        <v>32.46</v>
      </c>
      <c r="CU15" s="18">
        <f>CT15*VLOOKUP('Données projet'!$B$13,Paramètres!$A$1:$I$89,3,0)*VLOOKUP('Données projet'!$B$13,Paramètres!$A$1:$I$89,5,0)</f>
        <v>25.825176000000003</v>
      </c>
      <c r="CV15" s="14">
        <f t="shared" si="41"/>
        <v>8.1514246027621944</v>
      </c>
      <c r="CW15" s="22">
        <f t="shared" si="13"/>
        <v>59.175912716477491</v>
      </c>
      <c r="CX15" s="62">
        <f t="shared" si="14"/>
        <v>330.50924604981083</v>
      </c>
      <c r="CY15" s="62">
        <f ca="1">AVERAGE(OFFSET($CX$3,0,0,'Données projet'!$E$13+1,1))-AVERAGE(OFFSET($H$3,0,0,'Données projet'!$E$13+1,1))</f>
        <v>370.59298168107364</v>
      </c>
      <c r="CZ15" s="62">
        <f t="shared" si="42"/>
        <v>404.61777090709171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7.4</v>
      </c>
      <c r="DO15" s="13">
        <f>IF('Données projet'!$A$166&gt;35,DO14+DN15-DW14,IF(A15&lt;'Données projet'!$A$166,$DL$205^A15,IF(A15='Données projet'!$A$166,'Données projet'!$B$166,DO14+DN15-DW14)))</f>
        <v>37.799999999999997</v>
      </c>
      <c r="DP15" s="18">
        <f>DO15*VLOOKUP('Données projet'!$B$14,Paramètres!$A$1:$I$89,3,0)*VLOOKUP('Données projet'!$B$14,Paramètres!$A$1:$I$89,5,0)</f>
        <v>33.022080000000003</v>
      </c>
      <c r="DQ15" s="14">
        <f t="shared" si="43"/>
        <v>10.129025278332465</v>
      </c>
      <c r="DR15" s="22">
        <f t="shared" si="16"/>
        <v>75.154841693095705</v>
      </c>
      <c r="DS15" s="62">
        <f t="shared" si="17"/>
        <v>346.48817502642902</v>
      </c>
      <c r="DT15" s="62">
        <f ca="1">AVERAGE(OFFSET($DS$3,0,0,'Données projet'!$E$14+1,1))-AVERAGE(OFFSET($H$3,0,0,'Données projet'!$E$14+1,1))</f>
        <v>341.65872153228599</v>
      </c>
      <c r="DU15" s="62">
        <f t="shared" si="44"/>
        <v>339.49697153894937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3.3333333333333335</v>
      </c>
      <c r="EJ15" s="13">
        <f>IF('Données projet'!$A$192&gt;35,EJ14+EI15-ER14,IF(A15&lt;'Données projet'!$A$192,$EG$205^A15,IF(A15='Données projet'!$A$192,'Données projet'!$B$192,EJ14+EI15-ER14)))</f>
        <v>22.865252596366318</v>
      </c>
      <c r="EK15" s="18">
        <f>EJ15*VLOOKUP('Données projet'!$B$15,Paramètres!$A$1:$I$89,3,0)*VLOOKUP('Données projet'!$B$15,Paramètres!$A$1:$I$89,5,0)</f>
        <v>15.338011441642525</v>
      </c>
      <c r="EL15" s="14">
        <f t="shared" si="45"/>
        <v>5.1439602509023024</v>
      </c>
      <c r="EM15" s="22">
        <f t="shared" si="19"/>
        <v>35.672767364515572</v>
      </c>
      <c r="EN15" s="62">
        <f t="shared" si="20"/>
        <v>307.00610069784886</v>
      </c>
      <c r="EO15" s="62">
        <f ca="1">AVERAGE(OFFSET($EN$3,0,0,'Données projet'!$E$15+1,1))-AVERAGE(OFFSET($H$3,0,0,'Données projet'!$E$15+1,1))</f>
        <v>312.06797204903796</v>
      </c>
      <c r="EP15" s="62">
        <f t="shared" si="46"/>
        <v>258.20189001775151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2.1</v>
      </c>
      <c r="FE15" s="13">
        <f>IF('Données projet'!$A$218&gt;35,FE14+FD15-FM14,IF(A15&lt;'Données projet'!$A$218,$FB$205^A15,IF(A15='Données projet'!$A$218,'Données projet'!$B$218,FE14+FD15-FM14)))</f>
        <v>9.4178024044149407</v>
      </c>
      <c r="FF15" s="18">
        <f>FE15*VLOOKUP('Données projet'!$B$16,Paramètres!$A$1:$I$89,3,0)*VLOOKUP('Données projet'!$B$16,Paramètres!$A$1:$I$89,5,0)</f>
        <v>9.1088984855501316</v>
      </c>
      <c r="FG15" s="14">
        <f t="shared" si="47"/>
        <v>3.2459072101643005</v>
      </c>
      <c r="FH15" s="22">
        <f t="shared" si="22"/>
        <v>21.517953253369303</v>
      </c>
      <c r="FI15" s="62">
        <f t="shared" si="23"/>
        <v>292.8512865867026</v>
      </c>
      <c r="FJ15" s="62">
        <f ca="1">AVERAGE(OFFSET($FI$3,0,0,'Données projet'!$E$16+1,1))-AVERAGE(OFFSET($H$3,0,0,'Données projet'!$E$16+1,1))</f>
        <v>455.50822833641354</v>
      </c>
      <c r="FK15" s="62">
        <f t="shared" si="48"/>
        <v>261.14722581688039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7.7987854251012134</v>
      </c>
      <c r="N16" s="14">
        <f>IF('Données projet'!$A$36&gt;35,N15+M16-V15,IF(A16&lt;'Données projet'!$A$36,$K$205^A16,IF(A16='Données projet'!$A$36,'Données projet'!$B$36,N15+M16-V15)))</f>
        <v>30.56827402780376</v>
      </c>
      <c r="O16" s="14">
        <f>N16*VLOOKUP('Données projet'!$B$9,Paramètres!$A$1:$I$89,3,0)*VLOOKUP('Données projet'!$B$9,Paramètres!$A$1:$I$89,5,0)</f>
        <v>17.087665181542302</v>
      </c>
      <c r="P16" s="14">
        <f t="shared" si="33"/>
        <v>5.6591410869627277</v>
      </c>
      <c r="Q16" s="22">
        <f t="shared" si="2"/>
        <v>39.617354250979595</v>
      </c>
      <c r="R16" s="62">
        <f t="shared" si="0"/>
        <v>312.17290980653513</v>
      </c>
      <c r="S16" s="62">
        <f ca="1">AVERAGE(OFFSET($R$3,0,0,'Données projet'!$E$9+1,1))-AVERAGE(OFFSET($H$3,0,0,'Données projet'!$E$9+1,1))</f>
        <v>323.98185264074681</v>
      </c>
      <c r="T16" s="62">
        <f t="shared" si="34"/>
        <v>301.22207291854005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5.2912820512820513</v>
      </c>
      <c r="AI16" s="14">
        <f>IF('Données projet'!$A$62&gt;35,AI15+AH16-AQ15,IF(A16&lt;'Données projet'!$A$62,$AF$205^A16,IF(A16='Données projet'!$A$62,'Données projet'!$B$62,AI15+AH16-AQ15)))</f>
        <v>8.9872937941846338</v>
      </c>
      <c r="AJ16" s="14">
        <f>AI16*VLOOKUP('Données projet'!$B$10,Paramètres!$A$1:$I$89,3,0)*VLOOKUP('Données projet'!$B$10,Paramètres!$A$1:$I$89,5,0)</f>
        <v>4.2060534956784092</v>
      </c>
      <c r="AK16" s="14">
        <f t="shared" si="35"/>
        <v>1.6398639971503413</v>
      </c>
      <c r="AL16" s="22">
        <f t="shared" si="4"/>
        <v>10.181639633343407</v>
      </c>
      <c r="AM16" s="62">
        <f t="shared" si="5"/>
        <v>282.73719518889897</v>
      </c>
      <c r="AN16" s="62">
        <f ca="1">AVERAGE(OFFSET($AM$3,0,0,'Données projet'!$E$10+1,1))-AVERAGE(OFFSET($H$3,0,0,'Données projet'!$E$10+1,1))</f>
        <v>276.78862011733338</v>
      </c>
      <c r="AO16" s="62">
        <f t="shared" si="36"/>
        <v>202.1678469635836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10.272227535089344</v>
      </c>
      <c r="BF16" s="14">
        <f t="shared" si="37"/>
        <v>3.6095987912522753</v>
      </c>
      <c r="BG16" s="22">
        <f t="shared" si="7"/>
        <v>24.177514185044988</v>
      </c>
      <c r="BH16" s="62">
        <f t="shared" si="8"/>
        <v>296.73306974060051</v>
      </c>
      <c r="BI16" s="62">
        <f ca="1">AVERAGE(OFFSET($BH$3,0,0,'Données projet'!$E$11+1,1))-AVERAGE(OFFSET($H$3,0,0,'Données projet'!$E$11+1,1))</f>
        <v>428.8489304403459</v>
      </c>
      <c r="BJ16" s="62">
        <f t="shared" si="38"/>
        <v>247.01165577562966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2.3805128205128203</v>
      </c>
      <c r="BY16" s="13">
        <f>IF('Données projet'!$A$114&gt;35,BY15+BX16-CG15,IF(A16&lt;'Données projet'!$A$114,$BV$205^A16,IF(A16='Données projet'!$A$114,'Données projet'!$B$114,BY15+BX16-CG15)))</f>
        <v>22.168018709081991</v>
      </c>
      <c r="BZ16" s="14">
        <f>BY16*VLOOKUP('Données projet'!$B$12,Paramètres!$A$1:$I$89,3,0)*VLOOKUP('Données projet'!$B$12,Paramètres!$A$1:$I$89,5,0)</f>
        <v>13.256475188031033</v>
      </c>
      <c r="CA16" s="14">
        <f t="shared" si="39"/>
        <v>4.5219890003242735</v>
      </c>
      <c r="CB16" s="22">
        <f t="shared" si="10"/>
        <v>30.964158461385495</v>
      </c>
      <c r="CC16" s="62">
        <f t="shared" si="11"/>
        <v>303.51971401694107</v>
      </c>
      <c r="CD16" s="62">
        <f ca="1">AVERAGE(OFFSET($CC$3,0,0,'Données projet'!$E$12+1,1))-AVERAGE(OFFSET($H$3,0,0,'Données projet'!$E$12+1,1))</f>
        <v>289.12367833861299</v>
      </c>
      <c r="CE16" s="62">
        <f t="shared" si="40"/>
        <v>229.06617320689003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10.68</v>
      </c>
      <c r="CT16" s="13">
        <f>IF('Données projet'!$A$140&gt;35,CT15+CS16-DB15,IF(A16&lt;'Données projet'!$A$140,$CQ$205^A16,IF(A16='Données projet'!$A$140,'Données projet'!$B$140,CT15+CS16-DB15)))</f>
        <v>43.14</v>
      </c>
      <c r="CU16" s="18">
        <f>CT16*VLOOKUP('Données projet'!$B$13,Paramètres!$A$1:$I$89,3,0)*VLOOKUP('Données projet'!$B$13,Paramètres!$A$1:$I$89,5,0)</f>
        <v>34.322184</v>
      </c>
      <c r="CV16" s="14">
        <f t="shared" si="41"/>
        <v>10.480597920580347</v>
      </c>
      <c r="CW16" s="22">
        <f t="shared" si="13"/>
        <v>78.031511845010769</v>
      </c>
      <c r="CX16" s="62">
        <f t="shared" si="14"/>
        <v>350.5870674005663</v>
      </c>
      <c r="CY16" s="62">
        <f ca="1">AVERAGE(OFFSET($CX$3,0,0,'Données projet'!$E$13+1,1))-AVERAGE(OFFSET($H$3,0,0,'Données projet'!$E$13+1,1))</f>
        <v>370.59298168107364</v>
      </c>
      <c r="CZ16" s="62">
        <f t="shared" si="42"/>
        <v>404.61777090709171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7.4</v>
      </c>
      <c r="DO16" s="13">
        <f>IF('Données projet'!$A$166&gt;35,DO15+DN16-DW15,IF(A16&lt;'Données projet'!$A$166,$DL$205^A16,IF(A16='Données projet'!$A$166,'Données projet'!$B$166,DO15+DN16-DW15)))</f>
        <v>45.199999999999996</v>
      </c>
      <c r="DP16" s="18">
        <f>DO16*VLOOKUP('Données projet'!$B$14,Paramètres!$A$1:$I$89,3,0)*VLOOKUP('Données projet'!$B$14,Paramètres!$A$1:$I$89,5,0)</f>
        <v>39.486720000000005</v>
      </c>
      <c r="DQ16" s="14">
        <f t="shared" si="43"/>
        <v>11.862499896265861</v>
      </c>
      <c r="DR16" s="22">
        <f t="shared" si="16"/>
        <v>89.433224652663043</v>
      </c>
      <c r="DS16" s="62">
        <f t="shared" si="17"/>
        <v>361.9887802082186</v>
      </c>
      <c r="DT16" s="62">
        <f ca="1">AVERAGE(OFFSET($DS$3,0,0,'Données projet'!$E$14+1,1))-AVERAGE(OFFSET($H$3,0,0,'Données projet'!$E$14+1,1))</f>
        <v>341.65872153228599</v>
      </c>
      <c r="DU16" s="62">
        <f t="shared" si="44"/>
        <v>339.49697153894937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3.3333333333333335</v>
      </c>
      <c r="EJ16" s="13">
        <f>IF('Données projet'!$A$192&gt;35,EJ15+EI16-ER15,IF(A16&lt;'Données projet'!$A$192,$EG$205^A16,IF(A16='Données projet'!$A$192,'Données projet'!$B$192,EJ15+EI16-ER15)))</f>
        <v>29.678412748283769</v>
      </c>
      <c r="EK16" s="18">
        <f>EJ16*VLOOKUP('Données projet'!$B$15,Paramètres!$A$1:$I$89,3,0)*VLOOKUP('Données projet'!$B$15,Paramètres!$A$1:$I$89,5,0)</f>
        <v>19.90827927154875</v>
      </c>
      <c r="EL16" s="14">
        <f t="shared" si="45"/>
        <v>6.4770651239957129</v>
      </c>
      <c r="EM16" s="22">
        <f t="shared" si="19"/>
        <v>45.954474822239945</v>
      </c>
      <c r="EN16" s="62">
        <f t="shared" si="20"/>
        <v>318.51003037779549</v>
      </c>
      <c r="EO16" s="62">
        <f ca="1">AVERAGE(OFFSET($EN$3,0,0,'Données projet'!$E$15+1,1))-AVERAGE(OFFSET($H$3,0,0,'Données projet'!$E$15+1,1))</f>
        <v>312.06797204903796</v>
      </c>
      <c r="EP16" s="62">
        <f t="shared" si="46"/>
        <v>258.20189001775151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2.1</v>
      </c>
      <c r="FE16" s="13">
        <f>IF('Données projet'!$A$218&gt;35,FE15+FD16-FM15,IF(A16&lt;'Données projet'!$A$218,$FB$205^A16,IF(A16='Données projet'!$A$218,'Données projet'!$B$218,FE15+FD16-FM15)))</f>
        <v>11.35303662145153</v>
      </c>
      <c r="FF16" s="18">
        <f>FE16*VLOOKUP('Données projet'!$B$16,Paramètres!$A$1:$I$89,3,0)*VLOOKUP('Données projet'!$B$16,Paramètres!$A$1:$I$89,5,0)</f>
        <v>10.98065702026792</v>
      </c>
      <c r="FG16" s="14">
        <f t="shared" si="47"/>
        <v>3.8286992592655618</v>
      </c>
      <c r="FH16" s="22">
        <f t="shared" si="22"/>
        <v>25.792962186854144</v>
      </c>
      <c r="FI16" s="62">
        <f t="shared" si="23"/>
        <v>298.34851774240968</v>
      </c>
      <c r="FJ16" s="62">
        <f ca="1">AVERAGE(OFFSET($FI$3,0,0,'Données projet'!$E$16+1,1))-AVERAGE(OFFSET($H$3,0,0,'Données projet'!$E$16+1,1))</f>
        <v>455.50822833641354</v>
      </c>
      <c r="FK16" s="62">
        <f t="shared" si="48"/>
        <v>261.14722581688039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7.7987854251012134</v>
      </c>
      <c r="N17" s="14">
        <f>IF('Données projet'!$A$36&gt;35,N16+M17-V16,IF(A17&lt;'Données projet'!$A$36,$K$205^A17,IF(A17='Données projet'!$A$36,'Données projet'!$B$36,N16+M17-V16)))</f>
        <v>39.766972318234998</v>
      </c>
      <c r="O17" s="14">
        <f>N17*VLOOKUP('Données projet'!$B$9,Paramètres!$A$1:$I$89,3,0)*VLOOKUP('Données projet'!$B$9,Paramètres!$A$1:$I$89,5,0)</f>
        <v>22.229737525893363</v>
      </c>
      <c r="P17" s="14">
        <f t="shared" si="33"/>
        <v>7.1400827186834128</v>
      </c>
      <c r="Q17" s="22">
        <f t="shared" si="2"/>
        <v>51.152436925971216</v>
      </c>
      <c r="R17" s="62">
        <f t="shared" si="0"/>
        <v>324.93021470374902</v>
      </c>
      <c r="S17" s="62">
        <f ca="1">AVERAGE(OFFSET($R$3,0,0,'Données projet'!$E$9+1,1))-AVERAGE(OFFSET($H$3,0,0,'Données projet'!$E$9+1,1))</f>
        <v>323.98185264074681</v>
      </c>
      <c r="T17" s="62">
        <f t="shared" si="34"/>
        <v>301.22207291854005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5.2912820512820513</v>
      </c>
      <c r="AI17" s="14">
        <f>IF('Données projet'!$A$62&gt;35,AI16+AH17-AQ16,IF(A17&lt;'Données projet'!$A$62,$AF$205^A17,IF(A17='Données projet'!$A$62,'Données projet'!$B$62,AI16+AH17-AQ16)))</f>
        <v>10.641062921461002</v>
      </c>
      <c r="AJ17" s="14">
        <f>AI17*VLOOKUP('Données projet'!$B$10,Paramètres!$A$1:$I$89,3,0)*VLOOKUP('Données projet'!$B$10,Paramètres!$A$1:$I$89,5,0)</f>
        <v>4.9800174472437488</v>
      </c>
      <c r="AK17" s="14">
        <f t="shared" si="35"/>
        <v>1.9038172457245992</v>
      </c>
      <c r="AL17" s="22">
        <f t="shared" si="4"/>
        <v>11.989345423586537</v>
      </c>
      <c r="AM17" s="62">
        <f t="shared" si="5"/>
        <v>285.76712320136431</v>
      </c>
      <c r="AN17" s="62">
        <f ca="1">AVERAGE(OFFSET($AM$3,0,0,'Données projet'!$E$10+1,1))-AVERAGE(OFFSET($H$3,0,0,'Données projet'!$E$10+1,1))</f>
        <v>276.78862011733338</v>
      </c>
      <c r="AO17" s="62">
        <f t="shared" si="36"/>
        <v>202.1678469635836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12.383034850580612</v>
      </c>
      <c r="BF17" s="14">
        <f t="shared" si="37"/>
        <v>4.2576904771143838</v>
      </c>
      <c r="BG17" s="22">
        <f t="shared" si="7"/>
        <v>28.982596612402116</v>
      </c>
      <c r="BH17" s="62">
        <f t="shared" si="8"/>
        <v>302.76037439017989</v>
      </c>
      <c r="BI17" s="62">
        <f ca="1">AVERAGE(OFFSET($BH$3,0,0,'Données projet'!$E$11+1,1))-AVERAGE(OFFSET($H$3,0,0,'Données projet'!$E$11+1,1))</f>
        <v>428.8489304403459</v>
      </c>
      <c r="BJ17" s="62">
        <f t="shared" si="38"/>
        <v>247.01165577562966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2.3805128205128203</v>
      </c>
      <c r="BY17" s="13">
        <f>IF('Données projet'!$A$114&gt;35,BY16+BX17-CG16,IF(A17&lt;'Données projet'!$A$114,$BV$205^A17,IF(A17='Données projet'!$A$114,'Données projet'!$B$114,BY16+BX17-CG16)))</f>
        <v>28.134832345956244</v>
      </c>
      <c r="BZ17" s="14">
        <f>BY17*VLOOKUP('Données projet'!$B$12,Paramètres!$A$1:$I$89,3,0)*VLOOKUP('Données projet'!$B$12,Paramètres!$A$1:$I$89,5,0)</f>
        <v>16.824629742881836</v>
      </c>
      <c r="CA17" s="14">
        <f t="shared" si="39"/>
        <v>5.5820988439469144</v>
      </c>
      <c r="CB17" s="22">
        <f t="shared" si="10"/>
        <v>39.025052288726734</v>
      </c>
      <c r="CC17" s="62">
        <f t="shared" si="11"/>
        <v>312.8028300665045</v>
      </c>
      <c r="CD17" s="62">
        <f ca="1">AVERAGE(OFFSET($CC$3,0,0,'Données projet'!$E$12+1,1))-AVERAGE(OFFSET($H$3,0,0,'Données projet'!$E$12+1,1))</f>
        <v>289.12367833861299</v>
      </c>
      <c r="CE17" s="62">
        <f t="shared" si="40"/>
        <v>229.06617320689003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10.68</v>
      </c>
      <c r="CT17" s="13">
        <f>IF('Données projet'!$A$140&gt;35,CT16+CS17-DB16,IF(A17&lt;'Données projet'!$A$140,$CQ$205^A17,IF(A17='Données projet'!$A$140,'Données projet'!$B$140,CT16+CS17-DB16)))</f>
        <v>53.82</v>
      </c>
      <c r="CU17" s="18">
        <f>CT17*VLOOKUP('Données projet'!$B$13,Paramètres!$A$1:$I$89,3,0)*VLOOKUP('Données projet'!$B$13,Paramètres!$A$1:$I$89,5,0)</f>
        <v>42.819192000000001</v>
      </c>
      <c r="CV17" s="14">
        <f t="shared" si="41"/>
        <v>12.742886505722554</v>
      </c>
      <c r="CW17" s="22">
        <f t="shared" si="13"/>
        <v>96.770620064133439</v>
      </c>
      <c r="CX17" s="62">
        <f t="shared" si="14"/>
        <v>370.5483978419112</v>
      </c>
      <c r="CY17" s="62">
        <f ca="1">AVERAGE(OFFSET($CX$3,0,0,'Données projet'!$E$13+1,1))-AVERAGE(OFFSET($H$3,0,0,'Données projet'!$E$13+1,1))</f>
        <v>370.59298168107364</v>
      </c>
      <c r="CZ17" s="62">
        <f t="shared" si="42"/>
        <v>404.61777090709171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7.4</v>
      </c>
      <c r="DO17" s="13">
        <f>IF('Données projet'!$A$166&gt;35,DO16+DN17-DW16,IF(A17&lt;'Données projet'!$A$166,$DL$205^A17,IF(A17='Données projet'!$A$166,'Données projet'!$B$166,DO16+DN17-DW16)))</f>
        <v>52.599999999999994</v>
      </c>
      <c r="DP17" s="18">
        <f>DO17*VLOOKUP('Données projet'!$B$14,Paramètres!$A$1:$I$89,3,0)*VLOOKUP('Données projet'!$B$14,Paramètres!$A$1:$I$89,5,0)</f>
        <v>45.951360000000001</v>
      </c>
      <c r="DQ17" s="14">
        <f t="shared" si="43"/>
        <v>13.563098137964777</v>
      </c>
      <c r="DR17" s="22">
        <f t="shared" si="16"/>
        <v>103.65434792362198</v>
      </c>
      <c r="DS17" s="62">
        <f t="shared" si="17"/>
        <v>377.43212570139974</v>
      </c>
      <c r="DT17" s="62">
        <f ca="1">AVERAGE(OFFSET($DS$3,0,0,'Données projet'!$E$14+1,1))-AVERAGE(OFFSET($H$3,0,0,'Données projet'!$E$14+1,1))</f>
        <v>341.65872153228599</v>
      </c>
      <c r="DU17" s="62">
        <f t="shared" si="44"/>
        <v>339.49697153894937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3.3333333333333335</v>
      </c>
      <c r="EJ17" s="13">
        <f>IF('Données projet'!$A$192&gt;35,EJ16+EI17-ER16,IF(A17&lt;'Données projet'!$A$192,$EG$205^A17,IF(A17='Données projet'!$A$192,'Données projet'!$B$192,EJ16+EI17-ER16)))</f>
        <v>38.521690479704915</v>
      </c>
      <c r="EK17" s="18">
        <f>EJ17*VLOOKUP('Données projet'!$B$15,Paramètres!$A$1:$I$89,3,0)*VLOOKUP('Données projet'!$B$15,Paramètres!$A$1:$I$89,5,0)</f>
        <v>25.840349973786058</v>
      </c>
      <c r="EL17" s="14">
        <f t="shared" si="45"/>
        <v>8.1556564542120462</v>
      </c>
      <c r="EM17" s="22">
        <f t="shared" si="19"/>
        <v>59.209711195430032</v>
      </c>
      <c r="EN17" s="62">
        <f t="shared" si="20"/>
        <v>332.9874889732078</v>
      </c>
      <c r="EO17" s="62">
        <f ca="1">AVERAGE(OFFSET($EN$3,0,0,'Données projet'!$E$15+1,1))-AVERAGE(OFFSET($H$3,0,0,'Données projet'!$E$15+1,1))</f>
        <v>312.06797204903796</v>
      </c>
      <c r="EP17" s="62">
        <f t="shared" si="46"/>
        <v>258.20189001775151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2.1</v>
      </c>
      <c r="FE17" s="13">
        <f>IF('Données projet'!$A$218&gt;35,FE16+FD17-FM16,IF(A17&lt;'Données projet'!$A$218,$FB$205^A17,IF(A17='Données projet'!$A$218,'Données projet'!$B$218,FE16+FD17-FM16)))</f>
        <v>13.685935953338433</v>
      </c>
      <c r="FF17" s="18">
        <f>FE17*VLOOKUP('Données projet'!$B$16,Paramètres!$A$1:$I$89,3,0)*VLOOKUP('Données projet'!$B$16,Paramètres!$A$1:$I$89,5,0)</f>
        <v>13.237037254068934</v>
      </c>
      <c r="FG17" s="14">
        <f t="shared" si="47"/>
        <v>4.5161297192961545</v>
      </c>
      <c r="FH17" s="22">
        <f t="shared" si="22"/>
        <v>30.920099145277529</v>
      </c>
      <c r="FI17" s="62">
        <f t="shared" si="23"/>
        <v>304.69787692305528</v>
      </c>
      <c r="FJ17" s="62">
        <f ca="1">AVERAGE(OFFSET($FI$3,0,0,'Données projet'!$E$16+1,1))-AVERAGE(OFFSET($H$3,0,0,'Données projet'!$E$16+1,1))</f>
        <v>455.50822833641354</v>
      </c>
      <c r="FK17" s="62">
        <f t="shared" si="48"/>
        <v>261.14722581688039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7.7987854251012134</v>
      </c>
      <c r="N18" s="14">
        <f>IF('Données projet'!$A$36&gt;35,N17+M18-V17,IF(A18&lt;'Données projet'!$A$36,$K$205^A18,IF(A18='Données projet'!$A$36,'Données projet'!$B$36,N17+M18-V17)))</f>
        <v>51.73377096531113</v>
      </c>
      <c r="O18" s="14">
        <f>N18*VLOOKUP('Données projet'!$B$9,Paramètres!$A$1:$I$89,3,0)*VLOOKUP('Données projet'!$B$9,Paramètres!$A$1:$I$89,5,0)</f>
        <v>28.919177969608924</v>
      </c>
      <c r="P18" s="14">
        <f t="shared" si="33"/>
        <v>9.0085722278754812</v>
      </c>
      <c r="Q18" s="22">
        <f t="shared" si="2"/>
        <v>66.057498260618672</v>
      </c>
      <c r="R18" s="62">
        <f t="shared" si="0"/>
        <v>341.05749826061867</v>
      </c>
      <c r="S18" s="62">
        <f ca="1">AVERAGE(OFFSET($R$3,0,0,'Données projet'!$E$9+1,1))-AVERAGE(OFFSET($H$3,0,0,'Données projet'!$E$9+1,1))</f>
        <v>323.98185264074681</v>
      </c>
      <c r="T18" s="62">
        <f t="shared" si="34"/>
        <v>301.22207291854005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5.2912820512820513</v>
      </c>
      <c r="AI18" s="14">
        <f>IF('Données projet'!$A$62&gt;35,AI17+AH18-AQ17,IF(A18&lt;'Données projet'!$A$62,$AF$205^A18,IF(A18='Données projet'!$A$62,'Données projet'!$B$62,AI17+AH18-AQ17)))</f>
        <v>12.599145270154715</v>
      </c>
      <c r="AJ18" s="14">
        <f>AI18*VLOOKUP('Données projet'!$B$10,Paramètres!$A$1:$I$89,3,0)*VLOOKUP('Données projet'!$B$10,Paramètres!$A$1:$I$89,5,0)</f>
        <v>5.8963999864324066</v>
      </c>
      <c r="AK18" s="14">
        <f t="shared" si="35"/>
        <v>2.210256528234583</v>
      </c>
      <c r="AL18" s="22">
        <f t="shared" si="4"/>
        <v>14.119093429711674</v>
      </c>
      <c r="AM18" s="62">
        <f t="shared" si="5"/>
        <v>289.11909342971165</v>
      </c>
      <c r="AN18" s="62">
        <f ca="1">AVERAGE(OFFSET($AM$3,0,0,'Données projet'!$E$10+1,1))-AVERAGE(OFFSET($H$3,0,0,'Données projet'!$E$10+1,1))</f>
        <v>276.78862011733338</v>
      </c>
      <c r="AO18" s="62">
        <f t="shared" si="36"/>
        <v>202.1678469635836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14.927585237660953</v>
      </c>
      <c r="BF18" s="14">
        <f t="shared" si="37"/>
        <v>5.0221449106318534</v>
      </c>
      <c r="BG18" s="22">
        <f t="shared" si="7"/>
        <v>34.745780008276633</v>
      </c>
      <c r="BH18" s="62">
        <f t="shared" si="8"/>
        <v>309.74578000827665</v>
      </c>
      <c r="BI18" s="62">
        <f ca="1">AVERAGE(OFFSET($BH$3,0,0,'Données projet'!$E$11+1,1))-AVERAGE(OFFSET($H$3,0,0,'Données projet'!$E$11+1,1))</f>
        <v>428.8489304403459</v>
      </c>
      <c r="BJ18" s="62">
        <f t="shared" si="38"/>
        <v>247.01165577562966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35.707692307692305</v>
      </c>
      <c r="BW18" s="13">
        <f>VLOOKUP(A18,'Données projet'!$A$113:$I$133,9,0)</f>
        <v>2.3805128205128203</v>
      </c>
      <c r="BX18" s="13">
        <f t="array" ref="BX18">INDEX(BW:BW,MIN(IF(ISNUMBER(BW18:BW214),ROW(BW18:BW214),"")))</f>
        <v>2.3805128205128203</v>
      </c>
      <c r="BY18" s="13">
        <f>IF('Données projet'!$A$114&gt;35,BY17+BX18-CG17,IF(A18&lt;'Données projet'!$A$114,$BV$205^A18,IF(A18='Données projet'!$A$114,'Données projet'!$B$114,BY17+BX18-CG17)))</f>
        <v>35.707692307692305</v>
      </c>
      <c r="BZ18" s="14">
        <f>BY18*VLOOKUP('Données projet'!$B$12,Paramètres!$A$1:$I$89,3,0)*VLOOKUP('Données projet'!$B$12,Paramètres!$A$1:$I$89,5,0)</f>
        <v>21.353200000000001</v>
      </c>
      <c r="CA18" s="14">
        <f t="shared" si="39"/>
        <v>6.8907349180546449</v>
      </c>
      <c r="CB18" s="22">
        <f t="shared" si="10"/>
        <v>49.1915199822785</v>
      </c>
      <c r="CC18" s="62">
        <f t="shared" si="11"/>
        <v>324.19151998227852</v>
      </c>
      <c r="CD18" s="62">
        <f ca="1">AVERAGE(OFFSET($CC$3,0,0,'Données projet'!$E$12+1,1))-AVERAGE(OFFSET($H$3,0,0,'Données projet'!$E$12+1,1))</f>
        <v>289.12367833861299</v>
      </c>
      <c r="CE18" s="62">
        <f t="shared" si="40"/>
        <v>229.06617320689003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64.5</v>
      </c>
      <c r="CR18" s="13">
        <f>VLOOKUP(A18,'Données projet'!$A$139:$I$159,9,0)</f>
        <v>10.68</v>
      </c>
      <c r="CS18" s="13">
        <f t="array" ref="CS18">INDEX(CR:CR,MIN(IF(ISNUMBER(CR18:CR214),ROW(CR18:CR214),"")))</f>
        <v>10.68</v>
      </c>
      <c r="CT18" s="13">
        <f>IF('Données projet'!$A$140&gt;35,CT17+CS18-DB17,IF(A18&lt;'Données projet'!$A$140,$CQ$205^A18,IF(A18='Données projet'!$A$140,'Données projet'!$B$140,CT17+CS18-DB17)))</f>
        <v>64.5</v>
      </c>
      <c r="CU18" s="18">
        <f>CT18*VLOOKUP('Données projet'!$B$13,Paramètres!$A$1:$I$89,3,0)*VLOOKUP('Données projet'!$B$13,Paramètres!$A$1:$I$89,5,0)</f>
        <v>51.316200000000009</v>
      </c>
      <c r="CV18" s="14">
        <f t="shared" si="41"/>
        <v>14.953158316506878</v>
      </c>
      <c r="CW18" s="22">
        <f t="shared" si="13"/>
        <v>115.41913240124948</v>
      </c>
      <c r="CX18" s="62">
        <f t="shared" si="14"/>
        <v>390.4191324012495</v>
      </c>
      <c r="CY18" s="62">
        <f ca="1">AVERAGE(OFFSET($CX$3,0,0,'Données projet'!$E$13+1,1))-AVERAGE(OFFSET($H$3,0,0,'Données projet'!$E$13+1,1))</f>
        <v>370.59298168107364</v>
      </c>
      <c r="CZ18" s="62">
        <f t="shared" si="42"/>
        <v>404.61777090709171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60</v>
      </c>
      <c r="DM18" s="13">
        <f>VLOOKUP(A18,'Données projet'!$A$165:$I$185,9,0)</f>
        <v>7.4</v>
      </c>
      <c r="DN18" s="13">
        <f t="array" ref="DN18">INDEX(DM:DM,MIN(IF(ISNUMBER(DM18:DM214),ROW(DM18:DM214),"")))</f>
        <v>7.4</v>
      </c>
      <c r="DO18" s="13">
        <f>IF('Données projet'!$A$166&gt;35,DO17+DN18-DW17,IF(A18&lt;'Données projet'!$A$166,$DL$205^A18,IF(A18='Données projet'!$A$166,'Données projet'!$B$166,DO17+DN18-DW17)))</f>
        <v>59.999999999999993</v>
      </c>
      <c r="DP18" s="18">
        <f>DO18*VLOOKUP('Données projet'!$B$14,Paramètres!$A$1:$I$89,3,0)*VLOOKUP('Données projet'!$B$14,Paramètres!$A$1:$I$89,5,0)</f>
        <v>52.416000000000004</v>
      </c>
      <c r="DQ18" s="14">
        <f t="shared" si="43"/>
        <v>15.235978301273029</v>
      </c>
      <c r="DR18" s="22">
        <f t="shared" si="16"/>
        <v>117.82719554138386</v>
      </c>
      <c r="DS18" s="62">
        <f t="shared" si="17"/>
        <v>392.82719554138384</v>
      </c>
      <c r="DT18" s="62">
        <f ca="1">AVERAGE(OFFSET($DS$3,0,0,'Données projet'!$E$14+1,1))-AVERAGE(OFFSET($H$3,0,0,'Données projet'!$E$14+1,1))</f>
        <v>341.65872153228599</v>
      </c>
      <c r="DU18" s="62">
        <f t="shared" si="44"/>
        <v>339.49697153894937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50</v>
      </c>
      <c r="EH18" s="13">
        <f>VLOOKUP(A18,'Données projet'!$A$191:$I$211,9,0)</f>
        <v>3.3333333333333335</v>
      </c>
      <c r="EI18" s="13">
        <f t="array" ref="EI18">INDEX(EH:EH,MIN(IF(ISNUMBER(EH18:EH214),ROW(EH18:EH214),"")))</f>
        <v>3.3333333333333335</v>
      </c>
      <c r="EJ18" s="13">
        <f>IF('Données projet'!$A$192&gt;35,EJ17+EI18-ER17,IF(A18&lt;'Données projet'!$A$192,$EG$205^A18,IF(A18='Données projet'!$A$192,'Données projet'!$B$192,EJ17+EI18-ER17)))</f>
        <v>50</v>
      </c>
      <c r="EK18" s="18">
        <f>EJ18*VLOOKUP('Données projet'!$B$15,Paramètres!$A$1:$I$89,3,0)*VLOOKUP('Données projet'!$B$15,Paramètres!$A$1:$I$89,5,0)</f>
        <v>33.54</v>
      </c>
      <c r="EL18" s="14">
        <f t="shared" si="45"/>
        <v>10.269270252156668</v>
      </c>
      <c r="EM18" s="22">
        <f t="shared" si="19"/>
        <v>76.301145689172856</v>
      </c>
      <c r="EN18" s="62">
        <f t="shared" si="20"/>
        <v>351.30114568917287</v>
      </c>
      <c r="EO18" s="62">
        <f ca="1">AVERAGE(OFFSET($EN$3,0,0,'Données projet'!$E$15+1,1))-AVERAGE(OFFSET($H$3,0,0,'Données projet'!$E$15+1,1))</f>
        <v>312.06797204903796</v>
      </c>
      <c r="EP18" s="62">
        <f t="shared" si="46"/>
        <v>258.20189001775151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2.1</v>
      </c>
      <c r="FE18" s="13">
        <f>IF('Données projet'!$A$218&gt;35,FE17+FD18-FM17,IF(A18&lt;'Données projet'!$A$218,$FB$205^A18,IF(A18='Données projet'!$A$218,'Données projet'!$B$218,FE17+FD18-FM17)))</f>
        <v>16.498215337821566</v>
      </c>
      <c r="FF18" s="18">
        <f>FE18*VLOOKUP('Données projet'!$B$16,Paramètres!$A$1:$I$89,3,0)*VLOOKUP('Données projet'!$B$16,Paramètres!$A$1:$I$89,5,0)</f>
        <v>15.957073874741019</v>
      </c>
      <c r="FG18" s="14">
        <f t="shared" si="47"/>
        <v>5.3269860755326848</v>
      </c>
      <c r="FH18" s="22">
        <f t="shared" si="22"/>
        <v>37.069737746726702</v>
      </c>
      <c r="FI18" s="62">
        <f t="shared" si="23"/>
        <v>312.06973774672667</v>
      </c>
      <c r="FJ18" s="62">
        <f ca="1">AVERAGE(OFFSET($FI$3,0,0,'Données projet'!$E$16+1,1))-AVERAGE(OFFSET($H$3,0,0,'Données projet'!$E$16+1,1))</f>
        <v>455.50822833641354</v>
      </c>
      <c r="FK18" s="62">
        <f t="shared" si="48"/>
        <v>261.14722581688039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7.7987854251012134</v>
      </c>
      <c r="N19" s="14">
        <f>IF('Données projet'!$A$36&gt;35,N18+M19-V18,IF(A19&lt;'Données projet'!$A$36,$K$205^A19,IF(A19='Données projet'!$A$36,'Données projet'!$B$36,N18+M19-V18)))</f>
        <v>67.301655174387619</v>
      </c>
      <c r="O19" s="14">
        <f>N19*VLOOKUP('Données projet'!$B$9,Paramètres!$A$1:$I$89,3,0)*VLOOKUP('Données projet'!$B$9,Paramètres!$A$1:$I$89,5,0)</f>
        <v>37.621625242482679</v>
      </c>
      <c r="P19" s="14">
        <f t="shared" si="33"/>
        <v>11.366027087122298</v>
      </c>
      <c r="Q19" s="22">
        <f t="shared" si="2"/>
        <v>85.320161140728672</v>
      </c>
      <c r="R19" s="62">
        <f t="shared" si="0"/>
        <v>361.54238336295089</v>
      </c>
      <c r="S19" s="62">
        <f ca="1">AVERAGE(OFFSET($R$3,0,0,'Données projet'!$E$9+1,1))-AVERAGE(OFFSET($H$3,0,0,'Données projet'!$E$9+1,1))</f>
        <v>323.98185264074681</v>
      </c>
      <c r="T19" s="62">
        <f t="shared" si="34"/>
        <v>301.22207291854005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5.2912820512820513</v>
      </c>
      <c r="AI19" s="14">
        <f>IF('Données projet'!$A$62&gt;35,AI18+AH19-AQ18,IF(A19&lt;'Données projet'!$A$62,$AF$205^A19,IF(A19='Données projet'!$A$62,'Données projet'!$B$62,AI18+AH19-AQ18)))</f>
        <v>14.917538098409006</v>
      </c>
      <c r="AJ19" s="14">
        <f>AI19*VLOOKUP('Données projet'!$B$10,Paramètres!$A$1:$I$89,3,0)*VLOOKUP('Données projet'!$B$10,Paramètres!$A$1:$I$89,5,0)</f>
        <v>6.9814078300554154</v>
      </c>
      <c r="AK19" s="14">
        <f t="shared" si="35"/>
        <v>2.5660204158641595</v>
      </c>
      <c r="AL19" s="22">
        <f t="shared" si="4"/>
        <v>16.628437528309927</v>
      </c>
      <c r="AM19" s="62">
        <f t="shared" si="5"/>
        <v>292.85065975053215</v>
      </c>
      <c r="AN19" s="62">
        <f ca="1">AVERAGE(OFFSET($AM$3,0,0,'Données projet'!$E$10+1,1))-AVERAGE(OFFSET($H$3,0,0,'Données projet'!$E$10+1,1))</f>
        <v>276.78862011733338</v>
      </c>
      <c r="AO19" s="62">
        <f t="shared" si="36"/>
        <v>202.1678469635836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17.995007178485412</v>
      </c>
      <c r="BF19" s="14">
        <f t="shared" si="37"/>
        <v>5.9238546434872337</v>
      </c>
      <c r="BG19" s="22">
        <f t="shared" si="7"/>
        <v>41.658684339935689</v>
      </c>
      <c r="BH19" s="62">
        <f t="shared" si="8"/>
        <v>317.88090656215792</v>
      </c>
      <c r="BI19" s="62">
        <f ca="1">AVERAGE(OFFSET($BH$3,0,0,'Données projet'!$E$11+1,1))-AVERAGE(OFFSET($H$3,0,0,'Données projet'!$E$11+1,1))</f>
        <v>428.8489304403459</v>
      </c>
      <c r="BJ19" s="62">
        <f t="shared" si="38"/>
        <v>247.01165577562966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13.103846153846154</v>
      </c>
      <c r="BY19" s="13">
        <f>IF('Données projet'!$A$114&gt;35,BY18+BX19-CG18,IF(A19&lt;'Données projet'!$A$114,$BV$205^A19,IF(A19='Données projet'!$A$114,'Données projet'!$B$114,BY18+BX19-CG18)))</f>
        <v>48.811538461538461</v>
      </c>
      <c r="BZ19" s="14">
        <f>BY19*VLOOKUP('Données projet'!$B$12,Paramètres!$A$1:$I$89,3,0)*VLOOKUP('Données projet'!$B$12,Paramètres!$A$1:$I$89,5,0)</f>
        <v>29.189300000000003</v>
      </c>
      <c r="CA19" s="14">
        <f t="shared" si="39"/>
        <v>9.0828827639780165</v>
      </c>
      <c r="CB19" s="22">
        <f t="shared" si="10"/>
        <v>66.657384980595054</v>
      </c>
      <c r="CC19" s="62">
        <f t="shared" si="11"/>
        <v>342.87960720281728</v>
      </c>
      <c r="CD19" s="62">
        <f ca="1">AVERAGE(OFFSET($CC$3,0,0,'Données projet'!$E$12+1,1))-AVERAGE(OFFSET($H$3,0,0,'Données projet'!$E$12+1,1))</f>
        <v>289.12367833861299</v>
      </c>
      <c r="CE19" s="62">
        <f t="shared" si="40"/>
        <v>229.06617320689003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13.760000000000002</v>
      </c>
      <c r="CT19" s="13">
        <f>IF('Données projet'!$A$140&gt;35,CT18+CS19-DB18,IF(A19&lt;'Données projet'!$A$140,$CQ$205^A19,IF(A19='Données projet'!$A$140,'Données projet'!$B$140,CT18+CS19-DB18)))</f>
        <v>78.260000000000005</v>
      </c>
      <c r="CU19" s="18">
        <f>CT19*VLOOKUP('Données projet'!$B$13,Paramètres!$A$1:$I$89,3,0)*VLOOKUP('Données projet'!$B$13,Paramètres!$A$1:$I$89,5,0)</f>
        <v>62.263656000000012</v>
      </c>
      <c r="CV19" s="14">
        <f t="shared" si="41"/>
        <v>17.739352894036266</v>
      </c>
      <c r="CW19" s="22">
        <f t="shared" si="13"/>
        <v>139.33857382377983</v>
      </c>
      <c r="CX19" s="62">
        <f t="shared" si="14"/>
        <v>415.56079604600205</v>
      </c>
      <c r="CY19" s="62">
        <f ca="1">AVERAGE(OFFSET($CX$3,0,0,'Données projet'!$E$13+1,1))-AVERAGE(OFFSET($H$3,0,0,'Données projet'!$E$13+1,1))</f>
        <v>370.59298168107364</v>
      </c>
      <c r="CZ19" s="62">
        <f t="shared" si="42"/>
        <v>404.61777090709171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9.6</v>
      </c>
      <c r="DO19" s="13">
        <f>IF('Données projet'!$A$166&gt;35,DO18+DN19-DW18,IF(A19&lt;'Données projet'!$A$166,$DL$205^A19,IF(A19='Données projet'!$A$166,'Données projet'!$B$166,DO18+DN19-DW18)))</f>
        <v>69.599999999999994</v>
      </c>
      <c r="DP19" s="18">
        <f>DO19*VLOOKUP('Données projet'!$B$14,Paramètres!$A$1:$I$89,3,0)*VLOOKUP('Données projet'!$B$14,Paramètres!$A$1:$I$89,5,0)</f>
        <v>60.80256</v>
      </c>
      <c r="DQ19" s="14">
        <f t="shared" si="43"/>
        <v>17.371024177726472</v>
      </c>
      <c r="DR19" s="22">
        <f t="shared" si="16"/>
        <v>136.15232577620694</v>
      </c>
      <c r="DS19" s="62">
        <f t="shared" si="17"/>
        <v>412.37454799842919</v>
      </c>
      <c r="DT19" s="62">
        <f ca="1">AVERAGE(OFFSET($DS$3,0,0,'Données projet'!$E$14+1,1))-AVERAGE(OFFSET($H$3,0,0,'Données projet'!$E$14+1,1))</f>
        <v>341.65872153228599</v>
      </c>
      <c r="DU19" s="62">
        <f t="shared" si="44"/>
        <v>339.49697153894937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8.2051282051282044</v>
      </c>
      <c r="EJ19" s="13">
        <f>IF('Données projet'!$A$192&gt;35,EJ18+EI19-ER18,IF(A19&lt;'Données projet'!$A$192,$EG$205^A19,IF(A19='Données projet'!$A$192,'Données projet'!$B$192,EJ18+EI19-ER18)))</f>
        <v>58.205128205128204</v>
      </c>
      <c r="EK19" s="18">
        <f>EJ19*VLOOKUP('Données projet'!$B$15,Paramètres!$A$1:$I$89,3,0)*VLOOKUP('Données projet'!$B$15,Paramètres!$A$1:$I$89,5,0)</f>
        <v>39.043999999999997</v>
      </c>
      <c r="EL19" s="14">
        <f t="shared" si="45"/>
        <v>11.744903368873258</v>
      </c>
      <c r="EM19" s="22">
        <f t="shared" si="19"/>
        <v>88.457340034120918</v>
      </c>
      <c r="EN19" s="62">
        <f t="shared" si="20"/>
        <v>364.67956225634316</v>
      </c>
      <c r="EO19" s="62">
        <f ca="1">AVERAGE(OFFSET($EN$3,0,0,'Données projet'!$E$15+1,1))-AVERAGE(OFFSET($H$3,0,0,'Données projet'!$E$15+1,1))</f>
        <v>312.06797204903796</v>
      </c>
      <c r="EP19" s="62">
        <f t="shared" si="46"/>
        <v>258.20189001775151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2.1</v>
      </c>
      <c r="FE19" s="13">
        <f>IF('Données projet'!$A$218&gt;35,FE18+FD19-FM18,IF(A19&lt;'Données projet'!$A$218,$FB$205^A19,IF(A19='Données projet'!$A$218,'Données projet'!$B$218,FE18+FD19-FM18)))</f>
        <v>19.888381054913147</v>
      </c>
      <c r="FF19" s="18">
        <f>FE19*VLOOKUP('Données projet'!$B$16,Paramètres!$A$1:$I$89,3,0)*VLOOKUP('Données projet'!$B$16,Paramètres!$A$1:$I$89,5,0)</f>
        <v>19.236042156311996</v>
      </c>
      <c r="FG19" s="14">
        <f t="shared" si="47"/>
        <v>6.2834290449348904</v>
      </c>
      <c r="FH19" s="22">
        <f t="shared" si="22"/>
        <v>44.446412342171662</v>
      </c>
      <c r="FI19" s="62">
        <f t="shared" si="23"/>
        <v>320.66863456439387</v>
      </c>
      <c r="FJ19" s="62">
        <f ca="1">AVERAGE(OFFSET($FI$3,0,0,'Données projet'!$E$16+1,1))-AVERAGE(OFFSET($H$3,0,0,'Données projet'!$E$16+1,1))</f>
        <v>455.50822833641354</v>
      </c>
      <c r="FK19" s="62">
        <f t="shared" si="48"/>
        <v>261.14722581688039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7.7987854251012134</v>
      </c>
      <c r="N20" s="14">
        <f>IF('Données projet'!$A$36&gt;35,N19+M20-V19,IF(A20&lt;'Données projet'!$A$36,$K$205^A20,IF(A20='Données projet'!$A$36,'Données projet'!$B$36,N19+M20-V19)))</f>
        <v>87.554274600421721</v>
      </c>
      <c r="O20" s="14">
        <f>N20*VLOOKUP('Données projet'!$B$9,Paramètres!$A$1:$I$89,3,0)*VLOOKUP('Données projet'!$B$9,Paramètres!$A$1:$I$89,5,0)</f>
        <v>48.942839501635746</v>
      </c>
      <c r="P20" s="14">
        <f t="shared" si="33"/>
        <v>14.340404725340607</v>
      </c>
      <c r="Q20" s="22">
        <f t="shared" si="2"/>
        <v>110.21831702865047</v>
      </c>
      <c r="R20" s="62">
        <f t="shared" si="0"/>
        <v>387.66276147309492</v>
      </c>
      <c r="S20" s="62">
        <f ca="1">AVERAGE(OFFSET($R$3,0,0,'Données projet'!$E$9+1,1))-AVERAGE(OFFSET($H$3,0,0,'Données projet'!$E$9+1,1))</f>
        <v>323.98185264074681</v>
      </c>
      <c r="T20" s="62">
        <f t="shared" si="34"/>
        <v>301.22207291854005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5.2912820512820513</v>
      </c>
      <c r="AI20" s="14">
        <f>IF('Données projet'!$A$62&gt;35,AI19+AH20-AQ19,IF(A20&lt;'Données projet'!$A$62,$AF$205^A20,IF(A20='Données projet'!$A$62,'Données projet'!$B$62,AI19+AH20-AQ19)))</f>
        <v>17.662542826982701</v>
      </c>
      <c r="AJ20" s="14">
        <f>AI20*VLOOKUP('Données projet'!$B$10,Paramètres!$A$1:$I$89,3,0)*VLOOKUP('Données projet'!$B$10,Paramètres!$A$1:$I$89,5,0)</f>
        <v>8.2660700430279039</v>
      </c>
      <c r="AK20" s="14">
        <f t="shared" si="35"/>
        <v>2.9790482192992012</v>
      </c>
      <c r="AL20" s="22">
        <f t="shared" si="4"/>
        <v>19.585247640219709</v>
      </c>
      <c r="AM20" s="62">
        <f t="shared" si="5"/>
        <v>297.02969208466419</v>
      </c>
      <c r="AN20" s="62">
        <f ca="1">AVERAGE(OFFSET($AM$3,0,0,'Données projet'!$E$10+1,1))-AVERAGE(OFFSET($H$3,0,0,'Données projet'!$E$10+1,1))</f>
        <v>276.78862011733338</v>
      </c>
      <c r="AO20" s="62">
        <f t="shared" si="36"/>
        <v>202.1678469635836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21.692743883101215</v>
      </c>
      <c r="BF20" s="14">
        <f t="shared" si="37"/>
        <v>6.98746341685115</v>
      </c>
      <c r="BG20" s="22">
        <f t="shared" si="7"/>
        <v>49.951361047417038</v>
      </c>
      <c r="BH20" s="62">
        <f t="shared" si="8"/>
        <v>327.39580549186149</v>
      </c>
      <c r="BI20" s="62">
        <f ca="1">AVERAGE(OFFSET($BH$3,0,0,'Données projet'!$E$11+1,1))-AVERAGE(OFFSET($H$3,0,0,'Données projet'!$E$11+1,1))</f>
        <v>428.8489304403459</v>
      </c>
      <c r="BJ20" s="62">
        <f t="shared" si="38"/>
        <v>247.01165577562966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13.103846153846154</v>
      </c>
      <c r="BY20" s="13">
        <f>IF('Données projet'!$A$114&gt;35,BY19+BX20-CG19,IF(A20&lt;'Données projet'!$A$114,$BV$205^A20,IF(A20='Données projet'!$A$114,'Données projet'!$B$114,BY19+BX20-CG19)))</f>
        <v>61.915384615384617</v>
      </c>
      <c r="BZ20" s="14">
        <f>BY20*VLOOKUP('Données projet'!$B$12,Paramètres!$A$1:$I$89,3,0)*VLOOKUP('Données projet'!$B$12,Paramètres!$A$1:$I$89,5,0)</f>
        <v>37.025400000000005</v>
      </c>
      <c r="CA20" s="14">
        <f t="shared" si="39"/>
        <v>11.206718213534849</v>
      </c>
      <c r="CB20" s="22">
        <f t="shared" si="10"/>
        <v>84.004272555239865</v>
      </c>
      <c r="CC20" s="62">
        <f t="shared" si="11"/>
        <v>361.44871699968434</v>
      </c>
      <c r="CD20" s="62">
        <f ca="1">AVERAGE(OFFSET($CC$3,0,0,'Données projet'!$E$12+1,1))-AVERAGE(OFFSET($H$3,0,0,'Données projet'!$E$12+1,1))</f>
        <v>289.12367833861299</v>
      </c>
      <c r="CE20" s="62">
        <f t="shared" si="40"/>
        <v>229.06617320689003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13.760000000000002</v>
      </c>
      <c r="CT20" s="13">
        <f>IF('Données projet'!$A$140&gt;35,CT19+CS20-DB19,IF(A20&lt;'Données projet'!$A$140,$CQ$205^A20,IF(A20='Données projet'!$A$140,'Données projet'!$B$140,CT19+CS20-DB19)))</f>
        <v>92.02000000000001</v>
      </c>
      <c r="CU20" s="18">
        <f>CT20*VLOOKUP('Données projet'!$B$13,Paramètres!$A$1:$I$89,3,0)*VLOOKUP('Données projet'!$B$13,Paramètres!$A$1:$I$89,5,0)</f>
        <v>73.211112000000014</v>
      </c>
      <c r="CV20" s="14">
        <f t="shared" si="41"/>
        <v>20.468796348022103</v>
      </c>
      <c r="CW20" s="22">
        <f t="shared" si="13"/>
        <v>163.15917370613849</v>
      </c>
      <c r="CX20" s="62">
        <f t="shared" si="14"/>
        <v>440.60361815058297</v>
      </c>
      <c r="CY20" s="62">
        <f ca="1">AVERAGE(OFFSET($CX$3,0,0,'Données projet'!$E$13+1,1))-AVERAGE(OFFSET($H$3,0,0,'Données projet'!$E$13+1,1))</f>
        <v>370.59298168107364</v>
      </c>
      <c r="CZ20" s="62">
        <f t="shared" si="42"/>
        <v>404.61777090709171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9.6</v>
      </c>
      <c r="DO20" s="13">
        <f>IF('Données projet'!$A$166&gt;35,DO19+DN20-DW19,IF(A20&lt;'Données projet'!$A$166,$DL$205^A20,IF(A20='Données projet'!$A$166,'Données projet'!$B$166,DO19+DN20-DW19)))</f>
        <v>79.199999999999989</v>
      </c>
      <c r="DP20" s="18">
        <f>DO20*VLOOKUP('Données projet'!$B$14,Paramètres!$A$1:$I$89,3,0)*VLOOKUP('Données projet'!$B$14,Paramètres!$A$1:$I$89,5,0)</f>
        <v>69.189120000000003</v>
      </c>
      <c r="DQ20" s="14">
        <f t="shared" si="43"/>
        <v>19.471951138068807</v>
      </c>
      <c r="DR20" s="22">
        <f t="shared" si="16"/>
        <v>154.41803223213648</v>
      </c>
      <c r="DS20" s="62">
        <f t="shared" si="17"/>
        <v>431.86247667658097</v>
      </c>
      <c r="DT20" s="62">
        <f ca="1">AVERAGE(OFFSET($DS$3,0,0,'Données projet'!$E$14+1,1))-AVERAGE(OFFSET($H$3,0,0,'Données projet'!$E$14+1,1))</f>
        <v>341.65872153228599</v>
      </c>
      <c r="DU20" s="62">
        <f t="shared" si="44"/>
        <v>339.49697153894937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8.2051282051282044</v>
      </c>
      <c r="EJ20" s="13">
        <f>IF('Données projet'!$A$192&gt;35,EJ19+EI20-ER19,IF(A20&lt;'Données projet'!$A$192,$EG$205^A20,IF(A20='Données projet'!$A$192,'Données projet'!$B$192,EJ19+EI20-ER19)))</f>
        <v>66.410256410256409</v>
      </c>
      <c r="EK20" s="18">
        <f>EJ20*VLOOKUP('Données projet'!$B$15,Paramètres!$A$1:$I$89,3,0)*VLOOKUP('Données projet'!$B$15,Paramètres!$A$1:$I$89,5,0)</f>
        <v>44.548000000000002</v>
      </c>
      <c r="EL20" s="14">
        <f t="shared" si="45"/>
        <v>13.196436493358</v>
      </c>
      <c r="EM20" s="22">
        <f t="shared" si="19"/>
        <v>100.57156022593183</v>
      </c>
      <c r="EN20" s="62">
        <f t="shared" si="20"/>
        <v>378.01600467037628</v>
      </c>
      <c r="EO20" s="62">
        <f ca="1">AVERAGE(OFFSET($EN$3,0,0,'Données projet'!$E$15+1,1))-AVERAGE(OFFSET($H$3,0,0,'Données projet'!$E$15+1,1))</f>
        <v>312.06797204903796</v>
      </c>
      <c r="EP20" s="62">
        <f t="shared" si="46"/>
        <v>258.20189001775151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2.1</v>
      </c>
      <c r="FE20" s="13">
        <f>IF('Données projet'!$A$218&gt;35,FE19+FD20-FM19,IF(A20&lt;'Données projet'!$A$218,$FB$205^A20,IF(A20='Données projet'!$A$218,'Données projet'!$B$218,FE19+FD20-FM19)))</f>
        <v>23.975181126327602</v>
      </c>
      <c r="FF20" s="18">
        <f>FE20*VLOOKUP('Données projet'!$B$16,Paramètres!$A$1:$I$89,3,0)*VLOOKUP('Données projet'!$B$16,Paramètres!$A$1:$I$89,5,0)</f>
        <v>23.188795185384055</v>
      </c>
      <c r="FG20" s="14">
        <f t="shared" si="47"/>
        <v>7.4115982288884323</v>
      </c>
      <c r="FH20" s="22">
        <f t="shared" si="22"/>
        <v>53.29568519652458</v>
      </c>
      <c r="FI20" s="62">
        <f t="shared" si="23"/>
        <v>330.74012964096903</v>
      </c>
      <c r="FJ20" s="62">
        <f ca="1">AVERAGE(OFFSET($FI$3,0,0,'Données projet'!$E$16+1,1))-AVERAGE(OFFSET($H$3,0,0,'Données projet'!$E$16+1,1))</f>
        <v>455.50822833641354</v>
      </c>
      <c r="FK20" s="62">
        <f t="shared" si="48"/>
        <v>261.14722581688039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7.7987854251012134</v>
      </c>
      <c r="N21" s="14">
        <f>IF('Données projet'!$A$36&gt;35,N20+M21-V20,IF(A21&lt;'Données projet'!$A$36,$K$205^A21,IF(A21='Données projet'!$A$36,'Données projet'!$B$36,N20+M21-V20)))</f>
        <v>113.90137405897467</v>
      </c>
      <c r="O21" s="14">
        <f>N21*VLOOKUP('Données projet'!$B$9,Paramètres!$A$1:$I$89,3,0)*VLOOKUP('Données projet'!$B$9,Paramètres!$A$1:$I$89,5,0)</f>
        <v>63.670868098966835</v>
      </c>
      <c r="P21" s="14">
        <f t="shared" si="33"/>
        <v>18.093147773646375</v>
      </c>
      <c r="Q21" s="22">
        <f t="shared" si="2"/>
        <v>142.40566097813468</v>
      </c>
      <c r="R21" s="62">
        <f t="shared" si="0"/>
        <v>421.07232764480136</v>
      </c>
      <c r="S21" s="62">
        <f ca="1">AVERAGE(OFFSET($R$3,0,0,'Données projet'!$E$9+1,1))-AVERAGE(OFFSET($H$3,0,0,'Données projet'!$E$9+1,1))</f>
        <v>323.98185264074681</v>
      </c>
      <c r="T21" s="62">
        <f t="shared" si="34"/>
        <v>301.22207291854005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5.2912820512820513</v>
      </c>
      <c r="AI21" s="14">
        <f>IF('Données projet'!$A$62&gt;35,AI20+AH21-AQ20,IF(A21&lt;'Données projet'!$A$62,$AF$205^A21,IF(A21='Données projet'!$A$62,'Données projet'!$B$62,AI20+AH21-AQ20)))</f>
        <v>20.912661127929006</v>
      </c>
      <c r="AJ21" s="14">
        <f>AI21*VLOOKUP('Données projet'!$B$10,Paramètres!$A$1:$I$89,3,0)*VLOOKUP('Données projet'!$B$10,Paramètres!$A$1:$I$89,5,0)</f>
        <v>9.787125407870775</v>
      </c>
      <c r="AK21" s="14">
        <f t="shared" si="35"/>
        <v>3.4585571642542829</v>
      </c>
      <c r="AL21" s="22">
        <f t="shared" si="4"/>
        <v>23.06956381311781</v>
      </c>
      <c r="AM21" s="62">
        <f t="shared" si="5"/>
        <v>301.73623047978447</v>
      </c>
      <c r="AN21" s="62">
        <f ca="1">AVERAGE(OFFSET($AM$3,0,0,'Données projet'!$E$10+1,1))-AVERAGE(OFFSET($H$3,0,0,'Données projet'!$E$10+1,1))</f>
        <v>276.78862011733338</v>
      </c>
      <c r="AO21" s="62">
        <f t="shared" si="36"/>
        <v>202.1678469635836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26.150316724543362</v>
      </c>
      <c r="BF21" s="14">
        <f t="shared" si="37"/>
        <v>8.2420396752158016</v>
      </c>
      <c r="BG21" s="22">
        <f t="shared" si="7"/>
        <v>59.900020729580547</v>
      </c>
      <c r="BH21" s="62">
        <f t="shared" si="8"/>
        <v>338.56668739624723</v>
      </c>
      <c r="BI21" s="62">
        <f ca="1">AVERAGE(OFFSET($BH$3,0,0,'Données projet'!$E$11+1,1))-AVERAGE(OFFSET($H$3,0,0,'Données projet'!$E$11+1,1))</f>
        <v>428.8489304403459</v>
      </c>
      <c r="BJ21" s="62">
        <f t="shared" si="38"/>
        <v>247.01165577562966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13.103846153846154</v>
      </c>
      <c r="BY21" s="13">
        <f>IF('Données projet'!$A$114&gt;35,BY20+BX21-CG20,IF(A21&lt;'Données projet'!$A$114,$BV$205^A21,IF(A21='Données projet'!$A$114,'Données projet'!$B$114,BY20+BX21-CG20)))</f>
        <v>75.019230769230774</v>
      </c>
      <c r="BZ21" s="14">
        <f>BY21*VLOOKUP('Données projet'!$B$12,Paramètres!$A$1:$I$89,3,0)*VLOOKUP('Données projet'!$B$12,Paramètres!$A$1:$I$89,5,0)</f>
        <v>44.861500000000007</v>
      </c>
      <c r="CA21" s="14">
        <f t="shared" si="39"/>
        <v>13.278461120637754</v>
      </c>
      <c r="CB21" s="22">
        <f t="shared" si="10"/>
        <v>101.26043228511077</v>
      </c>
      <c r="CC21" s="62">
        <f t="shared" si="11"/>
        <v>379.92709895177745</v>
      </c>
      <c r="CD21" s="62">
        <f ca="1">AVERAGE(OFFSET($CC$3,0,0,'Données projet'!$E$12+1,1))-AVERAGE(OFFSET($H$3,0,0,'Données projet'!$E$12+1,1))</f>
        <v>289.12367833861299</v>
      </c>
      <c r="CE21" s="62">
        <f t="shared" si="40"/>
        <v>229.06617320689003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13.760000000000002</v>
      </c>
      <c r="CT21" s="13">
        <f>IF('Données projet'!$A$140&gt;35,CT20+CS21-DB20,IF(A21&lt;'Données projet'!$A$140,$CQ$205^A21,IF(A21='Données projet'!$A$140,'Données projet'!$B$140,CT20+CS21-DB20)))</f>
        <v>105.78000000000002</v>
      </c>
      <c r="CU21" s="18">
        <f>CT21*VLOOKUP('Données projet'!$B$13,Paramètres!$A$1:$I$89,3,0)*VLOOKUP('Données projet'!$B$13,Paramètres!$A$1:$I$89,5,0)</f>
        <v>84.158568000000017</v>
      </c>
      <c r="CV21" s="14">
        <f t="shared" si="41"/>
        <v>23.15095738591862</v>
      </c>
      <c r="CW21" s="22">
        <f t="shared" si="13"/>
        <v>186.89742338047495</v>
      </c>
      <c r="CX21" s="62">
        <f t="shared" si="14"/>
        <v>465.56409004714163</v>
      </c>
      <c r="CY21" s="62">
        <f ca="1">AVERAGE(OFFSET($CX$3,0,0,'Données projet'!$E$13+1,1))-AVERAGE(OFFSET($H$3,0,0,'Données projet'!$E$13+1,1))</f>
        <v>370.59298168107364</v>
      </c>
      <c r="CZ21" s="62">
        <f t="shared" si="42"/>
        <v>404.61777090709171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9.6</v>
      </c>
      <c r="DO21" s="13">
        <f>IF('Données projet'!$A$166&gt;35,DO20+DN21-DW20,IF(A21&lt;'Données projet'!$A$166,$DL$205^A21,IF(A21='Données projet'!$A$166,'Données projet'!$B$166,DO20+DN21-DW20)))</f>
        <v>88.799999999999983</v>
      </c>
      <c r="DP21" s="18">
        <f>DO21*VLOOKUP('Données projet'!$B$14,Paramètres!$A$1:$I$89,3,0)*VLOOKUP('Données projet'!$B$14,Paramètres!$A$1:$I$89,5,0)</f>
        <v>77.575679999999991</v>
      </c>
      <c r="DQ21" s="14">
        <f t="shared" si="43"/>
        <v>21.543367858551072</v>
      </c>
      <c r="DR21" s="22">
        <f t="shared" si="16"/>
        <v>172.63234168697639</v>
      </c>
      <c r="DS21" s="62">
        <f t="shared" si="17"/>
        <v>451.2990083536431</v>
      </c>
      <c r="DT21" s="62">
        <f ca="1">AVERAGE(OFFSET($DS$3,0,0,'Données projet'!$E$14+1,1))-AVERAGE(OFFSET($H$3,0,0,'Données projet'!$E$14+1,1))</f>
        <v>341.65872153228599</v>
      </c>
      <c r="DU21" s="62">
        <f t="shared" si="44"/>
        <v>339.49697153894937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8.2051282051282044</v>
      </c>
      <c r="EJ21" s="13">
        <f>IF('Données projet'!$A$192&gt;35,EJ20+EI21-ER20,IF(A21&lt;'Données projet'!$A$192,$EG$205^A21,IF(A21='Données projet'!$A$192,'Données projet'!$B$192,EJ20+EI21-ER20)))</f>
        <v>74.615384615384613</v>
      </c>
      <c r="EK21" s="18">
        <f>EJ21*VLOOKUP('Données projet'!$B$15,Paramètres!$A$1:$I$89,3,0)*VLOOKUP('Données projet'!$B$15,Paramètres!$A$1:$I$89,5,0)</f>
        <v>50.052</v>
      </c>
      <c r="EL21" s="14">
        <f t="shared" si="45"/>
        <v>14.62718807768414</v>
      </c>
      <c r="EM21" s="22">
        <f t="shared" si="19"/>
        <v>112.64958590196655</v>
      </c>
      <c r="EN21" s="62">
        <f t="shared" si="20"/>
        <v>391.31625256863322</v>
      </c>
      <c r="EO21" s="62">
        <f ca="1">AVERAGE(OFFSET($EN$3,0,0,'Données projet'!$E$15+1,1))-AVERAGE(OFFSET($H$3,0,0,'Données projet'!$E$15+1,1))</f>
        <v>312.06797204903796</v>
      </c>
      <c r="EP21" s="62">
        <f t="shared" si="46"/>
        <v>258.20189001775151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2.1</v>
      </c>
      <c r="FE21" s="13">
        <f>IF('Données projet'!$A$218&gt;35,FE20+FD21-FM20,IF(A21&lt;'Données projet'!$A$218,$FB$205^A21,IF(A21='Données projet'!$A$218,'Données projet'!$B$218,FE20+FD21-FM20)))</f>
        <v>28.901764726506816</v>
      </c>
      <c r="FF21" s="18">
        <f>FE21*VLOOKUP('Données projet'!$B$16,Paramètres!$A$1:$I$89,3,0)*VLOOKUP('Données projet'!$B$16,Paramètres!$A$1:$I$89,5,0)</f>
        <v>27.953786843477392</v>
      </c>
      <c r="FG21" s="14">
        <f t="shared" si="47"/>
        <v>8.7423265089215931</v>
      </c>
      <c r="FH21" s="22">
        <f t="shared" si="22"/>
        <v>63.912397422094891</v>
      </c>
      <c r="FI21" s="62">
        <f t="shared" si="23"/>
        <v>342.57906408876158</v>
      </c>
      <c r="FJ21" s="62">
        <f ca="1">AVERAGE(OFFSET($FI$3,0,0,'Données projet'!$E$16+1,1))-AVERAGE(OFFSET($H$3,0,0,'Données projet'!$E$16+1,1))</f>
        <v>455.50822833641354</v>
      </c>
      <c r="FK21" s="62">
        <f t="shared" si="48"/>
        <v>261.14722581688039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>
        <f>VLOOKUP(A22,'Données projet'!$A$35:$I$55,2,0)</f>
        <v>148.17692307692306</v>
      </c>
      <c r="L22" s="13">
        <f>VLOOKUP(A22,'Données projet'!$A$35:$I$55,9,0)</f>
        <v>7.7987854251012134</v>
      </c>
      <c r="M22" s="13">
        <f t="array" ref="M22">INDEX(L:L,MIN(IF(ISNUMBER(L22:L218),ROW(L22:L218),"")))</f>
        <v>7.7987854251012134</v>
      </c>
      <c r="N22" s="14">
        <f>IF('Données projet'!$A$36&gt;35,N21+M22-V21,IF(A22&lt;'Données projet'!$A$36,$K$205^A22,IF(A22='Données projet'!$A$36,'Données projet'!$B$36,N21+M22-V21)))</f>
        <v>148.17692307692306</v>
      </c>
      <c r="O22" s="14">
        <f>N22*VLOOKUP('Données projet'!$B$9,Paramètres!$A$1:$I$89,3,0)*VLOOKUP('Données projet'!$B$9,Paramètres!$A$1:$I$89,5,0)</f>
        <v>82.830899999999986</v>
      </c>
      <c r="P22" s="14">
        <f t="shared" si="33"/>
        <v>22.827946813839315</v>
      </c>
      <c r="Q22" s="22">
        <f t="shared" si="2"/>
        <v>184.02249153410344</v>
      </c>
      <c r="R22" s="62">
        <f t="shared" si="0"/>
        <v>463.91138042299229</v>
      </c>
      <c r="S22" s="62">
        <f ca="1">AVERAGE(OFFSET($R$3,0,0,'Données projet'!$E$9+1,1))-AVERAGE(OFFSET($H$3,0,0,'Données projet'!$E$9+1,1))</f>
        <v>323.98185264074681</v>
      </c>
      <c r="T22" s="62">
        <f t="shared" si="34"/>
        <v>301.22207291854005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5.2912820512820513</v>
      </c>
      <c r="AI22" s="14">
        <f>IF('Données projet'!$A$62&gt;35,AI21+AH22-AQ21,IF(A22&lt;'Données projet'!$A$62,$AF$205^A22,IF(A22='Données projet'!$A$62,'Données projet'!$B$62,AI21+AH22-AQ21)))</f>
        <v>24.760839916180057</v>
      </c>
      <c r="AJ22" s="14">
        <f>AI22*VLOOKUP('Données projet'!$B$10,Paramètres!$A$1:$I$89,3,0)*VLOOKUP('Données projet'!$B$10,Paramètres!$A$1:$I$89,5,0)</f>
        <v>11.588073080772267</v>
      </c>
      <c r="AK22" s="14">
        <f t="shared" si="35"/>
        <v>4.0152480852520442</v>
      </c>
      <c r="AL22" s="22">
        <f t="shared" si="4"/>
        <v>27.175784364159011</v>
      </c>
      <c r="AM22" s="62">
        <f t="shared" si="5"/>
        <v>307.06467325304789</v>
      </c>
      <c r="AN22" s="62">
        <f ca="1">AVERAGE(OFFSET($AM$3,0,0,'Données projet'!$E$10+1,1))-AVERAGE(OFFSET($H$3,0,0,'Données projet'!$E$10+1,1))</f>
        <v>276.78862011733338</v>
      </c>
      <c r="AO22" s="62">
        <f t="shared" si="36"/>
        <v>202.1678469635836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31.52386201022027</v>
      </c>
      <c r="BF22" s="14">
        <f t="shared" si="37"/>
        <v>9.7218710074397983</v>
      </c>
      <c r="BG22" s="22">
        <f t="shared" si="7"/>
        <v>71.836318339091292</v>
      </c>
      <c r="BH22" s="62">
        <f t="shared" si="8"/>
        <v>351.72520722798015</v>
      </c>
      <c r="BI22" s="62">
        <f ca="1">AVERAGE(OFFSET($BH$3,0,0,'Données projet'!$E$11+1,1))-AVERAGE(OFFSET($H$3,0,0,'Données projet'!$E$11+1,1))</f>
        <v>428.8489304403459</v>
      </c>
      <c r="BJ22" s="62">
        <f t="shared" si="38"/>
        <v>247.01165577562966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13.103846153846154</v>
      </c>
      <c r="BY22" s="13">
        <f>IF('Données projet'!$A$114&gt;35,BY21+BX22-CG21,IF(A22&lt;'Données projet'!$A$114,$BV$205^A22,IF(A22='Données projet'!$A$114,'Données projet'!$B$114,BY21+BX22-CG21)))</f>
        <v>88.123076923076923</v>
      </c>
      <c r="BZ22" s="14">
        <f>BY22*VLOOKUP('Données projet'!$B$12,Paramètres!$A$1:$I$89,3,0)*VLOOKUP('Données projet'!$B$12,Paramètres!$A$1:$I$89,5,0)</f>
        <v>52.697600000000008</v>
      </c>
      <c r="CA22" s="14">
        <f t="shared" si="39"/>
        <v>15.30828179522207</v>
      </c>
      <c r="CB22" s="22">
        <f t="shared" si="10"/>
        <v>118.4435774600118</v>
      </c>
      <c r="CC22" s="62">
        <f t="shared" si="11"/>
        <v>398.33246634890065</v>
      </c>
      <c r="CD22" s="62">
        <f ca="1">AVERAGE(OFFSET($CC$3,0,0,'Données projet'!$E$12+1,1))-AVERAGE(OFFSET($H$3,0,0,'Données projet'!$E$12+1,1))</f>
        <v>289.12367833861299</v>
      </c>
      <c r="CE22" s="62">
        <f t="shared" si="40"/>
        <v>229.06617320689003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13.760000000000002</v>
      </c>
      <c r="CT22" s="13">
        <f>IF('Données projet'!$A$140&gt;35,CT21+CS22-DB21,IF(A22&lt;'Données projet'!$A$140,$CQ$205^A22,IF(A22='Données projet'!$A$140,'Données projet'!$B$140,CT21+CS22-DB21)))</f>
        <v>119.54000000000002</v>
      </c>
      <c r="CU22" s="18">
        <f>CT22*VLOOKUP('Données projet'!$B$13,Paramètres!$A$1:$I$89,3,0)*VLOOKUP('Données projet'!$B$13,Paramètres!$A$1:$I$89,5,0)</f>
        <v>95.106024000000019</v>
      </c>
      <c r="CV22" s="14">
        <f t="shared" si="41"/>
        <v>25.792692267172022</v>
      </c>
      <c r="CW22" s="22">
        <f t="shared" si="13"/>
        <v>210.56526416532461</v>
      </c>
      <c r="CX22" s="62">
        <f t="shared" si="14"/>
        <v>490.45415305421346</v>
      </c>
      <c r="CY22" s="62">
        <f ca="1">AVERAGE(OFFSET($CX$3,0,0,'Données projet'!$E$13+1,1))-AVERAGE(OFFSET($H$3,0,0,'Données projet'!$E$13+1,1))</f>
        <v>370.59298168107364</v>
      </c>
      <c r="CZ22" s="62">
        <f t="shared" si="42"/>
        <v>404.61777090709171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9.6</v>
      </c>
      <c r="DO22" s="13">
        <f>IF('Données projet'!$A$166&gt;35,DO21+DN22-DW21,IF(A22&lt;'Données projet'!$A$166,$DL$205^A22,IF(A22='Données projet'!$A$166,'Données projet'!$B$166,DO21+DN22-DW21)))</f>
        <v>98.399999999999977</v>
      </c>
      <c r="DP22" s="18">
        <f>DO22*VLOOKUP('Données projet'!$B$14,Paramètres!$A$1:$I$89,3,0)*VLOOKUP('Données projet'!$B$14,Paramètres!$A$1:$I$89,5,0)</f>
        <v>85.962239999999994</v>
      </c>
      <c r="DQ22" s="14">
        <f t="shared" si="43"/>
        <v>23.588828321049387</v>
      </c>
      <c r="DR22" s="22">
        <f t="shared" si="16"/>
        <v>190.80144399249434</v>
      </c>
      <c r="DS22" s="62">
        <f t="shared" si="17"/>
        <v>470.6903328813832</v>
      </c>
      <c r="DT22" s="62">
        <f ca="1">AVERAGE(OFFSET($DS$3,0,0,'Données projet'!$E$14+1,1))-AVERAGE(OFFSET($H$3,0,0,'Données projet'!$E$14+1,1))</f>
        <v>341.65872153228599</v>
      </c>
      <c r="DU22" s="62">
        <f t="shared" si="44"/>
        <v>339.49697153894937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8.2051282051282044</v>
      </c>
      <c r="EJ22" s="13">
        <f>IF('Données projet'!$A$192&gt;35,EJ21+EI22-ER21,IF(A22&lt;'Données projet'!$A$192,$EG$205^A22,IF(A22='Données projet'!$A$192,'Données projet'!$B$192,EJ21+EI22-ER21)))</f>
        <v>82.820512820512818</v>
      </c>
      <c r="EK22" s="18">
        <f>EJ22*VLOOKUP('Données projet'!$B$15,Paramètres!$A$1:$I$89,3,0)*VLOOKUP('Données projet'!$B$15,Paramètres!$A$1:$I$89,5,0)</f>
        <v>55.556000000000004</v>
      </c>
      <c r="EL22" s="14">
        <f t="shared" si="45"/>
        <v>16.039703993592667</v>
      </c>
      <c r="EM22" s="22">
        <f t="shared" si="19"/>
        <v>124.69585112217392</v>
      </c>
      <c r="EN22" s="62">
        <f t="shared" si="20"/>
        <v>404.58474001106276</v>
      </c>
      <c r="EO22" s="62">
        <f ca="1">AVERAGE(OFFSET($EN$3,0,0,'Données projet'!$E$15+1,1))-AVERAGE(OFFSET($H$3,0,0,'Données projet'!$E$15+1,1))</f>
        <v>312.06797204903796</v>
      </c>
      <c r="EP22" s="62">
        <f t="shared" si="46"/>
        <v>258.20189001775151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2.1</v>
      </c>
      <c r="FE22" s="13">
        <f>IF('Données projet'!$A$218&gt;35,FE21+FD22-FM21,IF(A22&lt;'Données projet'!$A$218,$FB$205^A22,IF(A22='Données projet'!$A$218,'Données projet'!$B$218,FE21+FD22-FM21)))</f>
        <v>34.840696297767764</v>
      </c>
      <c r="FF22" s="18">
        <f>FE22*VLOOKUP('Données projet'!$B$16,Paramètres!$A$1:$I$89,3,0)*VLOOKUP('Données projet'!$B$16,Paramètres!$A$1:$I$89,5,0)</f>
        <v>33.697921459200977</v>
      </c>
      <c r="FG22" s="14">
        <f t="shared" si="47"/>
        <v>10.31198270984201</v>
      </c>
      <c r="FH22" s="22">
        <f t="shared" si="22"/>
        <v>76.650583094416518</v>
      </c>
      <c r="FI22" s="62">
        <f t="shared" si="23"/>
        <v>356.53947198330536</v>
      </c>
      <c r="FJ22" s="62">
        <f ca="1">AVERAGE(OFFSET($FI$3,0,0,'Données projet'!$E$16+1,1))-AVERAGE(OFFSET($H$3,0,0,'Données projet'!$E$16+1,1))</f>
        <v>455.50822833641354</v>
      </c>
      <c r="FK22" s="62">
        <f t="shared" si="48"/>
        <v>261.14722581688039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15.942307692307708</v>
      </c>
      <c r="N23" s="14">
        <f>IF('Données projet'!$A$36&gt;35,N22+M23-V22,IF(A23&lt;'Données projet'!$A$36,$K$205^A23,IF(A23='Données projet'!$A$36,'Données projet'!$B$36,N22+M23-V22)))</f>
        <v>164.11923076923077</v>
      </c>
      <c r="O23" s="14">
        <f>N23*VLOOKUP('Données projet'!$B$9,Paramètres!$A$1:$I$89,3,0)*VLOOKUP('Données projet'!$B$9,Paramètres!$A$1:$I$89,5,0)</f>
        <v>91.742650000000012</v>
      </c>
      <c r="P23" s="14">
        <f t="shared" si="33"/>
        <v>24.985039964008102</v>
      </c>
      <c r="Q23" s="22">
        <f t="shared" si="2"/>
        <v>203.3007266873141</v>
      </c>
      <c r="R23" s="62">
        <f t="shared" si="0"/>
        <v>484.41183779842527</v>
      </c>
      <c r="S23" s="62">
        <f ca="1">AVERAGE(OFFSET($R$3,0,0,'Données projet'!$E$9+1,1))-AVERAGE(OFFSET($H$3,0,0,'Données projet'!$E$9+1,1))</f>
        <v>323.98185264074681</v>
      </c>
      <c r="T23" s="62">
        <f t="shared" si="34"/>
        <v>301.22207291854005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5.2912820512820513</v>
      </c>
      <c r="AI23" s="14">
        <f>IF('Données projet'!$A$62&gt;35,AI22+AH23-AQ22,IF(A23&lt;'Données projet'!$A$62,$AF$205^A23,IF(A23='Données projet'!$A$62,'Données projet'!$B$62,AI22+AH23-AQ22)))</f>
        <v>29.317129446328433</v>
      </c>
      <c r="AJ23" s="14">
        <f>AI23*VLOOKUP('Données projet'!$B$10,Paramètres!$A$1:$I$89,3,0)*VLOOKUP('Données projet'!$B$10,Paramètres!$A$1:$I$89,5,0)</f>
        <v>13.720416580881707</v>
      </c>
      <c r="AK23" s="14">
        <f t="shared" si="35"/>
        <v>4.6615442279660568</v>
      </c>
      <c r="AL23" s="22">
        <f t="shared" si="4"/>
        <v>32.01524840874319</v>
      </c>
      <c r="AM23" s="62">
        <f t="shared" si="5"/>
        <v>313.1263595198543</v>
      </c>
      <c r="AN23" s="62">
        <f ca="1">AVERAGE(OFFSET($AM$3,0,0,'Données projet'!$E$10+1,1))-AVERAGE(OFFSET($H$3,0,0,'Données projet'!$E$10+1,1))</f>
        <v>276.78862011733338</v>
      </c>
      <c r="AO23" s="62">
        <f t="shared" si="36"/>
        <v>202.1678469635836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38.001600000000003</v>
      </c>
      <c r="BF23" s="14">
        <f t="shared" si="37"/>
        <v>11.467401227090512</v>
      </c>
      <c r="BG23" s="22">
        <f t="shared" si="7"/>
        <v>86.158510470515978</v>
      </c>
      <c r="BH23" s="62">
        <f t="shared" si="8"/>
        <v>367.26962158162712</v>
      </c>
      <c r="BI23" s="62">
        <f ca="1">AVERAGE(OFFSET($BH$3,0,0,'Données projet'!$E$11+1,1))-AVERAGE(OFFSET($H$3,0,0,'Données projet'!$E$11+1,1))</f>
        <v>428.8489304403459</v>
      </c>
      <c r="BJ23" s="62">
        <f t="shared" si="38"/>
        <v>247.01165577562966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13.103846153846154</v>
      </c>
      <c r="BY23" s="13">
        <f>IF('Données projet'!$A$114&gt;35,BY22+BX23-CG22,IF(A23&lt;'Données projet'!$A$114,$BV$205^A23,IF(A23='Données projet'!$A$114,'Données projet'!$B$114,BY22+BX23-CG22)))</f>
        <v>101.22692307692307</v>
      </c>
      <c r="BZ23" s="14">
        <f>BY23*VLOOKUP('Données projet'!$B$12,Paramètres!$A$1:$I$89,3,0)*VLOOKUP('Données projet'!$B$12,Paramètres!$A$1:$I$89,5,0)</f>
        <v>60.533700000000003</v>
      </c>
      <c r="CA23" s="14">
        <f t="shared" si="39"/>
        <v>17.303135492539088</v>
      </c>
      <c r="CB23" s="22">
        <f t="shared" si="10"/>
        <v>135.56582181617225</v>
      </c>
      <c r="CC23" s="62">
        <f t="shared" si="11"/>
        <v>416.67693292728336</v>
      </c>
      <c r="CD23" s="62">
        <f ca="1">AVERAGE(OFFSET($CC$3,0,0,'Données projet'!$E$12+1,1))-AVERAGE(OFFSET($H$3,0,0,'Données projet'!$E$12+1,1))</f>
        <v>289.12367833861299</v>
      </c>
      <c r="CE23" s="62">
        <f t="shared" si="40"/>
        <v>229.06617320689003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133.30000000000001</v>
      </c>
      <c r="CR23" s="13">
        <f>VLOOKUP(A23,'Données projet'!$A$139:$I$159,9,0)</f>
        <v>13.760000000000002</v>
      </c>
      <c r="CS23" s="13">
        <f t="array" ref="CS23">INDEX(CR:CR,MIN(IF(ISNUMBER(CR23:CR219),ROW(CR23:CR219),"")))</f>
        <v>13.760000000000002</v>
      </c>
      <c r="CT23" s="13">
        <f>IF('Données projet'!$A$140&gt;35,CT22+CS23-DB22,IF(A23&lt;'Données projet'!$A$140,$CQ$205^A23,IF(A23='Données projet'!$A$140,'Données projet'!$B$140,CT22+CS23-DB22)))</f>
        <v>133.30000000000001</v>
      </c>
      <c r="CU23" s="18">
        <f>CT23*VLOOKUP('Données projet'!$B$13,Paramètres!$A$1:$I$89,3,0)*VLOOKUP('Données projet'!$B$13,Paramètres!$A$1:$I$89,5,0)</f>
        <v>106.05348000000001</v>
      </c>
      <c r="CV23" s="14">
        <f t="shared" si="41"/>
        <v>28.39918570347135</v>
      </c>
      <c r="CW23" s="22">
        <f t="shared" si="13"/>
        <v>234.1717261002126</v>
      </c>
      <c r="CX23" s="62">
        <f t="shared" si="14"/>
        <v>515.28283721132379</v>
      </c>
      <c r="CY23" s="62">
        <f ca="1">AVERAGE(OFFSET($CX$3,0,0,'Données projet'!$E$13+1,1))-AVERAGE(OFFSET($H$3,0,0,'Données projet'!$E$13+1,1))</f>
        <v>370.59298168107364</v>
      </c>
      <c r="CZ23" s="62">
        <f t="shared" si="42"/>
        <v>404.61777090709171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66.5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108</v>
      </c>
      <c r="DM23" s="13">
        <f>VLOOKUP(A23,'Données projet'!$A$165:$I$185,9,0)</f>
        <v>9.6</v>
      </c>
      <c r="DN23" s="13">
        <f t="array" ref="DN23">INDEX(DM:DM,MIN(IF(ISNUMBER(DM23:DM219),ROW(DM23:DM219),"")))</f>
        <v>9.6</v>
      </c>
      <c r="DO23" s="13">
        <f>IF('Données projet'!$A$166&gt;35,DO22+DN23-DW22,IF(A23&lt;'Données projet'!$A$166,$DL$205^A23,IF(A23='Données projet'!$A$166,'Données projet'!$B$166,DO22+DN23-DW22)))</f>
        <v>107.99999999999997</v>
      </c>
      <c r="DP23" s="18">
        <f>DO23*VLOOKUP('Données projet'!$B$14,Paramètres!$A$1:$I$89,3,0)*VLOOKUP('Données projet'!$B$14,Paramètres!$A$1:$I$89,5,0)</f>
        <v>94.348799999999983</v>
      </c>
      <c r="DQ23" s="14">
        <f t="shared" si="43"/>
        <v>25.611153022386461</v>
      </c>
      <c r="DR23" s="22">
        <f t="shared" si="16"/>
        <v>208.9302515139897</v>
      </c>
      <c r="DS23" s="62">
        <f t="shared" si="17"/>
        <v>490.04136262510087</v>
      </c>
      <c r="DT23" s="62">
        <f ca="1">AVERAGE(OFFSET($DS$3,0,0,'Données projet'!$E$14+1,1))-AVERAGE(OFFSET($H$3,0,0,'Données projet'!$E$14+1,1))</f>
        <v>341.65872153228599</v>
      </c>
      <c r="DU23" s="62">
        <f t="shared" si="44"/>
        <v>339.49697153894937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41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91.025641025641022</v>
      </c>
      <c r="EH23" s="13">
        <f>VLOOKUP(A23,'Données projet'!$A$191:$I$211,9,0)</f>
        <v>8.2051282051282044</v>
      </c>
      <c r="EI23" s="13">
        <f t="array" ref="EI23">INDEX(EH:EH,MIN(IF(ISNUMBER(EH23:EH219),ROW(EH23:EH219),"")))</f>
        <v>8.2051282051282044</v>
      </c>
      <c r="EJ23" s="13">
        <f>IF('Données projet'!$A$192&gt;35,EJ22+EI23-ER22,IF(A23&lt;'Données projet'!$A$192,$EG$205^A23,IF(A23='Données projet'!$A$192,'Données projet'!$B$192,EJ22+EI23-ER22)))</f>
        <v>91.025641025641022</v>
      </c>
      <c r="EK23" s="18">
        <f>EJ23*VLOOKUP('Données projet'!$B$15,Paramètres!$A$1:$I$89,3,0)*VLOOKUP('Données projet'!$B$15,Paramètres!$A$1:$I$89,5,0)</f>
        <v>61.06</v>
      </c>
      <c r="EL23" s="14">
        <f t="shared" si="45"/>
        <v>17.43599650596687</v>
      </c>
      <c r="EM23" s="22">
        <f t="shared" si="19"/>
        <v>136.71386058122562</v>
      </c>
      <c r="EN23" s="62">
        <f t="shared" si="20"/>
        <v>417.82497169233676</v>
      </c>
      <c r="EO23" s="62">
        <f ca="1">AVERAGE(OFFSET($EN$3,0,0,'Données projet'!$E$15+1,1))-AVERAGE(OFFSET($H$3,0,0,'Données projet'!$E$15+1,1))</f>
        <v>312.06797204903796</v>
      </c>
      <c r="EP23" s="62">
        <f t="shared" si="46"/>
        <v>258.20189001775151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24.358974358974358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42</v>
      </c>
      <c r="FC23" s="13">
        <f>VLOOKUP(A23,'Données projet'!$A$217:$I$237,9,0)</f>
        <v>2.1</v>
      </c>
      <c r="FD23" s="13">
        <f t="array" ref="FD23">INDEX(FC:FC,MIN(IF(ISNUMBER(FC23:FC219),ROW(FC23:FC219),"")))</f>
        <v>2.1</v>
      </c>
      <c r="FE23" s="13">
        <f>IF('Données projet'!$A$218&gt;35,FE22+FD23-FM22,IF(A23&lt;'Données projet'!$A$218,$FB$205^A23,IF(A23='Données projet'!$A$218,'Données projet'!$B$218,FE22+FD23-FM22)))</f>
        <v>42</v>
      </c>
      <c r="FF23" s="18">
        <f>FE23*VLOOKUP('Données projet'!$B$16,Paramètres!$A$1:$I$89,3,0)*VLOOKUP('Données projet'!$B$16,Paramètres!$A$1:$I$89,5,0)</f>
        <v>40.622399999999999</v>
      </c>
      <c r="FG23" s="14">
        <f t="shared" si="47"/>
        <v>12.163465560290264</v>
      </c>
      <c r="FH23" s="22">
        <f t="shared" si="22"/>
        <v>91.935382517505545</v>
      </c>
      <c r="FI23" s="62">
        <f t="shared" si="23"/>
        <v>373.0464936286167</v>
      </c>
      <c r="FJ23" s="62">
        <f ca="1">AVERAGE(OFFSET($FI$3,0,0,'Données projet'!$E$16+1,1))-AVERAGE(OFFSET($H$3,0,0,'Données projet'!$E$16+1,1))</f>
        <v>455.50822833641354</v>
      </c>
      <c r="FK23" s="62">
        <f t="shared" si="48"/>
        <v>261.14722581688039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180.06153846153848</v>
      </c>
      <c r="L24" s="13">
        <f>VLOOKUP(A24,'Données projet'!$A$35:$I$55,9,0)</f>
        <v>15.942307692307708</v>
      </c>
      <c r="M24" s="13">
        <f t="array" ref="M24">INDEX(L:L,MIN(IF(ISNUMBER(L24:L220),ROW(L24:L220),"")))</f>
        <v>15.942307692307708</v>
      </c>
      <c r="N24" s="14">
        <f>IF('Données projet'!$A$36&gt;35,N23+M24-V23,IF(A24&lt;'Données projet'!$A$36,$K$205^A24,IF(A24='Données projet'!$A$36,'Données projet'!$B$36,N23+M24-V23)))</f>
        <v>180.06153846153848</v>
      </c>
      <c r="O24" s="14">
        <f>N24*VLOOKUP('Données projet'!$B$9,Paramètres!$A$1:$I$89,3,0)*VLOOKUP('Données projet'!$B$9,Paramètres!$A$1:$I$89,5,0)</f>
        <v>100.65440000000001</v>
      </c>
      <c r="P24" s="14">
        <f t="shared" si="33"/>
        <v>27.117840091618859</v>
      </c>
      <c r="Q24" s="22">
        <f t="shared" si="2"/>
        <v>222.53665149290285</v>
      </c>
      <c r="R24" s="62">
        <f t="shared" si="0"/>
        <v>504.86998482623619</v>
      </c>
      <c r="S24" s="62">
        <f ca="1">AVERAGE(OFFSET($R$3,0,0,'Données projet'!$E$9+1,1))-AVERAGE(OFFSET($H$3,0,0,'Données projet'!$E$9+1,1))</f>
        <v>323.98185264074681</v>
      </c>
      <c r="T24" s="62">
        <f t="shared" si="34"/>
        <v>301.22207291854005</v>
      </c>
      <c r="U24" s="16">
        <f>IF(ISNA(VLOOKUP(A24,'Données projet'!$A$35:$I$55,3,0)),0,VLOOKUP(A24,'Données projet'!$A$35:$I$55,3,0))</f>
        <v>1</v>
      </c>
      <c r="V24" s="16">
        <f>IF(ISNA(VLOOKUP(A24,'Données projet'!$A$35:$I$55,4,0)),0,VLOOKUP(A24,'Données projet'!$A$35:$I$55,4,0))</f>
        <v>61.169230769230765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0.11000000000000001</v>
      </c>
      <c r="Y24" s="17">
        <f>IF(ISNA(VLOOKUP(A24,'Données projet'!$A$35:$I$55,7,0)),0%,VLOOKUP(A24,'Données projet'!$A$35:$I$55,7,0))</f>
        <v>0.4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4.9699556173792603</v>
      </c>
      <c r="AB24" s="23">
        <f>EXP(-LN(2)/2)*AB23+(1-EXP(-LN(2)/2))/(LN(2)/2)*V24*Y24*VLOOKUP('Données projet'!$B$9,Paramètres!$A$1:$I$89,3,0)*0.475*44/12</f>
        <v>15.486039315480385</v>
      </c>
      <c r="AC24" s="24">
        <f t="shared" si="3"/>
        <v>20.455994932859646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5.2912820512820513</v>
      </c>
      <c r="AI24" s="14">
        <f>IF('Données projet'!$A$62&gt;35,AI23+AH24-AQ23,IF(A24&lt;'Données projet'!$A$62,$AF$205^A24,IF(A24='Données projet'!$A$62,'Données projet'!$B$62,AI23+AH24-AQ23)))</f>
        <v>34.71183053088351</v>
      </c>
      <c r="AJ24" s="14">
        <f>AI24*VLOOKUP('Données projet'!$B$10,Paramètres!$A$1:$I$89,3,0)*VLOOKUP('Données projet'!$B$10,Paramètres!$A$1:$I$89,5,0)</f>
        <v>16.245136688453481</v>
      </c>
      <c r="AK24" s="14">
        <f t="shared" si="35"/>
        <v>5.411868489296503</v>
      </c>
      <c r="AL24" s="22">
        <f t="shared" si="4"/>
        <v>37.719284017914553</v>
      </c>
      <c r="AM24" s="62">
        <f t="shared" si="5"/>
        <v>320.05261735124787</v>
      </c>
      <c r="AN24" s="62">
        <f ca="1">AVERAGE(OFFSET($AM$3,0,0,'Données projet'!$E$10+1,1))-AVERAGE(OFFSET($H$3,0,0,'Données projet'!$E$10+1,1))</f>
        <v>276.78862011733338</v>
      </c>
      <c r="AO24" s="62">
        <f t="shared" si="36"/>
        <v>202.1678469635836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43.068480000000001</v>
      </c>
      <c r="BF24" s="14">
        <f t="shared" si="37"/>
        <v>12.808416415102187</v>
      </c>
      <c r="BG24" s="22">
        <f t="shared" si="7"/>
        <v>97.318927922969635</v>
      </c>
      <c r="BH24" s="62">
        <f t="shared" si="8"/>
        <v>379.65226125630295</v>
      </c>
      <c r="BI24" s="62">
        <f ca="1">AVERAGE(OFFSET($BH$3,0,0,'Données projet'!$E$11+1,1))-AVERAGE(OFFSET($H$3,0,0,'Données projet'!$E$11+1,1))</f>
        <v>428.8489304403459</v>
      </c>
      <c r="BJ24" s="62">
        <f t="shared" si="38"/>
        <v>247.01165577562966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>
        <f>VLOOKUP(A24,'Données projet'!$A$113:$I$133,2,0)</f>
        <v>114.33076923076922</v>
      </c>
      <c r="BW24" s="13">
        <f>VLOOKUP(A24,'Données projet'!$A$113:$I$133,9,0)</f>
        <v>13.103846153846154</v>
      </c>
      <c r="BX24" s="13">
        <f t="array" ref="BX24">INDEX(BW:BW,MIN(IF(ISNUMBER(BW24:BW220),ROW(BW24:BW220),"")))</f>
        <v>13.103846153846154</v>
      </c>
      <c r="BY24" s="13">
        <f>IF('Données projet'!$A$114&gt;35,BY23+BX24-CG23,IF(A24&lt;'Données projet'!$A$114,$BV$205^A24,IF(A24='Données projet'!$A$114,'Données projet'!$B$114,BY23+BX24-CG23)))</f>
        <v>114.33076923076922</v>
      </c>
      <c r="BZ24" s="14">
        <f>BY24*VLOOKUP('Données projet'!$B$12,Paramètres!$A$1:$I$89,3,0)*VLOOKUP('Données projet'!$B$12,Paramètres!$A$1:$I$89,5,0)</f>
        <v>68.369799999999998</v>
      </c>
      <c r="CA24" s="14">
        <f t="shared" si="39"/>
        <v>19.268067928266802</v>
      </c>
      <c r="CB24" s="22">
        <f t="shared" si="10"/>
        <v>152.635953308398</v>
      </c>
      <c r="CC24" s="62">
        <f t="shared" si="11"/>
        <v>434.96928664173129</v>
      </c>
      <c r="CD24" s="62">
        <f ca="1">AVERAGE(OFFSET($CC$3,0,0,'Données projet'!$E$12+1,1))-AVERAGE(OFFSET($H$3,0,0,'Données projet'!$E$12+1,1))</f>
        <v>289.12367833861299</v>
      </c>
      <c r="CE24" s="62">
        <f t="shared" si="40"/>
        <v>229.06617320689003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14.739999999999998</v>
      </c>
      <c r="CT24" s="13">
        <f>IF('Données projet'!$A$140&gt;35,CT23+CS24-DB23,IF(A24&lt;'Données projet'!$A$140,$CQ$205^A24,IF(A24='Données projet'!$A$140,'Données projet'!$B$140,CT23+CS24-DB23)))</f>
        <v>81.54000000000002</v>
      </c>
      <c r="CU24" s="18">
        <f>CT24*VLOOKUP('Données projet'!$B$13,Paramètres!$A$1:$I$89,3,0)*VLOOKUP('Données projet'!$B$13,Paramètres!$A$1:$I$89,5,0)</f>
        <v>64.873224000000022</v>
      </c>
      <c r="CV24" s="14">
        <f t="shared" si="41"/>
        <v>18.39471758117234</v>
      </c>
      <c r="CW24" s="22">
        <f t="shared" si="13"/>
        <v>145.0249982538752</v>
      </c>
      <c r="CX24" s="62">
        <f t="shared" si="14"/>
        <v>427.35833158720851</v>
      </c>
      <c r="CY24" s="62">
        <f ca="1">AVERAGE(OFFSET($CX$3,0,0,'Données projet'!$E$13+1,1))-AVERAGE(OFFSET($H$3,0,0,'Données projet'!$E$13+1,1))</f>
        <v>370.59298168107364</v>
      </c>
      <c r="CZ24" s="62">
        <f t="shared" si="42"/>
        <v>404.61777090709171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9.1999999999999993</v>
      </c>
      <c r="DO24" s="13">
        <f>IF('Données projet'!$A$166&gt;35,DO23+DN24-DW23,IF(A24&lt;'Données projet'!$A$166,$DL$205^A24,IF(A24='Données projet'!$A$166,'Données projet'!$B$166,DO23+DN24-DW23)))</f>
        <v>76.199999999999974</v>
      </c>
      <c r="DP24" s="18">
        <f>DO24*VLOOKUP('Données projet'!$B$14,Paramètres!$A$1:$I$89,3,0)*VLOOKUP('Données projet'!$B$14,Paramètres!$A$1:$I$89,5,0)</f>
        <v>66.568319999999986</v>
      </c>
      <c r="DQ24" s="14">
        <f t="shared" si="43"/>
        <v>18.818773418977681</v>
      </c>
      <c r="DR24" s="22">
        <f t="shared" si="16"/>
        <v>148.71585437138609</v>
      </c>
      <c r="DS24" s="62">
        <f t="shared" si="17"/>
        <v>431.04918770471943</v>
      </c>
      <c r="DT24" s="62">
        <f ca="1">AVERAGE(OFFSET($DS$3,0,0,'Données projet'!$E$14+1,1))-AVERAGE(OFFSET($H$3,0,0,'Données projet'!$E$14+1,1))</f>
        <v>341.65872153228599</v>
      </c>
      <c r="DU24" s="62">
        <f t="shared" si="44"/>
        <v>339.49697153894937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8.4615384615384617</v>
      </c>
      <c r="EJ24" s="13">
        <f>IF('Données projet'!$A$192&gt;35,EJ23+EI24-ER23,IF(A24&lt;'Données projet'!$A$192,$EG$205^A24,IF(A24='Données projet'!$A$192,'Données projet'!$B$192,EJ23+EI24-ER23)))</f>
        <v>75.128205128205138</v>
      </c>
      <c r="EK24" s="18">
        <f>EJ24*VLOOKUP('Données projet'!$B$15,Paramètres!$A$1:$I$89,3,0)*VLOOKUP('Données projet'!$B$15,Paramètres!$A$1:$I$89,5,0)</f>
        <v>50.396000000000001</v>
      </c>
      <c r="EL24" s="14">
        <f t="shared" si="45"/>
        <v>14.71598138852033</v>
      </c>
      <c r="EM24" s="22">
        <f t="shared" si="19"/>
        <v>113.40336758500625</v>
      </c>
      <c r="EN24" s="62">
        <f t="shared" si="20"/>
        <v>395.73670091833958</v>
      </c>
      <c r="EO24" s="62">
        <f ca="1">AVERAGE(OFFSET($EN$3,0,0,'Données projet'!$E$15+1,1))-AVERAGE(OFFSET($H$3,0,0,'Données projet'!$E$15+1,1))</f>
        <v>312.06797204903796</v>
      </c>
      <c r="EP24" s="62">
        <f t="shared" si="46"/>
        <v>258.20189001775151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5.6</v>
      </c>
      <c r="FE24" s="13">
        <f>IF('Données projet'!$A$218&gt;35,FE23+FD24-FM23,IF(A24&lt;'Données projet'!$A$218,$FB$205^A24,IF(A24='Données projet'!$A$218,'Données projet'!$B$218,FE23+FD24-FM23)))</f>
        <v>47.6</v>
      </c>
      <c r="FF24" s="18">
        <f>FE24*VLOOKUP('Données projet'!$B$16,Paramètres!$A$1:$I$89,3,0)*VLOOKUP('Données projet'!$B$16,Paramètres!$A$1:$I$89,5,0)</f>
        <v>46.038720000000005</v>
      </c>
      <c r="FG24" s="14">
        <f t="shared" si="47"/>
        <v>13.585879560828786</v>
      </c>
      <c r="FH24" s="22">
        <f t="shared" si="22"/>
        <v>103.84617756844348</v>
      </c>
      <c r="FI24" s="62">
        <f t="shared" si="23"/>
        <v>386.17951090177678</v>
      </c>
      <c r="FJ24" s="62">
        <f ca="1">AVERAGE(OFFSET($FI$3,0,0,'Données projet'!$E$16+1,1))-AVERAGE(OFFSET($H$3,0,0,'Données projet'!$E$16+1,1))</f>
        <v>455.50822833641354</v>
      </c>
      <c r="FK24" s="62">
        <f t="shared" si="48"/>
        <v>261.14722581688039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16.687912087912085</v>
      </c>
      <c r="N25" s="14">
        <f>IF('Données projet'!$A$36&gt;35,N24+M25-V24,IF(A25&lt;'Données projet'!$A$36,$K$205^A25,IF(A25='Données projet'!$A$36,'Données projet'!$B$36,N24+M25-V24)))</f>
        <v>135.58021978021981</v>
      </c>
      <c r="O25" s="14">
        <f>N25*VLOOKUP('Données projet'!$B$9,Paramètres!$A$1:$I$89,3,0)*VLOOKUP('Données projet'!$B$9,Paramètres!$A$1:$I$89,5,0)</f>
        <v>75.78934285714287</v>
      </c>
      <c r="P25" s="14">
        <f t="shared" si="33"/>
        <v>21.104439314832948</v>
      </c>
      <c r="Q25" s="22">
        <f t="shared" si="2"/>
        <v>168.7566706161912</v>
      </c>
      <c r="R25" s="62">
        <f t="shared" si="0"/>
        <v>452.31222617174672</v>
      </c>
      <c r="S25" s="62">
        <f ca="1">AVERAGE(OFFSET($R$3,0,0,'Données projet'!$E$9+1,1))-AVERAGE(OFFSET($H$3,0,0,'Données projet'!$E$9+1,1))</f>
        <v>323.98185264074681</v>
      </c>
      <c r="T25" s="62">
        <f t="shared" si="34"/>
        <v>301.22207291854005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4.8340519196634171</v>
      </c>
      <c r="AB25" s="23">
        <f>EXP(-LN(2)/2)*AB24+(1-EXP(-LN(2)/2))/(LN(2)/2)*V25*Y25*VLOOKUP('Données projet'!$B$9,Paramètres!$A$1:$I$89,3,0)*0.475*44/12</f>
        <v>10.950283413697662</v>
      </c>
      <c r="AC25" s="24">
        <f t="shared" si="3"/>
        <v>15.784335333361078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5.2912820512820513</v>
      </c>
      <c r="AI25" s="14">
        <f>IF('Données projet'!$A$62&gt;35,AI24+AH25-AQ24,IF(A25&lt;'Données projet'!$A$62,$AF$205^A25,IF(A25='Données projet'!$A$62,'Données projet'!$B$62,AI24+AH25-AQ24)))</f>
        <v>41.099220884180887</v>
      </c>
      <c r="AJ25" s="14">
        <f>AI25*VLOOKUP('Données projet'!$B$10,Paramètres!$A$1:$I$89,3,0)*VLOOKUP('Données projet'!$B$10,Paramètres!$A$1:$I$89,5,0)</f>
        <v>19.234435373796657</v>
      </c>
      <c r="AK25" s="14">
        <f t="shared" si="35"/>
        <v>6.2829652821334729</v>
      </c>
      <c r="AL25" s="22">
        <f t="shared" si="4"/>
        <v>44.442806142411648</v>
      </c>
      <c r="AM25" s="62">
        <f t="shared" si="5"/>
        <v>327.9983616979672</v>
      </c>
      <c r="AN25" s="62">
        <f ca="1">AVERAGE(OFFSET($AM$3,0,0,'Données projet'!$E$10+1,1))-AVERAGE(OFFSET($H$3,0,0,'Données projet'!$E$10+1,1))</f>
        <v>276.78862011733338</v>
      </c>
      <c r="AO25" s="62">
        <f t="shared" si="36"/>
        <v>202.1678469635836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48.135359999999999</v>
      </c>
      <c r="BF25" s="14">
        <f t="shared" si="37"/>
        <v>14.131148275361113</v>
      </c>
      <c r="BG25" s="22">
        <f t="shared" si="7"/>
        <v>108.4475019129206</v>
      </c>
      <c r="BH25" s="62">
        <f t="shared" si="8"/>
        <v>392.00305746847613</v>
      </c>
      <c r="BI25" s="62">
        <f ca="1">AVERAGE(OFFSET($BH$3,0,0,'Données projet'!$E$11+1,1))-AVERAGE(OFFSET($H$3,0,0,'Données projet'!$E$11+1,1))</f>
        <v>428.8489304403459</v>
      </c>
      <c r="BJ25" s="62">
        <f t="shared" si="38"/>
        <v>247.01165577562966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>
        <f>VLOOKUP(A25,'Données projet'!$A$113:$I$133,2,0)</f>
        <v>129.98461538461538</v>
      </c>
      <c r="BW25" s="13">
        <f>VLOOKUP(A25,'Données projet'!$A$113:$I$133,9,0)</f>
        <v>15.65384615384616</v>
      </c>
      <c r="BX25" s="13">
        <f t="array" ref="BX25">INDEX(BW:BW,MIN(IF(ISNUMBER(BW25:BW221),ROW(BW25:BW221),"")))</f>
        <v>15.65384615384616</v>
      </c>
      <c r="BY25" s="13">
        <f>IF('Données projet'!$A$114&gt;35,BY24+BX25-CG24,IF(A25&lt;'Données projet'!$A$114,$BV$205^A25,IF(A25='Données projet'!$A$114,'Données projet'!$B$114,BY24+BX25-CG24)))</f>
        <v>129.98461538461538</v>
      </c>
      <c r="BZ25" s="14">
        <f>BY25*VLOOKUP('Données projet'!$B$12,Paramètres!$A$1:$I$89,3,0)*VLOOKUP('Données projet'!$B$12,Paramètres!$A$1:$I$89,5,0)</f>
        <v>77.730800000000002</v>
      </c>
      <c r="CA25" s="14">
        <f t="shared" si="39"/>
        <v>21.581427176601697</v>
      </c>
      <c r="CB25" s="22">
        <f t="shared" si="10"/>
        <v>172.96879566591463</v>
      </c>
      <c r="CC25" s="62">
        <f t="shared" si="11"/>
        <v>456.52435122147017</v>
      </c>
      <c r="CD25" s="62">
        <f ca="1">AVERAGE(OFFSET($CC$3,0,0,'Données projet'!$E$12+1,1))-AVERAGE(OFFSET($H$3,0,0,'Données projet'!$E$12+1,1))</f>
        <v>289.12367833861299</v>
      </c>
      <c r="CE25" s="62">
        <f t="shared" si="40"/>
        <v>229.06617320689003</v>
      </c>
      <c r="CF25" s="16">
        <f>IF(ISNA(VLOOKUP(A25,'Données projet'!$A$113:$I$133,3,0)),0,VLOOKUP(A25,'Données projet'!$A$113:$I$133,3,0))</f>
        <v>1</v>
      </c>
      <c r="CG25" s="16">
        <f>IF(ISNA(VLOOKUP(A25,'Données projet'!$A$113:$I$133,4,0)),0,VLOOKUP(A25,'Données projet'!$A$113:$I$133,4,0))</f>
        <v>52.746153846153838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14.739999999999998</v>
      </c>
      <c r="CT25" s="13">
        <f>IF('Données projet'!$A$140&gt;35,CT24+CS25-DB24,IF(A25&lt;'Données projet'!$A$140,$CQ$205^A25,IF(A25='Données projet'!$A$140,'Données projet'!$B$140,CT24+CS25-DB24)))</f>
        <v>96.280000000000015</v>
      </c>
      <c r="CU25" s="18">
        <f>CT25*VLOOKUP('Données projet'!$B$13,Paramètres!$A$1:$I$89,3,0)*VLOOKUP('Données projet'!$B$13,Paramètres!$A$1:$I$89,5,0)</f>
        <v>76.600368000000017</v>
      </c>
      <c r="CV25" s="14">
        <f t="shared" si="41"/>
        <v>21.30386735026233</v>
      </c>
      <c r="CW25" s="22">
        <f t="shared" si="13"/>
        <v>170.51654323504027</v>
      </c>
      <c r="CX25" s="62">
        <f t="shared" si="14"/>
        <v>454.07209879059582</v>
      </c>
      <c r="CY25" s="62">
        <f ca="1">AVERAGE(OFFSET($CX$3,0,0,'Données projet'!$E$13+1,1))-AVERAGE(OFFSET($H$3,0,0,'Données projet'!$E$13+1,1))</f>
        <v>370.59298168107364</v>
      </c>
      <c r="CZ25" s="62">
        <f t="shared" si="42"/>
        <v>404.61777090709171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9.1999999999999993</v>
      </c>
      <c r="DO25" s="13">
        <f>IF('Données projet'!$A$166&gt;35,DO24+DN25-DW24,IF(A25&lt;'Données projet'!$A$166,$DL$205^A25,IF(A25='Données projet'!$A$166,'Données projet'!$B$166,DO24+DN25-DW24)))</f>
        <v>85.399999999999977</v>
      </c>
      <c r="DP25" s="18">
        <f>DO25*VLOOKUP('Données projet'!$B$14,Paramètres!$A$1:$I$89,3,0)*VLOOKUP('Données projet'!$B$14,Paramètres!$A$1:$I$89,5,0)</f>
        <v>74.605439999999987</v>
      </c>
      <c r="DQ25" s="14">
        <f t="shared" si="43"/>
        <v>20.81287496517584</v>
      </c>
      <c r="DR25" s="22">
        <f t="shared" si="16"/>
        <v>166.18689856434787</v>
      </c>
      <c r="DS25" s="62">
        <f t="shared" si="17"/>
        <v>449.74245411990341</v>
      </c>
      <c r="DT25" s="62">
        <f ca="1">AVERAGE(OFFSET($DS$3,0,0,'Données projet'!$E$14+1,1))-AVERAGE(OFFSET($H$3,0,0,'Données projet'!$E$14+1,1))</f>
        <v>341.65872153228599</v>
      </c>
      <c r="DU25" s="62">
        <f t="shared" si="44"/>
        <v>339.49697153894937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8.4615384615384617</v>
      </c>
      <c r="EJ25" s="13">
        <f>IF('Données projet'!$A$192&gt;35,EJ24+EI25-ER24,IF(A25&lt;'Données projet'!$A$192,$EG$205^A25,IF(A25='Données projet'!$A$192,'Données projet'!$B$192,EJ24+EI25-ER24)))</f>
        <v>83.589743589743605</v>
      </c>
      <c r="EK25" s="18">
        <f>EJ25*VLOOKUP('Données projet'!$B$15,Paramètres!$A$1:$I$89,3,0)*VLOOKUP('Données projet'!$B$15,Paramètres!$A$1:$I$89,5,0)</f>
        <v>56.07200000000001</v>
      </c>
      <c r="EL25" s="14">
        <f t="shared" si="45"/>
        <v>16.17126790367621</v>
      </c>
      <c r="EM25" s="22">
        <f t="shared" si="19"/>
        <v>125.82369159890273</v>
      </c>
      <c r="EN25" s="62">
        <f t="shared" si="20"/>
        <v>409.37924715445826</v>
      </c>
      <c r="EO25" s="62">
        <f ca="1">AVERAGE(OFFSET($EN$3,0,0,'Données projet'!$E$15+1,1))-AVERAGE(OFFSET($H$3,0,0,'Données projet'!$E$15+1,1))</f>
        <v>312.06797204903796</v>
      </c>
      <c r="EP25" s="62">
        <f t="shared" si="46"/>
        <v>258.20189001775151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5.6</v>
      </c>
      <c r="FE25" s="13">
        <f>IF('Données projet'!$A$218&gt;35,FE24+FD25-FM24,IF(A25&lt;'Données projet'!$A$218,$FB$205^A25,IF(A25='Données projet'!$A$218,'Données projet'!$B$218,FE24+FD25-FM24)))</f>
        <v>53.2</v>
      </c>
      <c r="FF25" s="18">
        <f>FE25*VLOOKUP('Données projet'!$B$16,Paramètres!$A$1:$I$89,3,0)*VLOOKUP('Données projet'!$B$16,Paramètres!$A$1:$I$89,5,0)</f>
        <v>51.455040000000004</v>
      </c>
      <c r="FG25" s="14">
        <f t="shared" si="47"/>
        <v>14.988900446655085</v>
      </c>
      <c r="FH25" s="22">
        <f t="shared" si="22"/>
        <v>115.72319627792427</v>
      </c>
      <c r="FI25" s="62">
        <f t="shared" si="23"/>
        <v>399.27875183347982</v>
      </c>
      <c r="FJ25" s="62">
        <f ca="1">AVERAGE(OFFSET($FI$3,0,0,'Données projet'!$E$16+1,1))-AVERAGE(OFFSET($H$3,0,0,'Données projet'!$E$16+1,1))</f>
        <v>455.50822833641354</v>
      </c>
      <c r="FK25" s="62">
        <f t="shared" si="48"/>
        <v>261.14722581688039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16.687912087912085</v>
      </c>
      <c r="N26" s="14">
        <f>IF('Données projet'!$A$36&gt;35,N25+M26-V25,IF(A26&lt;'Données projet'!$A$36,$K$205^A26,IF(A26='Données projet'!$A$36,'Données projet'!$B$36,N25+M26-V25)))</f>
        <v>152.26813186813189</v>
      </c>
      <c r="O26" s="14">
        <f>N26*VLOOKUP('Données projet'!$B$9,Paramètres!$A$1:$I$89,3,0)*VLOOKUP('Données projet'!$B$9,Paramètres!$A$1:$I$89,5,0)</f>
        <v>85.11788571428572</v>
      </c>
      <c r="P26" s="14">
        <f t="shared" si="33"/>
        <v>23.383981996566973</v>
      </c>
      <c r="Q26" s="22">
        <f t="shared" si="2"/>
        <v>188.97408626306844</v>
      </c>
      <c r="R26" s="62">
        <f t="shared" si="0"/>
        <v>473.75186404084621</v>
      </c>
      <c r="S26" s="62">
        <f ca="1">AVERAGE(OFFSET($R$3,0,0,'Données projet'!$E$9+1,1))-AVERAGE(OFFSET($H$3,0,0,'Données projet'!$E$9+1,1))</f>
        <v>323.98185264074681</v>
      </c>
      <c r="T26" s="62">
        <f t="shared" si="34"/>
        <v>301.22207291854005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4.7018645157084791</v>
      </c>
      <c r="AB26" s="23">
        <f>EXP(-LN(2)/2)*AB25+(1-EXP(-LN(2)/2))/(LN(2)/2)*V26*Y26*VLOOKUP('Données projet'!$B$9,Paramètres!$A$1:$I$89,3,0)*0.475*44/12</f>
        <v>7.7430196577401933</v>
      </c>
      <c r="AC26" s="24">
        <f t="shared" si="3"/>
        <v>12.444884173448672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5.2912820512820513</v>
      </c>
      <c r="AI26" s="14">
        <f>IF('Données projet'!$A$62&gt;35,AI25+AH26-AQ25,IF(A26&lt;'Données projet'!$A$62,$AF$205^A26,IF(A26='Données projet'!$A$62,'Données projet'!$B$62,AI25+AH26-AQ25)))</f>
        <v>48.661967157964739</v>
      </c>
      <c r="AJ26" s="14">
        <f>AI26*VLOOKUP('Données projet'!$B$10,Paramètres!$A$1:$I$89,3,0)*VLOOKUP('Données projet'!$B$10,Paramètres!$A$1:$I$89,5,0)</f>
        <v>22.773800629927496</v>
      </c>
      <c r="AK26" s="14">
        <f t="shared" si="35"/>
        <v>7.2942742076177201</v>
      </c>
      <c r="AL26" s="22">
        <f t="shared" si="4"/>
        <v>52.36856367539125</v>
      </c>
      <c r="AM26" s="62">
        <f t="shared" si="5"/>
        <v>337.14634145316904</v>
      </c>
      <c r="AN26" s="62">
        <f ca="1">AVERAGE(OFFSET($AM$3,0,0,'Données projet'!$E$10+1,1))-AVERAGE(OFFSET($H$3,0,0,'Données projet'!$E$10+1,1))</f>
        <v>276.78862011733338</v>
      </c>
      <c r="AO26" s="62">
        <f t="shared" si="36"/>
        <v>202.1678469635836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53.202240000000003</v>
      </c>
      <c r="BF26" s="14">
        <f t="shared" si="37"/>
        <v>15.437740642425908</v>
      </c>
      <c r="BG26" s="22">
        <f t="shared" si="7"/>
        <v>119.54796628555846</v>
      </c>
      <c r="BH26" s="62">
        <f t="shared" si="8"/>
        <v>404.32574406333623</v>
      </c>
      <c r="BI26" s="62">
        <f ca="1">AVERAGE(OFFSET($BH$3,0,0,'Données projet'!$E$11+1,1))-AVERAGE(OFFSET($H$3,0,0,'Données projet'!$E$11+1,1))</f>
        <v>428.8489304403459</v>
      </c>
      <c r="BJ26" s="62">
        <f t="shared" si="38"/>
        <v>247.01165577562966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11.242307692307683</v>
      </c>
      <c r="BY26" s="13">
        <f>IF('Données projet'!$A$114&gt;35,BY25+BX26-CG25,IF(A26&lt;'Données projet'!$A$114,$BV$205^A26,IF(A26='Données projet'!$A$114,'Données projet'!$B$114,BY25+BX26-CG25)))</f>
        <v>88.480769230769226</v>
      </c>
      <c r="BZ26" s="14">
        <f>BY26*VLOOKUP('Données projet'!$B$12,Paramètres!$A$1:$I$89,3,0)*VLOOKUP('Données projet'!$B$12,Paramètres!$A$1:$I$89,5,0)</f>
        <v>52.911499999999997</v>
      </c>
      <c r="CA26" s="14">
        <f t="shared" si="39"/>
        <v>15.363172606616901</v>
      </c>
      <c r="CB26" s="22">
        <f t="shared" si="10"/>
        <v>118.91172145652443</v>
      </c>
      <c r="CC26" s="62">
        <f t="shared" si="11"/>
        <v>403.68949923430222</v>
      </c>
      <c r="CD26" s="62">
        <f ca="1">AVERAGE(OFFSET($CC$3,0,0,'Données projet'!$E$12+1,1))-AVERAGE(OFFSET($H$3,0,0,'Données projet'!$E$12+1,1))</f>
        <v>289.12367833861299</v>
      </c>
      <c r="CE26" s="62">
        <f t="shared" si="40"/>
        <v>229.06617320689003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14.739999999999998</v>
      </c>
      <c r="CT26" s="13">
        <f>IF('Données projet'!$A$140&gt;35,CT25+CS26-DB25,IF(A26&lt;'Données projet'!$A$140,$CQ$205^A26,IF(A26='Données projet'!$A$140,'Données projet'!$B$140,CT25+CS26-DB25)))</f>
        <v>111.02000000000001</v>
      </c>
      <c r="CU26" s="18">
        <f>CT26*VLOOKUP('Données projet'!$B$13,Paramètres!$A$1:$I$89,3,0)*VLOOKUP('Données projet'!$B$13,Paramètres!$A$1:$I$89,5,0)</f>
        <v>88.327512000000013</v>
      </c>
      <c r="CV26" s="14">
        <f t="shared" si="41"/>
        <v>24.161421859810599</v>
      </c>
      <c r="CW26" s="22">
        <f t="shared" si="13"/>
        <v>195.91822647250351</v>
      </c>
      <c r="CX26" s="62">
        <f t="shared" si="14"/>
        <v>480.69600425028125</v>
      </c>
      <c r="CY26" s="62">
        <f ca="1">AVERAGE(OFFSET($CX$3,0,0,'Données projet'!$E$13+1,1))-AVERAGE(OFFSET($H$3,0,0,'Données projet'!$E$13+1,1))</f>
        <v>370.59298168107364</v>
      </c>
      <c r="CZ26" s="62">
        <f t="shared" si="42"/>
        <v>404.61777090709171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9.1999999999999993</v>
      </c>
      <c r="DO26" s="13">
        <f>IF('Données projet'!$A$166&gt;35,DO25+DN26-DW25,IF(A26&lt;'Données projet'!$A$166,$DL$205^A26,IF(A26='Données projet'!$A$166,'Données projet'!$B$166,DO25+DN26-DW25)))</f>
        <v>94.59999999999998</v>
      </c>
      <c r="DP26" s="18">
        <f>DO26*VLOOKUP('Données projet'!$B$14,Paramètres!$A$1:$I$89,3,0)*VLOOKUP('Données projet'!$B$14,Paramètres!$A$1:$I$89,5,0)</f>
        <v>82.642559999999989</v>
      </c>
      <c r="DQ26" s="14">
        <f t="shared" si="43"/>
        <v>22.782076653086197</v>
      </c>
      <c r="DR26" s="22">
        <f t="shared" si="16"/>
        <v>183.6145755041251</v>
      </c>
      <c r="DS26" s="62">
        <f t="shared" si="17"/>
        <v>468.39235328190284</v>
      </c>
      <c r="DT26" s="62">
        <f ca="1">AVERAGE(OFFSET($DS$3,0,0,'Données projet'!$E$14+1,1))-AVERAGE(OFFSET($H$3,0,0,'Données projet'!$E$14+1,1))</f>
        <v>341.65872153228599</v>
      </c>
      <c r="DU26" s="62">
        <f t="shared" si="44"/>
        <v>339.49697153894937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8.4615384615384617</v>
      </c>
      <c r="EJ26" s="13">
        <f>IF('Données projet'!$A$192&gt;35,EJ25+EI26-ER25,IF(A26&lt;'Données projet'!$A$192,$EG$205^A26,IF(A26='Données projet'!$A$192,'Données projet'!$B$192,EJ25+EI26-ER25)))</f>
        <v>92.051282051282072</v>
      </c>
      <c r="EK26" s="18">
        <f>EJ26*VLOOKUP('Données projet'!$B$15,Paramètres!$A$1:$I$89,3,0)*VLOOKUP('Données projet'!$B$15,Paramètres!$A$1:$I$89,5,0)</f>
        <v>61.748000000000012</v>
      </c>
      <c r="EL26" s="14">
        <f t="shared" si="45"/>
        <v>17.609476905605174</v>
      </c>
      <c r="EM26" s="22">
        <f t="shared" si="19"/>
        <v>138.21427227726235</v>
      </c>
      <c r="EN26" s="62">
        <f t="shared" si="20"/>
        <v>422.99205005504012</v>
      </c>
      <c r="EO26" s="62">
        <f ca="1">AVERAGE(OFFSET($EN$3,0,0,'Données projet'!$E$15+1,1))-AVERAGE(OFFSET($H$3,0,0,'Données projet'!$E$15+1,1))</f>
        <v>312.06797204903796</v>
      </c>
      <c r="EP26" s="62">
        <f t="shared" si="46"/>
        <v>258.20189001775151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5.6</v>
      </c>
      <c r="FE26" s="13">
        <f>IF('Données projet'!$A$218&gt;35,FE25+FD26-FM25,IF(A26&lt;'Données projet'!$A$218,$FB$205^A26,IF(A26='Données projet'!$A$218,'Données projet'!$B$218,FE25+FD26-FM25)))</f>
        <v>58.800000000000004</v>
      </c>
      <c r="FF26" s="18">
        <f>FE26*VLOOKUP('Données projet'!$B$16,Paramètres!$A$1:$I$89,3,0)*VLOOKUP('Données projet'!$B$16,Paramètres!$A$1:$I$89,5,0)</f>
        <v>56.87136000000001</v>
      </c>
      <c r="FG26" s="14">
        <f t="shared" si="47"/>
        <v>16.374802181791551</v>
      </c>
      <c r="FH26" s="22">
        <f t="shared" si="22"/>
        <v>127.57039913328697</v>
      </c>
      <c r="FI26" s="62">
        <f t="shared" si="23"/>
        <v>412.34817691106474</v>
      </c>
      <c r="FJ26" s="62">
        <f ca="1">AVERAGE(OFFSET($FI$3,0,0,'Données projet'!$E$16+1,1))-AVERAGE(OFFSET($H$3,0,0,'Données projet'!$E$16+1,1))</f>
        <v>455.50822833641354</v>
      </c>
      <c r="FK26" s="62">
        <f t="shared" si="48"/>
        <v>261.14722581688039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16.687912087912085</v>
      </c>
      <c r="N27" s="14">
        <f>IF('Données projet'!$A$36&gt;35,N26+M27-V26,IF(A27&lt;'Données projet'!$A$36,$K$205^A27,IF(A27='Données projet'!$A$36,'Données projet'!$B$36,N26+M27-V26)))</f>
        <v>168.95604395604397</v>
      </c>
      <c r="O27" s="14">
        <f>N27*VLOOKUP('Données projet'!$B$9,Paramètres!$A$1:$I$89,3,0)*VLOOKUP('Données projet'!$B$9,Paramètres!$A$1:$I$89,5,0)</f>
        <v>94.446428571428584</v>
      </c>
      <c r="P27" s="14">
        <f t="shared" si="33"/>
        <v>25.634568296511581</v>
      </c>
      <c r="Q27" s="22">
        <f t="shared" si="2"/>
        <v>209.14106954499582</v>
      </c>
      <c r="R27" s="62">
        <f t="shared" si="0"/>
        <v>495.14106954499584</v>
      </c>
      <c r="S27" s="62">
        <f ca="1">AVERAGE(OFFSET($R$3,0,0,'Données projet'!$E$9+1,1))-AVERAGE(OFFSET($H$3,0,0,'Données projet'!$E$9+1,1))</f>
        <v>323.98185264074681</v>
      </c>
      <c r="T27" s="62">
        <f t="shared" si="34"/>
        <v>301.22207291854005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4.5732917832661224</v>
      </c>
      <c r="AB27" s="23">
        <f>EXP(-LN(2)/2)*AB26+(1-EXP(-LN(2)/2))/(LN(2)/2)*V27*Y27*VLOOKUP('Données projet'!$B$9,Paramètres!$A$1:$I$89,3,0)*0.475*44/12</f>
        <v>5.4751417068488317</v>
      </c>
      <c r="AC27" s="24">
        <f t="shared" si="3"/>
        <v>10.048433490114954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5.2912820512820513</v>
      </c>
      <c r="AI27" s="14">
        <f>IF('Données projet'!$A$62&gt;35,AI26+AH27-AQ26,IF(A27&lt;'Données projet'!$A$62,$AF$205^A27,IF(A27='Données projet'!$A$62,'Données projet'!$B$62,AI26+AH27-AQ26)))</f>
        <v>57.616348844079376</v>
      </c>
      <c r="AJ27" s="14">
        <f>AI27*VLOOKUP('Données projet'!$B$10,Paramètres!$A$1:$I$89,3,0)*VLOOKUP('Données projet'!$B$10,Paramètres!$A$1:$I$89,5,0)</f>
        <v>26.964451259029147</v>
      </c>
      <c r="AK27" s="14">
        <f t="shared" si="35"/>
        <v>8.4683638738570401</v>
      </c>
      <c r="AL27" s="22">
        <f t="shared" si="4"/>
        <v>61.712153023110119</v>
      </c>
      <c r="AM27" s="62">
        <f t="shared" si="5"/>
        <v>347.71215302311009</v>
      </c>
      <c r="AN27" s="62">
        <f ca="1">AVERAGE(OFFSET($AM$3,0,0,'Données projet'!$E$10+1,1))-AVERAGE(OFFSET($H$3,0,0,'Données projet'!$E$10+1,1))</f>
        <v>276.78862011733338</v>
      </c>
      <c r="AO27" s="62">
        <f t="shared" si="36"/>
        <v>202.1678469635836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58.269120000000008</v>
      </c>
      <c r="BF27" s="14">
        <f t="shared" si="37"/>
        <v>16.729905486873804</v>
      </c>
      <c r="BG27" s="22">
        <f t="shared" si="7"/>
        <v>130.62330272297189</v>
      </c>
      <c r="BH27" s="62">
        <f t="shared" si="8"/>
        <v>416.62330272297186</v>
      </c>
      <c r="BI27" s="62">
        <f ca="1">AVERAGE(OFFSET($BH$3,0,0,'Données projet'!$E$11+1,1))-AVERAGE(OFFSET($H$3,0,0,'Données projet'!$E$11+1,1))</f>
        <v>428.8489304403459</v>
      </c>
      <c r="BJ27" s="62">
        <f t="shared" si="38"/>
        <v>247.01165577562966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>
        <f>VLOOKUP(A27,'Données projet'!$A$113:$I$133,2,0)</f>
        <v>99.723076923076903</v>
      </c>
      <c r="BW27" s="13">
        <f>VLOOKUP(A27,'Données projet'!$A$113:$I$133,9,0)</f>
        <v>11.242307692307683</v>
      </c>
      <c r="BX27" s="13">
        <f t="array" ref="BX27">INDEX(BW:BW,MIN(IF(ISNUMBER(BW27:BW223),ROW(BW27:BW223),"")))</f>
        <v>11.242307692307683</v>
      </c>
      <c r="BY27" s="13">
        <f>IF('Données projet'!$A$114&gt;35,BY26+BX27-CG26,IF(A27&lt;'Données projet'!$A$114,$BV$205^A27,IF(A27='Données projet'!$A$114,'Données projet'!$B$114,BY26+BX27-CG26)))</f>
        <v>99.723076923076917</v>
      </c>
      <c r="BZ27" s="14">
        <f>BY27*VLOOKUP('Données projet'!$B$12,Paramètres!$A$1:$I$89,3,0)*VLOOKUP('Données projet'!$B$12,Paramètres!$A$1:$I$89,5,0)</f>
        <v>59.634400000000007</v>
      </c>
      <c r="CA27" s="14">
        <f t="shared" si="39"/>
        <v>17.075801006767037</v>
      </c>
      <c r="CB27" s="22">
        <f t="shared" si="10"/>
        <v>133.60360008678595</v>
      </c>
      <c r="CC27" s="62">
        <f t="shared" si="11"/>
        <v>419.60360008678595</v>
      </c>
      <c r="CD27" s="62">
        <f ca="1">AVERAGE(OFFSET($CC$3,0,0,'Données projet'!$E$12+1,1))-AVERAGE(OFFSET($H$3,0,0,'Données projet'!$E$12+1,1))</f>
        <v>289.12367833861299</v>
      </c>
      <c r="CE27" s="62">
        <f t="shared" si="40"/>
        <v>229.06617320689003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14.739999999999998</v>
      </c>
      <c r="CT27" s="13">
        <f>IF('Données projet'!$A$140&gt;35,CT26+CS27-DB26,IF(A27&lt;'Données projet'!$A$140,$CQ$205^A27,IF(A27='Données projet'!$A$140,'Données projet'!$B$140,CT26+CS27-DB26)))</f>
        <v>125.76</v>
      </c>
      <c r="CU27" s="18">
        <f>CT27*VLOOKUP('Données projet'!$B$13,Paramètres!$A$1:$I$89,3,0)*VLOOKUP('Données projet'!$B$13,Paramètres!$A$1:$I$89,5,0)</f>
        <v>100.05465600000001</v>
      </c>
      <c r="CV27" s="14">
        <f t="shared" si="41"/>
        <v>26.97501817255089</v>
      </c>
      <c r="CW27" s="22">
        <f t="shared" si="13"/>
        <v>221.24334918385946</v>
      </c>
      <c r="CX27" s="62">
        <f t="shared" si="14"/>
        <v>507.24334918385944</v>
      </c>
      <c r="CY27" s="62">
        <f ca="1">AVERAGE(OFFSET($CX$3,0,0,'Données projet'!$E$13+1,1))-AVERAGE(OFFSET($H$3,0,0,'Données projet'!$E$13+1,1))</f>
        <v>370.59298168107364</v>
      </c>
      <c r="CZ27" s="62">
        <f t="shared" si="42"/>
        <v>404.61777090709171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9.1999999999999993</v>
      </c>
      <c r="DO27" s="13">
        <f>IF('Données projet'!$A$166&gt;35,DO26+DN27-DW26,IF(A27&lt;'Données projet'!$A$166,$DL$205^A27,IF(A27='Données projet'!$A$166,'Données projet'!$B$166,DO26+DN27-DW26)))</f>
        <v>103.79999999999998</v>
      </c>
      <c r="DP27" s="18">
        <f>DO27*VLOOKUP('Données projet'!$B$14,Paramètres!$A$1:$I$89,3,0)*VLOOKUP('Données projet'!$B$14,Paramètres!$A$1:$I$89,5,0)</f>
        <v>90.679679999999991</v>
      </c>
      <c r="DQ27" s="14">
        <f t="shared" si="43"/>
        <v>24.729075596681458</v>
      </c>
      <c r="DR27" s="22">
        <f t="shared" si="16"/>
        <v>201.00358266422018</v>
      </c>
      <c r="DS27" s="62">
        <f t="shared" si="17"/>
        <v>487.00358266422018</v>
      </c>
      <c r="DT27" s="62">
        <f ca="1">AVERAGE(OFFSET($DS$3,0,0,'Données projet'!$E$14+1,1))-AVERAGE(OFFSET($H$3,0,0,'Données projet'!$E$14+1,1))</f>
        <v>341.65872153228599</v>
      </c>
      <c r="DU27" s="62">
        <f t="shared" si="44"/>
        <v>339.49697153894937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8.4615384615384617</v>
      </c>
      <c r="EJ27" s="13">
        <f>IF('Données projet'!$A$192&gt;35,EJ26+EI27-ER26,IF(A27&lt;'Données projet'!$A$192,$EG$205^A27,IF(A27='Données projet'!$A$192,'Données projet'!$B$192,EJ26+EI27-ER26)))</f>
        <v>100.51282051282054</v>
      </c>
      <c r="EK27" s="18">
        <f>EJ27*VLOOKUP('Données projet'!$B$15,Paramètres!$A$1:$I$89,3,0)*VLOOKUP('Données projet'!$B$15,Paramètres!$A$1:$I$89,5,0)</f>
        <v>67.424000000000021</v>
      </c>
      <c r="EL27" s="14">
        <f t="shared" si="45"/>
        <v>19.032356736143235</v>
      </c>
      <c r="EM27" s="22">
        <f t="shared" si="19"/>
        <v>150.57815464878283</v>
      </c>
      <c r="EN27" s="62">
        <f t="shared" si="20"/>
        <v>436.57815464878286</v>
      </c>
      <c r="EO27" s="62">
        <f ca="1">AVERAGE(OFFSET($EN$3,0,0,'Données projet'!$E$15+1,1))-AVERAGE(OFFSET($H$3,0,0,'Données projet'!$E$15+1,1))</f>
        <v>312.06797204903796</v>
      </c>
      <c r="EP27" s="62">
        <f t="shared" si="46"/>
        <v>258.20189001775151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5.6</v>
      </c>
      <c r="FE27" s="13">
        <f>IF('Données projet'!$A$218&gt;35,FE26+FD27-FM26,IF(A27&lt;'Données projet'!$A$218,$FB$205^A27,IF(A27='Données projet'!$A$218,'Données projet'!$B$218,FE26+FD27-FM26)))</f>
        <v>64.400000000000006</v>
      </c>
      <c r="FF27" s="18">
        <f>FE27*VLOOKUP('Données projet'!$B$16,Paramètres!$A$1:$I$89,3,0)*VLOOKUP('Données projet'!$B$16,Paramètres!$A$1:$I$89,5,0)</f>
        <v>62.287680000000009</v>
      </c>
      <c r="FG27" s="14">
        <f t="shared" si="47"/>
        <v>17.745400652396182</v>
      </c>
      <c r="FH27" s="22">
        <f t="shared" si="22"/>
        <v>139.39094880292336</v>
      </c>
      <c r="FI27" s="62">
        <f t="shared" si="23"/>
        <v>425.39094880292339</v>
      </c>
      <c r="FJ27" s="62">
        <f ca="1">AVERAGE(OFFSET($FI$3,0,0,'Données projet'!$E$16+1,1))-AVERAGE(OFFSET($H$3,0,0,'Données projet'!$E$16+1,1))</f>
        <v>455.50822833641354</v>
      </c>
      <c r="FK27" s="62">
        <f t="shared" si="48"/>
        <v>261.14722581688039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16.687912087912085</v>
      </c>
      <c r="N28" s="14">
        <f>IF('Données projet'!$A$36&gt;35,N27+M28-V27,IF(A28&lt;'Données projet'!$A$36,$K$205^A28,IF(A28='Données projet'!$A$36,'Données projet'!$B$36,N27+M28-V27)))</f>
        <v>185.64395604395605</v>
      </c>
      <c r="O28" s="14">
        <f>N28*VLOOKUP('Données projet'!$B$9,Paramètres!$A$1:$I$89,3,0)*VLOOKUP('Données projet'!$B$9,Paramètres!$A$1:$I$89,5,0)</f>
        <v>103.77497142857143</v>
      </c>
      <c r="P28" s="14">
        <f t="shared" si="33"/>
        <v>27.859383782043167</v>
      </c>
      <c r="Q28" s="22">
        <f t="shared" si="2"/>
        <v>229.2631686584871</v>
      </c>
      <c r="R28" s="62">
        <f t="shared" si="0"/>
        <v>516.48539088070936</v>
      </c>
      <c r="S28" s="62">
        <f ca="1">AVERAGE(OFFSET($R$3,0,0,'Données projet'!$E$9+1,1))-AVERAGE(OFFSET($H$3,0,0,'Données projet'!$E$9+1,1))</f>
        <v>323.98185264074681</v>
      </c>
      <c r="T28" s="62">
        <f t="shared" si="34"/>
        <v>301.22207291854005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4.4482348789537474</v>
      </c>
      <c r="AB28" s="23">
        <f>EXP(-LN(2)/2)*AB27+(1-EXP(-LN(2)/2))/(LN(2)/2)*V28*Y28*VLOOKUP('Données projet'!$B$9,Paramètres!$A$1:$I$89,3,0)*0.475*44/12</f>
        <v>3.8715098288700975</v>
      </c>
      <c r="AC28" s="24">
        <f t="shared" si="3"/>
        <v>8.319744707823844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5.2912820512820513</v>
      </c>
      <c r="AI28" s="14">
        <f>IF('Données projet'!$A$62&gt;35,AI27+AH28-AQ27,IF(A28&lt;'Données projet'!$A$62,$AF$205^A28,IF(A28='Données projet'!$A$62,'Données projet'!$B$62,AI27+AH28-AQ27)))</f>
        <v>68.218443437490691</v>
      </c>
      <c r="AJ28" s="14">
        <f>AI28*VLOOKUP('Données projet'!$B$10,Paramètres!$A$1:$I$89,3,0)*VLOOKUP('Données projet'!$B$10,Paramètres!$A$1:$I$89,5,0)</f>
        <v>31.926231528745642</v>
      </c>
      <c r="AK28" s="14">
        <f t="shared" si="35"/>
        <v>9.8314355422988982</v>
      </c>
      <c r="AL28" s="22">
        <f t="shared" si="4"/>
        <v>72.727936815402572</v>
      </c>
      <c r="AM28" s="62">
        <f t="shared" si="5"/>
        <v>359.95015903762481</v>
      </c>
      <c r="AN28" s="62">
        <f ca="1">AVERAGE(OFFSET($AM$3,0,0,'Données projet'!$E$10+1,1))-AVERAGE(OFFSET($H$3,0,0,'Données projet'!$E$10+1,1))</f>
        <v>276.78862011733338</v>
      </c>
      <c r="AO28" s="62">
        <f t="shared" si="36"/>
        <v>202.1678469635836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63.335999999999991</v>
      </c>
      <c r="BF28" s="14">
        <f t="shared" si="37"/>
        <v>18.009040022946227</v>
      </c>
      <c r="BG28" s="22">
        <f t="shared" si="7"/>
        <v>141.67594470663133</v>
      </c>
      <c r="BH28" s="62">
        <f t="shared" si="8"/>
        <v>428.89816692885358</v>
      </c>
      <c r="BI28" s="62">
        <f ca="1">AVERAGE(OFFSET($BH$3,0,0,'Données projet'!$E$11+1,1))-AVERAGE(OFFSET($H$3,0,0,'Données projet'!$E$11+1,1))</f>
        <v>428.8489304403459</v>
      </c>
      <c r="BJ28" s="62">
        <f t="shared" si="38"/>
        <v>247.01165577562966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13.664102564102569</v>
      </c>
      <c r="BY28" s="13">
        <f>IF('Données projet'!$A$114&gt;35,BY27+BX28-CG27,IF(A28&lt;'Données projet'!$A$114,$BV$205^A28,IF(A28='Données projet'!$A$114,'Données projet'!$B$114,BY27+BX28-CG27)))</f>
        <v>113.38717948717948</v>
      </c>
      <c r="BZ28" s="14">
        <f>BY28*VLOOKUP('Données projet'!$B$12,Paramètres!$A$1:$I$89,3,0)*VLOOKUP('Données projet'!$B$12,Paramètres!$A$1:$I$89,5,0)</f>
        <v>67.805533333333329</v>
      </c>
      <c r="CA28" s="14">
        <f t="shared" si="39"/>
        <v>19.12748805046628</v>
      </c>
      <c r="CB28" s="22">
        <f t="shared" si="10"/>
        <v>151.40834557678431</v>
      </c>
      <c r="CC28" s="62">
        <f t="shared" si="11"/>
        <v>438.63056779900654</v>
      </c>
      <c r="CD28" s="62">
        <f ca="1">AVERAGE(OFFSET($CC$3,0,0,'Données projet'!$E$12+1,1))-AVERAGE(OFFSET($H$3,0,0,'Données projet'!$E$12+1,1))</f>
        <v>289.12367833861299</v>
      </c>
      <c r="CE28" s="62">
        <f t="shared" si="40"/>
        <v>229.06617320689003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140.5</v>
      </c>
      <c r="CR28" s="13">
        <f>VLOOKUP(A28,'Données projet'!$A$139:$I$159,9,0)</f>
        <v>14.739999999999998</v>
      </c>
      <c r="CS28" s="13">
        <f t="array" ref="CS28">INDEX(CR:CR,MIN(IF(ISNUMBER(CR28:CR224),ROW(CR28:CR224),"")))</f>
        <v>14.739999999999998</v>
      </c>
      <c r="CT28" s="13">
        <f>IF('Données projet'!$A$140&gt;35,CT27+CS28-DB27,IF(A28&lt;'Données projet'!$A$140,$CQ$205^A28,IF(A28='Données projet'!$A$140,'Données projet'!$B$140,CT27+CS28-DB27)))</f>
        <v>140.5</v>
      </c>
      <c r="CU28" s="18">
        <f>CT28*VLOOKUP('Données projet'!$B$13,Paramètres!$A$1:$I$89,3,0)*VLOOKUP('Données projet'!$B$13,Paramètres!$A$1:$I$89,5,0)</f>
        <v>111.7818</v>
      </c>
      <c r="CV28" s="14">
        <f t="shared" si="41"/>
        <v>29.750397150027219</v>
      </c>
      <c r="CW28" s="22">
        <f t="shared" si="13"/>
        <v>246.5019100362974</v>
      </c>
      <c r="CX28" s="62">
        <f t="shared" si="14"/>
        <v>533.7241322585196</v>
      </c>
      <c r="CY28" s="62">
        <f ca="1">AVERAGE(OFFSET($CX$3,0,0,'Données projet'!$E$13+1,1))-AVERAGE(OFFSET($H$3,0,0,'Données projet'!$E$13+1,1))</f>
        <v>370.59298168107364</v>
      </c>
      <c r="CZ28" s="62">
        <f t="shared" si="42"/>
        <v>404.61777090709171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113</v>
      </c>
      <c r="DM28" s="13">
        <f>VLOOKUP(A28,'Données projet'!$A$165:$I$185,9,0)</f>
        <v>9.1999999999999993</v>
      </c>
      <c r="DN28" s="13">
        <f t="array" ref="DN28">INDEX(DM:DM,MIN(IF(ISNUMBER(DM28:DM224),ROW(DM28:DM224),"")))</f>
        <v>9.1999999999999993</v>
      </c>
      <c r="DO28" s="13">
        <f>IF('Données projet'!$A$166&gt;35,DO27+DN28-DW27,IF(A28&lt;'Données projet'!$A$166,$DL$205^A28,IF(A28='Données projet'!$A$166,'Données projet'!$B$166,DO27+DN28-DW27)))</f>
        <v>112.99999999999999</v>
      </c>
      <c r="DP28" s="18">
        <f>DO28*VLOOKUP('Données projet'!$B$14,Paramètres!$A$1:$I$89,3,0)*VLOOKUP('Données projet'!$B$14,Paramètres!$A$1:$I$89,5,0)</f>
        <v>98.716800000000006</v>
      </c>
      <c r="DQ28" s="14">
        <f t="shared" si="43"/>
        <v>26.656063438447475</v>
      </c>
      <c r="DR28" s="22">
        <f t="shared" si="16"/>
        <v>218.35773715529604</v>
      </c>
      <c r="DS28" s="62">
        <f t="shared" si="17"/>
        <v>505.57995937751826</v>
      </c>
      <c r="DT28" s="62">
        <f ca="1">AVERAGE(OFFSET($DS$3,0,0,'Données projet'!$E$14+1,1))-AVERAGE(OFFSET($H$3,0,0,'Données projet'!$E$14+1,1))</f>
        <v>341.65872153228599</v>
      </c>
      <c r="DU28" s="62">
        <f t="shared" si="44"/>
        <v>339.49697153894937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108.97435897435896</v>
      </c>
      <c r="EH28" s="13">
        <f>VLOOKUP(A28,'Données projet'!$A$191:$I$211,9,0)</f>
        <v>8.4615384615384617</v>
      </c>
      <c r="EI28" s="13">
        <f t="array" ref="EI28">INDEX(EH:EH,MIN(IF(ISNUMBER(EH28:EH224),ROW(EH28:EH224),"")))</f>
        <v>8.4615384615384617</v>
      </c>
      <c r="EJ28" s="13">
        <f>IF('Données projet'!$A$192&gt;35,EJ27+EI28-ER27,IF(A28&lt;'Données projet'!$A$192,$EG$205^A28,IF(A28='Données projet'!$A$192,'Données projet'!$B$192,EJ27+EI28-ER27)))</f>
        <v>108.97435897435901</v>
      </c>
      <c r="EK28" s="18">
        <f>EJ28*VLOOKUP('Données projet'!$B$15,Paramètres!$A$1:$I$89,3,0)*VLOOKUP('Données projet'!$B$15,Paramètres!$A$1:$I$89,5,0)</f>
        <v>73.100000000000023</v>
      </c>
      <c r="EL28" s="14">
        <f t="shared" si="45"/>
        <v>20.44134457781275</v>
      </c>
      <c r="EM28" s="22">
        <f t="shared" si="19"/>
        <v>162.91784180635725</v>
      </c>
      <c r="EN28" s="62">
        <f t="shared" si="20"/>
        <v>450.14006402857945</v>
      </c>
      <c r="EO28" s="62">
        <f ca="1">AVERAGE(OFFSET($EN$3,0,0,'Données projet'!$E$15+1,1))-AVERAGE(OFFSET($H$3,0,0,'Données projet'!$E$15+1,1))</f>
        <v>312.06797204903796</v>
      </c>
      <c r="EP28" s="62">
        <f t="shared" si="46"/>
        <v>258.20189001775151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70</v>
      </c>
      <c r="FC28" s="13">
        <f>VLOOKUP(A28,'Données projet'!$A$217:$I$237,9,0)</f>
        <v>5.6</v>
      </c>
      <c r="FD28" s="13">
        <f t="array" ref="FD28">INDEX(FC:FC,MIN(IF(ISNUMBER(FC28:FC224),ROW(FC28:FC224),"")))</f>
        <v>5.6</v>
      </c>
      <c r="FE28" s="13">
        <f>IF('Données projet'!$A$218&gt;35,FE27+FD28-FM27,IF(A28&lt;'Données projet'!$A$218,$FB$205^A28,IF(A28='Données projet'!$A$218,'Données projet'!$B$218,FE27+FD28-FM27)))</f>
        <v>70</v>
      </c>
      <c r="FF28" s="18">
        <f>FE28*VLOOKUP('Données projet'!$B$16,Paramètres!$A$1:$I$89,3,0)*VLOOKUP('Données projet'!$B$16,Paramètres!$A$1:$I$89,5,0)</f>
        <v>67.703999999999994</v>
      </c>
      <c r="FG28" s="14">
        <f t="shared" si="47"/>
        <v>19.102177882771514</v>
      </c>
      <c r="FH28" s="22">
        <f t="shared" si="22"/>
        <v>151.18742647916039</v>
      </c>
      <c r="FI28" s="62">
        <f t="shared" si="23"/>
        <v>438.40964870138259</v>
      </c>
      <c r="FJ28" s="62">
        <f ca="1">AVERAGE(OFFSET($FI$3,0,0,'Données projet'!$E$16+1,1))-AVERAGE(OFFSET($H$3,0,0,'Données projet'!$E$16+1,1))</f>
        <v>455.50822833641354</v>
      </c>
      <c r="FK28" s="62">
        <f t="shared" si="48"/>
        <v>261.14722581688039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16.687912087912085</v>
      </c>
      <c r="N29" s="14">
        <f>IF('Données projet'!$A$36&gt;35,N28+M29-V28,IF(A29&lt;'Données projet'!$A$36,$K$205^A29,IF(A29='Données projet'!$A$36,'Données projet'!$B$36,N28+M29-V28)))</f>
        <v>202.33186813186813</v>
      </c>
      <c r="O29" s="14">
        <f>N29*VLOOKUP('Données projet'!$B$9,Paramètres!$A$1:$I$89,3,0)*VLOOKUP('Données projet'!$B$9,Paramètres!$A$1:$I$89,5,0)</f>
        <v>113.1035142857143</v>
      </c>
      <c r="P29" s="14">
        <f t="shared" si="33"/>
        <v>30.061008485627202</v>
      </c>
      <c r="Q29" s="22">
        <f t="shared" si="2"/>
        <v>249.34487716008644</v>
      </c>
      <c r="R29" s="62">
        <f t="shared" si="0"/>
        <v>537.78932160453087</v>
      </c>
      <c r="S29" s="62">
        <f ca="1">AVERAGE(OFFSET($R$3,0,0,'Données projet'!$E$9+1,1))-AVERAGE(OFFSET($H$3,0,0,'Données projet'!$E$9+1,1))</f>
        <v>323.98185264074681</v>
      </c>
      <c r="T29" s="62">
        <f t="shared" si="34"/>
        <v>301.22207291854005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4.3265976622662512</v>
      </c>
      <c r="AB29" s="23">
        <f>EXP(-LN(2)/2)*AB28+(1-EXP(-LN(2)/2))/(LN(2)/2)*V29*Y29*VLOOKUP('Données projet'!$B$9,Paramètres!$A$1:$I$89,3,0)*0.475*44/12</f>
        <v>2.7375708534244163</v>
      </c>
      <c r="AC29" s="24">
        <f t="shared" si="3"/>
        <v>7.0641685156906675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5.2912820512820513</v>
      </c>
      <c r="AI29" s="14">
        <f>IF('Données projet'!$A$62&gt;35,AI28+AH29-AQ28,IF(A29&lt;'Données projet'!$A$62,$AF$205^A29,IF(A29='Données projet'!$A$62,'Données projet'!$B$62,AI28+AH29-AQ28)))</f>
        <v>80.771449742989631</v>
      </c>
      <c r="AJ29" s="14">
        <f>AI29*VLOOKUP('Données projet'!$B$10,Paramètres!$A$1:$I$89,3,0)*VLOOKUP('Données projet'!$B$10,Paramètres!$A$1:$I$89,5,0)</f>
        <v>37.801038479719146</v>
      </c>
      <c r="AK29" s="14">
        <f t="shared" si="35"/>
        <v>11.413907841250353</v>
      </c>
      <c r="AL29" s="22">
        <f t="shared" si="4"/>
        <v>85.716031509021889</v>
      </c>
      <c r="AM29" s="62">
        <f t="shared" si="5"/>
        <v>374.16047595346635</v>
      </c>
      <c r="AN29" s="62">
        <f ca="1">AVERAGE(OFFSET($AM$3,0,0,'Données projet'!$E$10+1,1))-AVERAGE(OFFSET($H$3,0,0,'Données projet'!$E$10+1,1))</f>
        <v>276.78862011733338</v>
      </c>
      <c r="AO29" s="62">
        <f t="shared" si="36"/>
        <v>202.1678469635836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69.669600000000003</v>
      </c>
      <c r="BF29" s="14">
        <f t="shared" si="37"/>
        <v>19.591385027476957</v>
      </c>
      <c r="BG29" s="22">
        <f t="shared" si="7"/>
        <v>155.46288225618903</v>
      </c>
      <c r="BH29" s="62">
        <f t="shared" si="8"/>
        <v>443.90732670063346</v>
      </c>
      <c r="BI29" s="62">
        <f ca="1">AVERAGE(OFFSET($BH$3,0,0,'Données projet'!$E$11+1,1))-AVERAGE(OFFSET($H$3,0,0,'Données projet'!$E$11+1,1))</f>
        <v>428.8489304403459</v>
      </c>
      <c r="BJ29" s="62">
        <f t="shared" si="38"/>
        <v>247.01165577562966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13.664102564102569</v>
      </c>
      <c r="BY29" s="13">
        <f>IF('Données projet'!$A$114&gt;35,BY28+BX29-CG28,IF(A29&lt;'Données projet'!$A$114,$BV$205^A29,IF(A29='Données projet'!$A$114,'Données projet'!$B$114,BY28+BX29-CG28)))</f>
        <v>127.05128205128204</v>
      </c>
      <c r="BZ29" s="14">
        <f>BY29*VLOOKUP('Données projet'!$B$12,Paramètres!$A$1:$I$89,3,0)*VLOOKUP('Données projet'!$B$12,Paramètres!$A$1:$I$89,5,0)</f>
        <v>75.976666666666659</v>
      </c>
      <c r="CA29" s="14">
        <f t="shared" si="39"/>
        <v>21.150523503463145</v>
      </c>
      <c r="CB29" s="22">
        <f t="shared" si="10"/>
        <v>169.16318954630938</v>
      </c>
      <c r="CC29" s="62">
        <f t="shared" si="11"/>
        <v>457.60763399075381</v>
      </c>
      <c r="CD29" s="62">
        <f ca="1">AVERAGE(OFFSET($CC$3,0,0,'Données projet'!$E$12+1,1))-AVERAGE(OFFSET($H$3,0,0,'Données projet'!$E$12+1,1))</f>
        <v>289.12367833861299</v>
      </c>
      <c r="CE29" s="62">
        <f t="shared" si="40"/>
        <v>229.06617320689003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14.260000000000002</v>
      </c>
      <c r="CT29" s="13">
        <f>IF('Données projet'!$A$140&gt;35,CT28+CS29-DB28,IF(A29&lt;'Données projet'!$A$140,$CQ$205^A29,IF(A29='Données projet'!$A$140,'Données projet'!$B$140,CT28+CS29-DB28)))</f>
        <v>154.76</v>
      </c>
      <c r="CU29" s="18">
        <f>CT29*VLOOKUP('Données projet'!$B$13,Paramètres!$A$1:$I$89,3,0)*VLOOKUP('Données projet'!$B$13,Paramètres!$A$1:$I$89,5,0)</f>
        <v>123.127056</v>
      </c>
      <c r="CV29" s="14">
        <f t="shared" si="41"/>
        <v>32.403238210173519</v>
      </c>
      <c r="CW29" s="22">
        <f t="shared" si="13"/>
        <v>270.88192908271884</v>
      </c>
      <c r="CX29" s="62">
        <f t="shared" si="14"/>
        <v>559.32637352716324</v>
      </c>
      <c r="CY29" s="62">
        <f ca="1">AVERAGE(OFFSET($CX$3,0,0,'Données projet'!$E$13+1,1))-AVERAGE(OFFSET($H$3,0,0,'Données projet'!$E$13+1,1))</f>
        <v>370.59298168107364</v>
      </c>
      <c r="CZ29" s="62">
        <f t="shared" si="42"/>
        <v>404.61777090709171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</v>
      </c>
      <c r="DO29" s="13">
        <f>IF('Données projet'!$A$166&gt;35,DO28+DN29-DW28,IF(A29&lt;'Données projet'!$A$166,$DL$205^A29,IF(A29='Données projet'!$A$166,'Données projet'!$B$166,DO28+DN29-DW28)))</f>
        <v>121.99999999999999</v>
      </c>
      <c r="DP29" s="18">
        <f>DO29*VLOOKUP('Données projet'!$B$14,Paramètres!$A$1:$I$89,3,0)*VLOOKUP('Données projet'!$B$14,Paramètres!$A$1:$I$89,5,0)</f>
        <v>106.57919999999999</v>
      </c>
      <c r="DQ29" s="14">
        <f t="shared" si="43"/>
        <v>28.523541515222938</v>
      </c>
      <c r="DR29" s="22">
        <f t="shared" si="16"/>
        <v>235.30394147234657</v>
      </c>
      <c r="DS29" s="62">
        <f t="shared" si="17"/>
        <v>523.74838591679099</v>
      </c>
      <c r="DT29" s="62">
        <f ca="1">AVERAGE(OFFSET($DS$3,0,0,'Données projet'!$E$14+1,1))-AVERAGE(OFFSET($H$3,0,0,'Données projet'!$E$14+1,1))</f>
        <v>341.65872153228599</v>
      </c>
      <c r="DU29" s="62">
        <f t="shared" si="44"/>
        <v>339.49697153894937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8.0769230769230802</v>
      </c>
      <c r="EJ29" s="13">
        <f>IF('Données projet'!$A$192&gt;35,EJ28+EI29-ER28,IF(A29&lt;'Données projet'!$A$192,$EG$205^A29,IF(A29='Données projet'!$A$192,'Données projet'!$B$192,EJ28+EI29-ER28)))</f>
        <v>117.05128205128209</v>
      </c>
      <c r="EK29" s="18">
        <f>EJ29*VLOOKUP('Données projet'!$B$15,Paramètres!$A$1:$I$89,3,0)*VLOOKUP('Données projet'!$B$15,Paramètres!$A$1:$I$89,5,0)</f>
        <v>78.518000000000029</v>
      </c>
      <c r="EL29" s="14">
        <f t="shared" si="45"/>
        <v>21.774434027551713</v>
      </c>
      <c r="EM29" s="22">
        <f t="shared" si="19"/>
        <v>174.6759892646526</v>
      </c>
      <c r="EN29" s="62">
        <f t="shared" si="20"/>
        <v>463.12043370909703</v>
      </c>
      <c r="EO29" s="62">
        <f ca="1">AVERAGE(OFFSET($EN$3,0,0,'Données projet'!$E$15+1,1))-AVERAGE(OFFSET($H$3,0,0,'Données projet'!$E$15+1,1))</f>
        <v>312.06797204903796</v>
      </c>
      <c r="EP29" s="62">
        <f t="shared" si="46"/>
        <v>258.20189001775151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7</v>
      </c>
      <c r="FE29" s="13">
        <f>IF('Données projet'!$A$218&gt;35,FE28+FD29-FM28,IF(A29&lt;'Données projet'!$A$218,$FB$205^A29,IF(A29='Données projet'!$A$218,'Données projet'!$B$218,FE28+FD29-FM28)))</f>
        <v>77</v>
      </c>
      <c r="FF29" s="18">
        <f>FE29*VLOOKUP('Données projet'!$B$16,Paramètres!$A$1:$I$89,3,0)*VLOOKUP('Données projet'!$B$16,Paramètres!$A$1:$I$89,5,0)</f>
        <v>74.474400000000003</v>
      </c>
      <c r="FG29" s="14">
        <f t="shared" si="47"/>
        <v>20.780570274034375</v>
      </c>
      <c r="FH29" s="22">
        <f t="shared" si="22"/>
        <v>165.90240656060988</v>
      </c>
      <c r="FI29" s="62">
        <f t="shared" si="23"/>
        <v>454.3468510050543</v>
      </c>
      <c r="FJ29" s="62">
        <f ca="1">AVERAGE(OFFSET($FI$3,0,0,'Données projet'!$E$16+1,1))-AVERAGE(OFFSET($H$3,0,0,'Données projet'!$E$16+1,1))</f>
        <v>455.50822833641354</v>
      </c>
      <c r="FK29" s="62">
        <f t="shared" si="48"/>
        <v>261.14722581688039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16.687912087912085</v>
      </c>
      <c r="N30" s="14">
        <f>IF('Données projet'!$A$36&gt;35,N29+M30-V29,IF(A30&lt;'Données projet'!$A$36,$K$205^A30,IF(A30='Données projet'!$A$36,'Données projet'!$B$36,N29+M30-V29)))</f>
        <v>219.01978021978022</v>
      </c>
      <c r="O30" s="14">
        <f>N30*VLOOKUP('Données projet'!$B$9,Paramètres!$A$1:$I$89,3,0)*VLOOKUP('Données projet'!$B$9,Paramètres!$A$1:$I$89,5,0)</f>
        <v>122.43205714285713</v>
      </c>
      <c r="P30" s="14">
        <f t="shared" si="33"/>
        <v>32.241572593058322</v>
      </c>
      <c r="Q30" s="22">
        <f t="shared" si="2"/>
        <v>269.38990512338609</v>
      </c>
      <c r="R30" s="62">
        <f t="shared" si="0"/>
        <v>559.05657179005277</v>
      </c>
      <c r="S30" s="62">
        <f ca="1">AVERAGE(OFFSET($R$3,0,0,'Données projet'!$E$9+1,1))-AVERAGE(OFFSET($H$3,0,0,'Données projet'!$E$9+1,1))</f>
        <v>323.98185264074681</v>
      </c>
      <c r="T30" s="62">
        <f t="shared" si="34"/>
        <v>301.22207291854005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4.2082866216656978</v>
      </c>
      <c r="AB30" s="23">
        <f>EXP(-LN(2)/2)*AB29+(1-EXP(-LN(2)/2))/(LN(2)/2)*V30*Y30*VLOOKUP('Données projet'!$B$9,Paramètres!$A$1:$I$89,3,0)*0.475*44/12</f>
        <v>1.935754914435049</v>
      </c>
      <c r="AC30" s="24">
        <f t="shared" si="3"/>
        <v>6.1440415361007465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5.2912820512820513</v>
      </c>
      <c r="AI30" s="14">
        <f>IF('Données projet'!$A$62&gt;35,AI29+AH30-AQ29,IF(A30&lt;'Données projet'!$A$62,$AF$205^A30,IF(A30='Données projet'!$A$62,'Données projet'!$B$62,AI29+AH30-AQ29)))</f>
        <v>95.634358757574688</v>
      </c>
      <c r="AJ30" s="14">
        <f>AI30*VLOOKUP('Données projet'!$B$10,Paramètres!$A$1:$I$89,3,0)*VLOOKUP('Données projet'!$B$10,Paramètres!$A$1:$I$89,5,0)</f>
        <v>44.756879898544952</v>
      </c>
      <c r="AK30" s="14">
        <f t="shared" si="35"/>
        <v>13.251095595149819</v>
      </c>
      <c r="AL30" s="22">
        <f t="shared" si="4"/>
        <v>101.03055731818506</v>
      </c>
      <c r="AM30" s="62">
        <f t="shared" si="5"/>
        <v>390.69722398485175</v>
      </c>
      <c r="AN30" s="62">
        <f ca="1">AVERAGE(OFFSET($AM$3,0,0,'Données projet'!$E$10+1,1))-AVERAGE(OFFSET($H$3,0,0,'Données projet'!$E$10+1,1))</f>
        <v>276.78862011733338</v>
      </c>
      <c r="AO30" s="62">
        <f t="shared" si="36"/>
        <v>202.1678469635836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76.003200000000007</v>
      </c>
      <c r="BF30" s="14">
        <f t="shared" si="37"/>
        <v>21.157049992000456</v>
      </c>
      <c r="BG30" s="22">
        <f t="shared" si="7"/>
        <v>169.22076873606747</v>
      </c>
      <c r="BH30" s="62">
        <f t="shared" si="8"/>
        <v>458.88743540273413</v>
      </c>
      <c r="BI30" s="62">
        <f ca="1">AVERAGE(OFFSET($BH$3,0,0,'Données projet'!$E$11+1,1))-AVERAGE(OFFSET($H$3,0,0,'Données projet'!$E$11+1,1))</f>
        <v>428.8489304403459</v>
      </c>
      <c r="BJ30" s="62">
        <f t="shared" si="38"/>
        <v>247.01165577562966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>
        <f>VLOOKUP(A30,'Données projet'!$A$113:$I$133,2,0)</f>
        <v>140.71538461538461</v>
      </c>
      <c r="BW30" s="13">
        <f>VLOOKUP(A30,'Données projet'!$A$113:$I$133,9,0)</f>
        <v>13.664102564102569</v>
      </c>
      <c r="BX30" s="13">
        <f t="array" ref="BX30">INDEX(BW:BW,MIN(IF(ISNUMBER(BW30:BW226),ROW(BW30:BW226),"")))</f>
        <v>13.664102564102569</v>
      </c>
      <c r="BY30" s="13">
        <f>IF('Données projet'!$A$114&gt;35,BY29+BX30-CG29,IF(A30&lt;'Données projet'!$A$114,$BV$205^A30,IF(A30='Données projet'!$A$114,'Données projet'!$B$114,BY29+BX30-CG29)))</f>
        <v>140.71538461538461</v>
      </c>
      <c r="BZ30" s="14">
        <f>BY30*VLOOKUP('Données projet'!$B$12,Paramètres!$A$1:$I$89,3,0)*VLOOKUP('Données projet'!$B$12,Paramètres!$A$1:$I$89,5,0)</f>
        <v>84.147799999999989</v>
      </c>
      <c r="CA30" s="14">
        <f t="shared" si="39"/>
        <v>23.148340019013887</v>
      </c>
      <c r="CB30" s="22">
        <f t="shared" si="10"/>
        <v>186.87411053311584</v>
      </c>
      <c r="CC30" s="62">
        <f t="shared" si="11"/>
        <v>476.5407771997825</v>
      </c>
      <c r="CD30" s="62">
        <f ca="1">AVERAGE(OFFSET($CC$3,0,0,'Données projet'!$E$12+1,1))-AVERAGE(OFFSET($H$3,0,0,'Données projet'!$E$12+1,1))</f>
        <v>289.12367833861299</v>
      </c>
      <c r="CE30" s="62">
        <f t="shared" si="40"/>
        <v>229.06617320689003</v>
      </c>
      <c r="CF30" s="16">
        <f>IF(ISNA(VLOOKUP(A30,'Données projet'!$A$113:$I$133,3,0)),0,VLOOKUP(A30,'Données projet'!$A$113:$I$133,3,0))</f>
        <v>2</v>
      </c>
      <c r="CG30" s="16">
        <f>IF(ISNA(VLOOKUP(A30,'Données projet'!$A$113:$I$133,4,0)),0,VLOOKUP(A30,'Données projet'!$A$113:$I$133,4,0))</f>
        <v>34.646153846153844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0.5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11.729020816536163</v>
      </c>
      <c r="CN30" s="24">
        <f t="shared" si="12"/>
        <v>11.729020816536163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14.260000000000002</v>
      </c>
      <c r="CT30" s="13">
        <f>IF('Données projet'!$A$140&gt;35,CT29+CS30-DB29,IF(A30&lt;'Données projet'!$A$140,$CQ$205^A30,IF(A30='Données projet'!$A$140,'Données projet'!$B$140,CT29+CS30-DB29)))</f>
        <v>169.01999999999998</v>
      </c>
      <c r="CU30" s="18">
        <f>CT30*VLOOKUP('Données projet'!$B$13,Paramètres!$A$1:$I$89,3,0)*VLOOKUP('Données projet'!$B$13,Paramètres!$A$1:$I$89,5,0)</f>
        <v>134.47231199999999</v>
      </c>
      <c r="CV30" s="14">
        <f t="shared" si="41"/>
        <v>35.027736208949172</v>
      </c>
      <c r="CW30" s="22">
        <f t="shared" si="13"/>
        <v>295.21258396391971</v>
      </c>
      <c r="CX30" s="62">
        <f t="shared" si="14"/>
        <v>584.8792506305864</v>
      </c>
      <c r="CY30" s="62">
        <f ca="1">AVERAGE(OFFSET($CX$3,0,0,'Données projet'!$E$13+1,1))-AVERAGE(OFFSET($H$3,0,0,'Données projet'!$E$13+1,1))</f>
        <v>370.59298168107364</v>
      </c>
      <c r="CZ30" s="62">
        <f t="shared" si="42"/>
        <v>404.61777090709171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</v>
      </c>
      <c r="DO30" s="13">
        <f>IF('Données projet'!$A$166&gt;35,DO29+DN30-DW29,IF(A30&lt;'Données projet'!$A$166,$DL$205^A30,IF(A30='Données projet'!$A$166,'Données projet'!$B$166,DO29+DN30-DW29)))</f>
        <v>131</v>
      </c>
      <c r="DP30" s="18">
        <f>DO30*VLOOKUP('Données projet'!$B$14,Paramètres!$A$1:$I$89,3,0)*VLOOKUP('Données projet'!$B$14,Paramètres!$A$1:$I$89,5,0)</f>
        <v>114.44160000000002</v>
      </c>
      <c r="DQ30" s="14">
        <f t="shared" si="43"/>
        <v>30.375037129843719</v>
      </c>
      <c r="DR30" s="22">
        <f t="shared" si="16"/>
        <v>252.22230966781115</v>
      </c>
      <c r="DS30" s="62">
        <f t="shared" si="17"/>
        <v>541.88897633447777</v>
      </c>
      <c r="DT30" s="62">
        <f ca="1">AVERAGE(OFFSET($DS$3,0,0,'Données projet'!$E$14+1,1))-AVERAGE(OFFSET($H$3,0,0,'Données projet'!$E$14+1,1))</f>
        <v>341.65872153228599</v>
      </c>
      <c r="DU30" s="62">
        <f t="shared" si="44"/>
        <v>339.49697153894937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8.0769230769230802</v>
      </c>
      <c r="EJ30" s="13">
        <f>IF('Données projet'!$A$192&gt;35,EJ29+EI30-ER29,IF(A30&lt;'Données projet'!$A$192,$EG$205^A30,IF(A30='Données projet'!$A$192,'Données projet'!$B$192,EJ29+EI30-ER29)))</f>
        <v>125.12820512820517</v>
      </c>
      <c r="EK30" s="18">
        <f>EJ30*VLOOKUP('Données projet'!$B$15,Paramètres!$A$1:$I$89,3,0)*VLOOKUP('Données projet'!$B$15,Paramètres!$A$1:$I$89,5,0)</f>
        <v>83.936000000000021</v>
      </c>
      <c r="EL30" s="14">
        <f t="shared" si="45"/>
        <v>23.096850074431298</v>
      </c>
      <c r="EM30" s="22">
        <f t="shared" si="19"/>
        <v>186.41554721296791</v>
      </c>
      <c r="EN30" s="62">
        <f t="shared" si="20"/>
        <v>476.08221387963459</v>
      </c>
      <c r="EO30" s="62">
        <f ca="1">AVERAGE(OFFSET($EN$3,0,0,'Données projet'!$E$15+1,1))-AVERAGE(OFFSET($H$3,0,0,'Données projet'!$E$15+1,1))</f>
        <v>312.06797204903796</v>
      </c>
      <c r="EP30" s="62">
        <f t="shared" si="46"/>
        <v>258.20189001775151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7</v>
      </c>
      <c r="FE30" s="13">
        <f>IF('Données projet'!$A$218&gt;35,FE29+FD30-FM29,IF(A30&lt;'Données projet'!$A$218,$FB$205^A30,IF(A30='Données projet'!$A$218,'Données projet'!$B$218,FE29+FD30-FM29)))</f>
        <v>84</v>
      </c>
      <c r="FF30" s="18">
        <f>FE30*VLOOKUP('Données projet'!$B$16,Paramètres!$A$1:$I$89,3,0)*VLOOKUP('Données projet'!$B$16,Paramètres!$A$1:$I$89,5,0)</f>
        <v>81.244799999999998</v>
      </c>
      <c r="FG30" s="14">
        <f t="shared" si="47"/>
        <v>22.441270156928962</v>
      </c>
      <c r="FH30" s="22">
        <f t="shared" si="22"/>
        <v>180.58657218998462</v>
      </c>
      <c r="FI30" s="62">
        <f t="shared" si="23"/>
        <v>470.25323885665131</v>
      </c>
      <c r="FJ30" s="62">
        <f ca="1">AVERAGE(OFFSET($FI$3,0,0,'Données projet'!$E$16+1,1))-AVERAGE(OFFSET($H$3,0,0,'Données projet'!$E$16+1,1))</f>
        <v>455.50822833641354</v>
      </c>
      <c r="FK30" s="62">
        <f t="shared" si="48"/>
        <v>261.14722581688039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>
        <f>VLOOKUP(A31,'Données projet'!$A$35:$I$55,2,0)</f>
        <v>235.7076923076923</v>
      </c>
      <c r="L31" s="13">
        <f>VLOOKUP(A31,'Données projet'!$A$35:$I$55,9,0)</f>
        <v>16.687912087912085</v>
      </c>
      <c r="M31" s="13">
        <f t="array" ref="M31">INDEX(L:L,MIN(IF(ISNUMBER(L31:L227),ROW(L31:L227),"")))</f>
        <v>16.687912087912085</v>
      </c>
      <c r="N31" s="14">
        <f>IF('Données projet'!$A$36&gt;35,N30+M31-V30,IF(A31&lt;'Données projet'!$A$36,$K$205^A31,IF(A31='Données projet'!$A$36,'Données projet'!$B$36,N30+M31-V30)))</f>
        <v>235.7076923076923</v>
      </c>
      <c r="O31" s="14">
        <f>N31*VLOOKUP('Données projet'!$B$9,Paramètres!$A$1:$I$89,3,0)*VLOOKUP('Données projet'!$B$9,Paramètres!$A$1:$I$89,5,0)</f>
        <v>131.76059999999998</v>
      </c>
      <c r="P31" s="14">
        <f t="shared" si="33"/>
        <v>34.402863243711892</v>
      </c>
      <c r="Q31" s="22">
        <f t="shared" si="2"/>
        <v>289.40136514946488</v>
      </c>
      <c r="R31" s="62">
        <f t="shared" si="0"/>
        <v>580.29025403835374</v>
      </c>
      <c r="S31" s="62">
        <f ca="1">AVERAGE(OFFSET($R$3,0,0,'Données projet'!$E$9+1,1))-AVERAGE(OFFSET($H$3,0,0,'Données projet'!$E$9+1,1))</f>
        <v>323.98185264074681</v>
      </c>
      <c r="T31" s="62">
        <f t="shared" si="34"/>
        <v>301.22207291854005</v>
      </c>
      <c r="U31" s="16">
        <f>IF(ISNA(VLOOKUP(A31,'Données projet'!$A$35:$I$55,3,0)),0,VLOOKUP(A31,'Données projet'!$A$35:$I$55,3,0))</f>
        <v>2</v>
      </c>
      <c r="V31" s="16">
        <f>IF(ISNA(VLOOKUP(A31,'Données projet'!$A$35:$I$55,4,0)),0,VLOOKUP(A31,'Données projet'!$A$35:$I$55,4,0))</f>
        <v>56.91538461538461</v>
      </c>
      <c r="W31" s="17">
        <f>IF(ISNA(VLOOKUP(A31,'Données projet'!$A$35:$I$55,5,0)),0%,VLOOKUP(A31,'Données projet'!$A$35:$I$55,5,0)*VLOOKUP('Données projet'!$B$9,Paramètres!$A$1:$I$89,7,0))</f>
        <v>0.11000000000000001</v>
      </c>
      <c r="X31" s="17">
        <f>IF(ISNA(VLOOKUP(A31,'Données projet'!$A$35:$I$55,6,0)),0%,VLOOKUP(A31,'Données projet'!$A$35:$I$55,6,0)*VLOOKUP('Données projet'!$B$9,Paramètres!$A$1:$I$89,7,0))</f>
        <v>0.11000000000000001</v>
      </c>
      <c r="Y31" s="17">
        <f>IF(ISNA(VLOOKUP(A31,'Données projet'!$A$35:$I$55,7,0)),0%,VLOOKUP(A31,'Données projet'!$A$35:$I$55,7,0))</f>
        <v>0.3</v>
      </c>
      <c r="Z31" s="23">
        <f>EXP(-LN(2)/35)*Z30+(1-EXP(-LN(2)/35))/(LN(2)/35)*V31*W31*VLOOKUP('Données projet'!$B$9,Paramètres!$A$1:$I$89,3,0)*0.475*44/12</f>
        <v>4.6426134419420562</v>
      </c>
      <c r="AA31" s="23">
        <f>EXP(-LN(2)/25)*AA30+(1-EXP(-LN(2)/25))/(LN(2)/25)*Calculateur!V31*Calculateur!X31*VLOOKUP('Données projet'!$B$9,Paramètres!$A$1:$I$89,3,0)*0.475*44/12</f>
        <v>8.7175445065387969</v>
      </c>
      <c r="AB31" s="23">
        <f>EXP(-LN(2)/2)*AB30+(1-EXP(-LN(2)/2))/(LN(2)/2)*V31*Y31*VLOOKUP('Données projet'!$B$9,Paramètres!$A$1:$I$89,3,0)*0.475*44/12</f>
        <v>12.175614359236038</v>
      </c>
      <c r="AC31" s="24">
        <f t="shared" si="3"/>
        <v>25.53577230771689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5.2912820512820513</v>
      </c>
      <c r="AI31" s="14">
        <f>IF('Données projet'!$A$62&gt;35,AI30+AH31-AQ30,IF(A31&lt;'Données projet'!$A$62,$AF$205^A31,IF(A31='Données projet'!$A$62,'Données projet'!$B$62,AI30+AH31-AQ30)))</f>
        <v>113.23222009849215</v>
      </c>
      <c r="AJ31" s="14">
        <f>AI31*VLOOKUP('Données projet'!$B$10,Paramètres!$A$1:$I$89,3,0)*VLOOKUP('Données projet'!$B$10,Paramètres!$A$1:$I$89,5,0)</f>
        <v>52.992679006094328</v>
      </c>
      <c r="AK31" s="14">
        <f t="shared" si="35"/>
        <v>15.383997918504607</v>
      </c>
      <c r="AL31" s="22">
        <f t="shared" si="4"/>
        <v>119.08937897700982</v>
      </c>
      <c r="AM31" s="62">
        <f t="shared" si="5"/>
        <v>409.97826786589866</v>
      </c>
      <c r="AN31" s="62">
        <f ca="1">AVERAGE(OFFSET($AM$3,0,0,'Données projet'!$E$10+1,1))-AVERAGE(OFFSET($H$3,0,0,'Données projet'!$E$10+1,1))</f>
        <v>276.78862011733338</v>
      </c>
      <c r="AO31" s="62">
        <f t="shared" si="36"/>
        <v>202.1678469635836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82.336799999999997</v>
      </c>
      <c r="BF31" s="14">
        <f t="shared" si="37"/>
        <v>22.707582950885364</v>
      </c>
      <c r="BG31" s="22">
        <f t="shared" si="7"/>
        <v>182.95230030612535</v>
      </c>
      <c r="BH31" s="62">
        <f t="shared" si="8"/>
        <v>473.84118919501418</v>
      </c>
      <c r="BI31" s="62">
        <f ca="1">AVERAGE(OFFSET($BH$3,0,0,'Données projet'!$E$11+1,1))-AVERAGE(OFFSET($H$3,0,0,'Données projet'!$E$11+1,1))</f>
        <v>428.8489304403459</v>
      </c>
      <c r="BJ31" s="62">
        <f t="shared" si="38"/>
        <v>247.01165577562966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12.971794871794875</v>
      </c>
      <c r="BY31" s="13">
        <f>IF('Données projet'!$A$114&gt;35,BY30+BX31-CG30,IF(A31&lt;'Données projet'!$A$114,$BV$205^A31,IF(A31='Données projet'!$A$114,'Données projet'!$B$114,BY30+BX31-CG30)))</f>
        <v>119.04102564102564</v>
      </c>
      <c r="BZ31" s="14">
        <f>BY31*VLOOKUP('Données projet'!$B$12,Paramètres!$A$1:$I$89,3,0)*VLOOKUP('Données projet'!$B$12,Paramètres!$A$1:$I$89,5,0)</f>
        <v>71.18653333333333</v>
      </c>
      <c r="CA31" s="14">
        <f t="shared" si="39"/>
        <v>19.967826748678</v>
      </c>
      <c r="CB31" s="22">
        <f t="shared" si="10"/>
        <v>158.76051047616974</v>
      </c>
      <c r="CC31" s="62">
        <f t="shared" si="11"/>
        <v>449.64939936505857</v>
      </c>
      <c r="CD31" s="62">
        <f ca="1">AVERAGE(OFFSET($CC$3,0,0,'Données projet'!$E$12+1,1))-AVERAGE(OFFSET($H$3,0,0,'Données projet'!$E$12+1,1))</f>
        <v>289.12367833861299</v>
      </c>
      <c r="CE31" s="62">
        <f t="shared" si="40"/>
        <v>229.06617320689003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8.293670156050899</v>
      </c>
      <c r="CN31" s="24">
        <f t="shared" si="12"/>
        <v>8.293670156050899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14.260000000000002</v>
      </c>
      <c r="CT31" s="13">
        <f>IF('Données projet'!$A$140&gt;35,CT30+CS31-DB30,IF(A31&lt;'Données projet'!$A$140,$CQ$205^A31,IF(A31='Données projet'!$A$140,'Données projet'!$B$140,CT30+CS31-DB30)))</f>
        <v>183.27999999999997</v>
      </c>
      <c r="CU31" s="18">
        <f>CT31*VLOOKUP('Données projet'!$B$13,Paramètres!$A$1:$I$89,3,0)*VLOOKUP('Données projet'!$B$13,Paramètres!$A$1:$I$89,5,0)</f>
        <v>145.81756799999999</v>
      </c>
      <c r="CV31" s="14">
        <f t="shared" si="41"/>
        <v>37.626554284689291</v>
      </c>
      <c r="CW31" s="22">
        <f t="shared" si="13"/>
        <v>319.49851297916712</v>
      </c>
      <c r="CX31" s="62">
        <f t="shared" si="14"/>
        <v>610.38740186805603</v>
      </c>
      <c r="CY31" s="62">
        <f ca="1">AVERAGE(OFFSET($CX$3,0,0,'Données projet'!$E$13+1,1))-AVERAGE(OFFSET($H$3,0,0,'Données projet'!$E$13+1,1))</f>
        <v>370.59298168107364</v>
      </c>
      <c r="CZ31" s="62">
        <f t="shared" si="42"/>
        <v>404.61777090709171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</v>
      </c>
      <c r="DO31" s="13">
        <f>IF('Données projet'!$A$166&gt;35,DO30+DN31-DW30,IF(A31&lt;'Données projet'!$A$166,$DL$205^A31,IF(A31='Données projet'!$A$166,'Données projet'!$B$166,DO30+DN31-DW30)))</f>
        <v>140</v>
      </c>
      <c r="DP31" s="18">
        <f>DO31*VLOOKUP('Données projet'!$B$14,Paramètres!$A$1:$I$89,3,0)*VLOOKUP('Données projet'!$B$14,Paramètres!$A$1:$I$89,5,0)</f>
        <v>122.30400000000002</v>
      </c>
      <c r="DQ31" s="14">
        <f t="shared" si="43"/>
        <v>32.211773226559373</v>
      </c>
      <c r="DR31" s="22">
        <f t="shared" si="16"/>
        <v>269.11497170292427</v>
      </c>
      <c r="DS31" s="62">
        <f t="shared" si="17"/>
        <v>560.00386059181312</v>
      </c>
      <c r="DT31" s="62">
        <f ca="1">AVERAGE(OFFSET($DS$3,0,0,'Données projet'!$E$14+1,1))-AVERAGE(OFFSET($H$3,0,0,'Données projet'!$E$14+1,1))</f>
        <v>341.65872153228599</v>
      </c>
      <c r="DU31" s="62">
        <f t="shared" si="44"/>
        <v>339.49697153894937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8.0769230769230802</v>
      </c>
      <c r="EJ31" s="13">
        <f>IF('Données projet'!$A$192&gt;35,EJ30+EI31-ER30,IF(A31&lt;'Données projet'!$A$192,$EG$205^A31,IF(A31='Données projet'!$A$192,'Données projet'!$B$192,EJ30+EI31-ER30)))</f>
        <v>133.20512820512823</v>
      </c>
      <c r="EK31" s="18">
        <f>EJ31*VLOOKUP('Données projet'!$B$15,Paramètres!$A$1:$I$89,3,0)*VLOOKUP('Données projet'!$B$15,Paramètres!$A$1:$I$89,5,0)</f>
        <v>89.354000000000013</v>
      </c>
      <c r="EL31" s="14">
        <f t="shared" si="45"/>
        <v>24.40936009026365</v>
      </c>
      <c r="EM31" s="22">
        <f t="shared" si="19"/>
        <v>198.13785215720918</v>
      </c>
      <c r="EN31" s="62">
        <f t="shared" si="20"/>
        <v>489.02674104609804</v>
      </c>
      <c r="EO31" s="62">
        <f ca="1">AVERAGE(OFFSET($EN$3,0,0,'Données projet'!$E$15+1,1))-AVERAGE(OFFSET($H$3,0,0,'Données projet'!$E$15+1,1))</f>
        <v>312.06797204903796</v>
      </c>
      <c r="EP31" s="62">
        <f t="shared" si="46"/>
        <v>258.20189001775151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7</v>
      </c>
      <c r="FE31" s="13">
        <f>IF('Données projet'!$A$218&gt;35,FE30+FD31-FM30,IF(A31&lt;'Données projet'!$A$218,$FB$205^A31,IF(A31='Données projet'!$A$218,'Données projet'!$B$218,FE30+FD31-FM30)))</f>
        <v>91</v>
      </c>
      <c r="FF31" s="18">
        <f>FE31*VLOOKUP('Données projet'!$B$16,Paramètres!$A$1:$I$89,3,0)*VLOOKUP('Données projet'!$B$16,Paramètres!$A$1:$I$89,5,0)</f>
        <v>88.015200000000007</v>
      </c>
      <c r="FG31" s="14">
        <f t="shared" si="47"/>
        <v>24.085919530575829</v>
      </c>
      <c r="FH31" s="22">
        <f t="shared" si="22"/>
        <v>195.24278318241954</v>
      </c>
      <c r="FI31" s="62">
        <f t="shared" si="23"/>
        <v>486.1316720713084</v>
      </c>
      <c r="FJ31" s="62">
        <f ca="1">AVERAGE(OFFSET($FI$3,0,0,'Données projet'!$E$16+1,1))-AVERAGE(OFFSET($H$3,0,0,'Données projet'!$E$16+1,1))</f>
        <v>455.50822833641354</v>
      </c>
      <c r="FK31" s="62">
        <f t="shared" si="48"/>
        <v>261.14722581688039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18.099999999999994</v>
      </c>
      <c r="N32" s="14">
        <f>IF('Données projet'!$A$36&gt;35,N31+M32-V31,IF(A32&lt;'Données projet'!$A$36,$K$205^A32,IF(A32='Données projet'!$A$36,'Données projet'!$B$36,N31+M32-V31)))</f>
        <v>196.89230769230767</v>
      </c>
      <c r="O32" s="14">
        <f>N32*VLOOKUP('Données projet'!$B$9,Paramètres!$A$1:$I$89,3,0)*VLOOKUP('Données projet'!$B$9,Paramètres!$A$1:$I$89,5,0)</f>
        <v>110.0628</v>
      </c>
      <c r="P32" s="14">
        <f t="shared" si="33"/>
        <v>29.345780250854382</v>
      </c>
      <c r="Q32" s="22">
        <f t="shared" si="2"/>
        <v>242.80327727023806</v>
      </c>
      <c r="R32" s="62">
        <f t="shared" si="0"/>
        <v>534.91438838134923</v>
      </c>
      <c r="S32" s="62">
        <f ca="1">AVERAGE(OFFSET($R$3,0,0,'Données projet'!$E$9+1,1))-AVERAGE(OFFSET($H$3,0,0,'Données projet'!$E$9+1,1))</f>
        <v>323.98185264074681</v>
      </c>
      <c r="T32" s="62">
        <f t="shared" si="34"/>
        <v>301.22207291854005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4.5515746240601631</v>
      </c>
      <c r="AA32" s="23">
        <f>EXP(-LN(2)/25)*AA31+(1-EXP(-LN(2)/25))/(LN(2)/25)*Calculateur!V32*Calculateur!X32*VLOOKUP('Données projet'!$B$9,Paramètres!$A$1:$I$89,3,0)*0.475*44/12</f>
        <v>8.4791627935717528</v>
      </c>
      <c r="AB32" s="23">
        <f>EXP(-LN(2)/2)*AB31+(1-EXP(-LN(2)/2))/(LN(2)/2)*V32*Y32*VLOOKUP('Données projet'!$B$9,Paramètres!$A$1:$I$89,3,0)*0.475*44/12</f>
        <v>8.6094594785281036</v>
      </c>
      <c r="AC32" s="24">
        <f t="shared" si="3"/>
        <v>21.64019689616002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5.2912820512820513</v>
      </c>
      <c r="AI32" s="14">
        <f>IF('Données projet'!$A$62&gt;35,AI31+AH32-AQ31,IF(A32&lt;'Données projet'!$A$62,$AF$205^A32,IF(A32='Données projet'!$A$62,'Données projet'!$B$62,AI31+AH32-AQ31)))</f>
        <v>134.06829757634409</v>
      </c>
      <c r="AJ32" s="14">
        <f>AI32*VLOOKUP('Données projet'!$B$10,Paramètres!$A$1:$I$89,3,0)*VLOOKUP('Données projet'!$B$10,Paramètres!$A$1:$I$89,5,0)</f>
        <v>62.743963265729036</v>
      </c>
      <c r="AK32" s="14">
        <f t="shared" si="35"/>
        <v>17.860213161784099</v>
      </c>
      <c r="AL32" s="22">
        <f t="shared" si="4"/>
        <v>140.38560727791869</v>
      </c>
      <c r="AM32" s="62">
        <f t="shared" si="5"/>
        <v>432.49671838902987</v>
      </c>
      <c r="AN32" s="62">
        <f ca="1">AVERAGE(OFFSET($AM$3,0,0,'Données projet'!$E$10+1,1))-AVERAGE(OFFSET($H$3,0,0,'Données projet'!$E$10+1,1))</f>
        <v>276.78862011733338</v>
      </c>
      <c r="AO32" s="62">
        <f t="shared" si="36"/>
        <v>202.1678469635836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88.670400000000001</v>
      </c>
      <c r="BF32" s="14">
        <f t="shared" si="37"/>
        <v>24.244280250395512</v>
      </c>
      <c r="BG32" s="22">
        <f t="shared" si="7"/>
        <v>196.65973476943884</v>
      </c>
      <c r="BH32" s="62">
        <f t="shared" si="8"/>
        <v>488.77084588054998</v>
      </c>
      <c r="BI32" s="62">
        <f ca="1">AVERAGE(OFFSET($BH$3,0,0,'Données projet'!$E$11+1,1))-AVERAGE(OFFSET($H$3,0,0,'Données projet'!$E$11+1,1))</f>
        <v>428.8489304403459</v>
      </c>
      <c r="BJ32" s="62">
        <f t="shared" si="38"/>
        <v>247.01165577562966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12.971794871794875</v>
      </c>
      <c r="BY32" s="13">
        <f>IF('Données projet'!$A$114&gt;35,BY31+BX32-CG31,IF(A32&lt;'Données projet'!$A$114,$BV$205^A32,IF(A32='Données projet'!$A$114,'Données projet'!$B$114,BY31+BX32-CG31)))</f>
        <v>132.01282051282053</v>
      </c>
      <c r="BZ32" s="14">
        <f>BY32*VLOOKUP('Données projet'!$B$12,Paramètres!$A$1:$I$89,3,0)*VLOOKUP('Données projet'!$B$12,Paramètres!$A$1:$I$89,5,0)</f>
        <v>78.943666666666687</v>
      </c>
      <c r="CA32" s="14">
        <f t="shared" si="39"/>
        <v>21.878705672057283</v>
      </c>
      <c r="CB32" s="22">
        <f t="shared" si="10"/>
        <v>175.59896515661092</v>
      </c>
      <c r="CC32" s="62">
        <f t="shared" si="11"/>
        <v>467.71007626772206</v>
      </c>
      <c r="CD32" s="62">
        <f ca="1">AVERAGE(OFFSET($CC$3,0,0,'Données projet'!$E$12+1,1))-AVERAGE(OFFSET($H$3,0,0,'Données projet'!$E$12+1,1))</f>
        <v>289.12367833861299</v>
      </c>
      <c r="CE32" s="62">
        <f t="shared" si="40"/>
        <v>229.06617320689003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5.8645104082680826</v>
      </c>
      <c r="CN32" s="24">
        <f t="shared" si="12"/>
        <v>5.8645104082680826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14.260000000000002</v>
      </c>
      <c r="CT32" s="13">
        <f>IF('Données projet'!$A$140&gt;35,CT31+CS32-DB31,IF(A32&lt;'Données projet'!$A$140,$CQ$205^A32,IF(A32='Données projet'!$A$140,'Données projet'!$B$140,CT31+CS32-DB31)))</f>
        <v>197.53999999999996</v>
      </c>
      <c r="CU32" s="18">
        <f>CT32*VLOOKUP('Données projet'!$B$13,Paramètres!$A$1:$I$89,3,0)*VLOOKUP('Données projet'!$B$13,Paramètres!$A$1:$I$89,5,0)</f>
        <v>157.162824</v>
      </c>
      <c r="CV32" s="14">
        <f t="shared" si="41"/>
        <v>40.201917615639708</v>
      </c>
      <c r="CW32" s="22">
        <f t="shared" si="13"/>
        <v>343.7435916472391</v>
      </c>
      <c r="CX32" s="62">
        <f t="shared" si="14"/>
        <v>635.85470275835019</v>
      </c>
      <c r="CY32" s="62">
        <f ca="1">AVERAGE(OFFSET($CX$3,0,0,'Données projet'!$E$13+1,1))-AVERAGE(OFFSET($H$3,0,0,'Données projet'!$E$13+1,1))</f>
        <v>370.59298168107364</v>
      </c>
      <c r="CZ32" s="62">
        <f t="shared" si="42"/>
        <v>404.61777090709171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</v>
      </c>
      <c r="DO32" s="13">
        <f>IF('Données projet'!$A$166&gt;35,DO31+DN32-DW31,IF(A32&lt;'Données projet'!$A$166,$DL$205^A32,IF(A32='Données projet'!$A$166,'Données projet'!$B$166,DO31+DN32-DW31)))</f>
        <v>149</v>
      </c>
      <c r="DP32" s="18">
        <f>DO32*VLOOKUP('Données projet'!$B$14,Paramètres!$A$1:$I$89,3,0)*VLOOKUP('Données projet'!$B$14,Paramètres!$A$1:$I$89,5,0)</f>
        <v>130.16640000000001</v>
      </c>
      <c r="DQ32" s="14">
        <f t="shared" si="43"/>
        <v>34.034806623706274</v>
      </c>
      <c r="DR32" s="22">
        <f t="shared" si="16"/>
        <v>285.9837682029551</v>
      </c>
      <c r="DS32" s="62">
        <f t="shared" si="17"/>
        <v>578.09487931406625</v>
      </c>
      <c r="DT32" s="62">
        <f ca="1">AVERAGE(OFFSET($DS$3,0,0,'Données projet'!$E$14+1,1))-AVERAGE(OFFSET($H$3,0,0,'Données projet'!$E$14+1,1))</f>
        <v>341.65872153228599</v>
      </c>
      <c r="DU32" s="62">
        <f t="shared" si="44"/>
        <v>339.49697153894937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8.0769230769230802</v>
      </c>
      <c r="EJ32" s="13">
        <f>IF('Données projet'!$A$192&gt;35,EJ31+EI32-ER31,IF(A32&lt;'Données projet'!$A$192,$EG$205^A32,IF(A32='Données projet'!$A$192,'Données projet'!$B$192,EJ31+EI32-ER31)))</f>
        <v>141.28205128205133</v>
      </c>
      <c r="EK32" s="18">
        <f>EJ32*VLOOKUP('Données projet'!$B$15,Paramètres!$A$1:$I$89,3,0)*VLOOKUP('Données projet'!$B$15,Paramètres!$A$1:$I$89,5,0)</f>
        <v>94.772000000000034</v>
      </c>
      <c r="EL32" s="14">
        <f t="shared" si="45"/>
        <v>25.712633129183839</v>
      </c>
      <c r="EM32" s="22">
        <f t="shared" si="19"/>
        <v>209.8440693666619</v>
      </c>
      <c r="EN32" s="62">
        <f t="shared" si="20"/>
        <v>501.95518047777307</v>
      </c>
      <c r="EO32" s="62">
        <f ca="1">AVERAGE(OFFSET($EN$3,0,0,'Données projet'!$E$15+1,1))-AVERAGE(OFFSET($H$3,0,0,'Données projet'!$E$15+1,1))</f>
        <v>312.06797204903796</v>
      </c>
      <c r="EP32" s="62">
        <f t="shared" si="46"/>
        <v>258.20189001775151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7</v>
      </c>
      <c r="FE32" s="13">
        <f>IF('Données projet'!$A$218&gt;35,FE31+FD32-FM31,IF(A32&lt;'Données projet'!$A$218,$FB$205^A32,IF(A32='Données projet'!$A$218,'Données projet'!$B$218,FE31+FD32-FM31)))</f>
        <v>98</v>
      </c>
      <c r="FF32" s="18">
        <f>FE32*VLOOKUP('Données projet'!$B$16,Paramètres!$A$1:$I$89,3,0)*VLOOKUP('Données projet'!$B$16,Paramètres!$A$1:$I$89,5,0)</f>
        <v>94.785600000000002</v>
      </c>
      <c r="FG32" s="14">
        <f t="shared" si="47"/>
        <v>25.715893428674526</v>
      </c>
      <c r="FH32" s="22">
        <f t="shared" si="22"/>
        <v>209.87343438827483</v>
      </c>
      <c r="FI32" s="62">
        <f t="shared" si="23"/>
        <v>501.98454549938594</v>
      </c>
      <c r="FJ32" s="62">
        <f ca="1">AVERAGE(OFFSET($FI$3,0,0,'Données projet'!$E$16+1,1))-AVERAGE(OFFSET($H$3,0,0,'Données projet'!$E$16+1,1))</f>
        <v>455.50822833641354</v>
      </c>
      <c r="FK32" s="62">
        <f t="shared" si="48"/>
        <v>261.14722581688039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214.99230769230769</v>
      </c>
      <c r="L33" s="13">
        <f>VLOOKUP(A33,'Données projet'!$A$35:$I$55,9,0)</f>
        <v>18.099999999999994</v>
      </c>
      <c r="M33" s="13">
        <f t="array" ref="M33">INDEX(L:L,MIN(IF(ISNUMBER(L33:L229),ROW(L33:L229),"")))</f>
        <v>18.099999999999994</v>
      </c>
      <c r="N33" s="14">
        <f>IF('Données projet'!$A$36&gt;35,N32+M33-V32,IF(A33&lt;'Données projet'!$A$36,$K$205^A33,IF(A33='Données projet'!$A$36,'Données projet'!$B$36,N32+M33-V32)))</f>
        <v>214.99230769230766</v>
      </c>
      <c r="O33" s="14">
        <f>N33*VLOOKUP('Données projet'!$B$9,Paramètres!$A$1:$I$89,3,0)*VLOOKUP('Données projet'!$B$9,Paramètres!$A$1:$I$89,5,0)</f>
        <v>120.18069999999997</v>
      </c>
      <c r="P33" s="14">
        <f t="shared" si="33"/>
        <v>31.717140910166616</v>
      </c>
      <c r="Q33" s="22">
        <f t="shared" si="2"/>
        <v>264.55540625187342</v>
      </c>
      <c r="R33" s="62">
        <f t="shared" si="0"/>
        <v>557.88873958520674</v>
      </c>
      <c r="S33" s="62">
        <f ca="1">AVERAGE(OFFSET($R$3,0,0,'Données projet'!$E$9+1,1))-AVERAGE(OFFSET($H$3,0,0,'Données projet'!$E$9+1,1))</f>
        <v>323.98185264074681</v>
      </c>
      <c r="T33" s="62">
        <f t="shared" si="34"/>
        <v>301.22207291854005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4.4623210218687381</v>
      </c>
      <c r="AA33" s="23">
        <f>EXP(-LN(2)/25)*AA32+(1-EXP(-LN(2)/25))/(LN(2)/25)*Calculateur!V33*Calculateur!X33*VLOOKUP('Données projet'!$B$9,Paramètres!$A$1:$I$89,3,0)*0.475*44/12</f>
        <v>8.2472996410817405</v>
      </c>
      <c r="AB33" s="23">
        <f>EXP(-LN(2)/2)*AB32+(1-EXP(-LN(2)/2))/(LN(2)/2)*V33*Y33*VLOOKUP('Données projet'!$B$9,Paramètres!$A$1:$I$89,3,0)*0.475*44/12</f>
        <v>6.0878071796180198</v>
      </c>
      <c r="AC33" s="24">
        <f t="shared" si="3"/>
        <v>18.797427842568496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158.73846153846154</v>
      </c>
      <c r="AG33" s="13">
        <f>VLOOKUP(A33,'Données projet'!$A$61:$I$81,9,0)</f>
        <v>5.2912820512820513</v>
      </c>
      <c r="AH33" s="13">
        <f t="array" ref="AH33">INDEX(AG:AG,MIN(IF(ISNUMBER(AG33:AG229),ROW(AG33:AG229),"")))</f>
        <v>5.2912820512820513</v>
      </c>
      <c r="AI33" s="14">
        <f>IF('Données projet'!$A$62&gt;35,AI32+AH33-AQ32,IF(A33&lt;'Données projet'!$A$62,$AF$205^A33,IF(A33='Données projet'!$A$62,'Données projet'!$B$62,AI32+AH33-AQ32)))</f>
        <v>158.73846153846154</v>
      </c>
      <c r="AJ33" s="14">
        <f>AI33*VLOOKUP('Données projet'!$B$10,Paramètres!$A$1:$I$89,3,0)*VLOOKUP('Données projet'!$B$10,Paramètres!$A$1:$I$89,5,0)</f>
        <v>74.289599999999993</v>
      </c>
      <c r="AK33" s="14">
        <f t="shared" si="35"/>
        <v>20.735001127416453</v>
      </c>
      <c r="AL33" s="22">
        <f t="shared" si="4"/>
        <v>165.50118029691697</v>
      </c>
      <c r="AM33" s="62">
        <f t="shared" si="5"/>
        <v>458.83451363025029</v>
      </c>
      <c r="AN33" s="62">
        <f ca="1">AVERAGE(OFFSET($AM$3,0,0,'Données projet'!$E$10+1,1))-AVERAGE(OFFSET($H$3,0,0,'Données projet'!$E$10+1,1))</f>
        <v>276.78862011733338</v>
      </c>
      <c r="AO33" s="62">
        <f t="shared" si="36"/>
        <v>202.1678469635836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95.004000000000005</v>
      </c>
      <c r="BF33" s="14">
        <f t="shared" si="37"/>
        <v>25.768242550600785</v>
      </c>
      <c r="BG33" s="22">
        <f t="shared" si="7"/>
        <v>210.34498910896306</v>
      </c>
      <c r="BH33" s="62">
        <f t="shared" si="8"/>
        <v>503.67832244229635</v>
      </c>
      <c r="BI33" s="62">
        <f ca="1">AVERAGE(OFFSET($BH$3,0,0,'Données projet'!$E$11+1,1))-AVERAGE(OFFSET($H$3,0,0,'Données projet'!$E$11+1,1))</f>
        <v>428.8489304403459</v>
      </c>
      <c r="BJ33" s="62">
        <f t="shared" si="38"/>
        <v>247.01165577562966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144.98461538461538</v>
      </c>
      <c r="BW33" s="13">
        <f>VLOOKUP(A33,'Données projet'!$A$113:$I$133,9,0)</f>
        <v>12.971794871794875</v>
      </c>
      <c r="BX33" s="13">
        <f t="array" ref="BX33">INDEX(BW:BW,MIN(IF(ISNUMBER(BW33:BW229),ROW(BW33:BW229),"")))</f>
        <v>12.971794871794875</v>
      </c>
      <c r="BY33" s="13">
        <f>IF('Données projet'!$A$114&gt;35,BY32+BX33-CG32,IF(A33&lt;'Données projet'!$A$114,$BV$205^A33,IF(A33='Données projet'!$A$114,'Données projet'!$B$114,BY32+BX33-CG32)))</f>
        <v>144.98461538461541</v>
      </c>
      <c r="BZ33" s="14">
        <f>BY33*VLOOKUP('Données projet'!$B$12,Paramètres!$A$1:$I$89,3,0)*VLOOKUP('Données projet'!$B$12,Paramètres!$A$1:$I$89,5,0)</f>
        <v>86.700800000000029</v>
      </c>
      <c r="CA33" s="14">
        <f t="shared" si="39"/>
        <v>23.767816195343574</v>
      </c>
      <c r="CB33" s="22">
        <f t="shared" si="10"/>
        <v>192.39950654022343</v>
      </c>
      <c r="CC33" s="62">
        <f t="shared" si="11"/>
        <v>485.73283987355671</v>
      </c>
      <c r="CD33" s="62">
        <f ca="1">AVERAGE(OFFSET($CC$3,0,0,'Données projet'!$E$12+1,1))-AVERAGE(OFFSET($H$3,0,0,'Données projet'!$E$12+1,1))</f>
        <v>289.12367833861299</v>
      </c>
      <c r="CE33" s="62">
        <f t="shared" si="40"/>
        <v>229.06617320689003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4.1468350780254495</v>
      </c>
      <c r="CN33" s="24">
        <f t="shared" si="12"/>
        <v>4.1468350780254495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211.8</v>
      </c>
      <c r="CR33" s="13">
        <f>VLOOKUP(A33,'Données projet'!$A$139:$I$159,9,0)</f>
        <v>14.260000000000002</v>
      </c>
      <c r="CS33" s="13">
        <f t="array" ref="CS33">INDEX(CR:CR,MIN(IF(ISNUMBER(CR33:CR229),ROW(CR33:CR229),"")))</f>
        <v>14.260000000000002</v>
      </c>
      <c r="CT33" s="13">
        <f>IF('Données projet'!$A$140&gt;35,CT32+CS33-DB32,IF(A33&lt;'Données projet'!$A$140,$CQ$205^A33,IF(A33='Données projet'!$A$140,'Données projet'!$B$140,CT32+CS33-DB32)))</f>
        <v>211.79999999999995</v>
      </c>
      <c r="CU33" s="18">
        <f>CT33*VLOOKUP('Données projet'!$B$13,Paramètres!$A$1:$I$89,3,0)*VLOOKUP('Données projet'!$B$13,Paramètres!$A$1:$I$89,5,0)</f>
        <v>168.50807999999995</v>
      </c>
      <c r="CV33" s="14">
        <f t="shared" si="41"/>
        <v>42.755711908378117</v>
      </c>
      <c r="CW33" s="22">
        <f t="shared" si="13"/>
        <v>367.95110424042514</v>
      </c>
      <c r="CX33" s="62">
        <f t="shared" si="14"/>
        <v>661.2844375737584</v>
      </c>
      <c r="CY33" s="62">
        <f ca="1">AVERAGE(OFFSET($CX$3,0,0,'Données projet'!$E$13+1,1))-AVERAGE(OFFSET($H$3,0,0,'Données projet'!$E$13+1,1))</f>
        <v>370.59298168107364</v>
      </c>
      <c r="CZ33" s="62">
        <f t="shared" si="42"/>
        <v>404.61777090709171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70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158</v>
      </c>
      <c r="DM33" s="13">
        <f>VLOOKUP(A33,'Données projet'!$A$165:$I$185,9,0)</f>
        <v>9</v>
      </c>
      <c r="DN33" s="13">
        <f t="array" ref="DN33">INDEX(DM:DM,MIN(IF(ISNUMBER(DM33:DM229),ROW(DM33:DM229),"")))</f>
        <v>9</v>
      </c>
      <c r="DO33" s="13">
        <f>IF('Données projet'!$A$166&gt;35,DO32+DN33-DW32,IF(A33&lt;'Données projet'!$A$166,$DL$205^A33,IF(A33='Données projet'!$A$166,'Données projet'!$B$166,DO32+DN33-DW32)))</f>
        <v>158</v>
      </c>
      <c r="DP33" s="18">
        <f>DO33*VLOOKUP('Données projet'!$B$14,Paramètres!$A$1:$I$89,3,0)*VLOOKUP('Données projet'!$B$14,Paramètres!$A$1:$I$89,5,0)</f>
        <v>138.02880000000002</v>
      </c>
      <c r="DQ33" s="14">
        <f t="shared" si="43"/>
        <v>35.845059256813073</v>
      </c>
      <c r="DR33" s="22">
        <f t="shared" si="16"/>
        <v>302.8303048722828</v>
      </c>
      <c r="DS33" s="62">
        <f t="shared" si="17"/>
        <v>596.16363820561605</v>
      </c>
      <c r="DT33" s="62">
        <f ca="1">AVERAGE(OFFSET($DS$3,0,0,'Données projet'!$E$14+1,1))-AVERAGE(OFFSET($H$3,0,0,'Données projet'!$E$14+1,1))</f>
        <v>341.65872153228599</v>
      </c>
      <c r="DU33" s="62">
        <f t="shared" si="44"/>
        <v>339.49697153894937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47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149.35897435897436</v>
      </c>
      <c r="EH33" s="13">
        <f>VLOOKUP(A33,'Données projet'!$A$191:$I$211,9,0)</f>
        <v>8.0769230769230802</v>
      </c>
      <c r="EI33" s="13">
        <f t="array" ref="EI33">INDEX(EH:EH,MIN(IF(ISNUMBER(EH33:EH229),ROW(EH33:EH229),"")))</f>
        <v>8.0769230769230802</v>
      </c>
      <c r="EJ33" s="13">
        <f>IF('Données projet'!$A$192&gt;35,EJ32+EI33-ER32,IF(A33&lt;'Données projet'!$A$192,$EG$205^A33,IF(A33='Données projet'!$A$192,'Données projet'!$B$192,EJ32+EI33-ER32)))</f>
        <v>149.35897435897442</v>
      </c>
      <c r="EK33" s="18">
        <f>EJ33*VLOOKUP('Données projet'!$B$15,Paramètres!$A$1:$I$89,3,0)*VLOOKUP('Données projet'!$B$15,Paramètres!$A$1:$I$89,5,0)</f>
        <v>100.19000000000005</v>
      </c>
      <c r="EL33" s="14">
        <f t="shared" si="45"/>
        <v>27.007257426460161</v>
      </c>
      <c r="EM33" s="22">
        <f t="shared" si="19"/>
        <v>221.53522335108485</v>
      </c>
      <c r="EN33" s="62">
        <f t="shared" si="20"/>
        <v>514.86855668441819</v>
      </c>
      <c r="EO33" s="62">
        <f ca="1">AVERAGE(OFFSET($EN$3,0,0,'Données projet'!$E$15+1,1))-AVERAGE(OFFSET($H$3,0,0,'Données projet'!$E$15+1,1))</f>
        <v>312.06797204903796</v>
      </c>
      <c r="EP33" s="62">
        <f t="shared" si="46"/>
        <v>258.20189001775151</v>
      </c>
      <c r="EQ33" s="16">
        <f>IF(ISNA(VLOOKUP(A33,'Données projet'!$A$191:$I$211,3,0)),0,VLOOKUP(A33,'Données projet'!$A$191:$I$211,3,0))</f>
        <v>2</v>
      </c>
      <c r="ER33" s="16">
        <f>IF(ISNA(VLOOKUP(A33,'Données projet'!$A$191:$I$211,4,0)),0,VLOOKUP(A33,'Données projet'!$A$191:$I$211,4,0))</f>
        <v>32.692307692307693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105</v>
      </c>
      <c r="FC33" s="13">
        <f>VLOOKUP(A33,'Données projet'!$A$217:$I$237,9,0)</f>
        <v>7</v>
      </c>
      <c r="FD33" s="13">
        <f t="array" ref="FD33">INDEX(FC:FC,MIN(IF(ISNUMBER(FC33:FC229),ROW(FC33:FC229),"")))</f>
        <v>7</v>
      </c>
      <c r="FE33" s="13">
        <f>IF('Données projet'!$A$218&gt;35,FE32+FD33-FM32,IF(A33&lt;'Données projet'!$A$218,$FB$205^A33,IF(A33='Données projet'!$A$218,'Données projet'!$B$218,FE32+FD33-FM32)))</f>
        <v>105</v>
      </c>
      <c r="FF33" s="18">
        <f>FE33*VLOOKUP('Données projet'!$B$16,Paramètres!$A$1:$I$89,3,0)*VLOOKUP('Données projet'!$B$16,Paramètres!$A$1:$I$89,5,0)</f>
        <v>101.556</v>
      </c>
      <c r="FG33" s="14">
        <f t="shared" si="47"/>
        <v>27.332359320696909</v>
      </c>
      <c r="FH33" s="22">
        <f t="shared" si="22"/>
        <v>224.48055915021379</v>
      </c>
      <c r="FI33" s="62">
        <f t="shared" si="23"/>
        <v>517.81389248354708</v>
      </c>
      <c r="FJ33" s="62">
        <f ca="1">AVERAGE(OFFSET($FI$3,0,0,'Données projet'!$E$16+1,1))-AVERAGE(OFFSET($H$3,0,0,'Données projet'!$E$16+1,1))</f>
        <v>455.50822833641354</v>
      </c>
      <c r="FK33" s="62">
        <f t="shared" si="48"/>
        <v>261.14722581688039</v>
      </c>
      <c r="FL33" s="16">
        <f>IF(ISNA(VLOOKUP(A33,'Données projet'!$A$217:$I$237,3,0)),0,VLOOKUP(A33,'Données projet'!$A$217:$I$237,3,0))</f>
        <v>1</v>
      </c>
      <c r="FM33" s="16">
        <f>IF(ISNA(VLOOKUP(A33,'Données projet'!$A$217:$I$237,4,0)),0,VLOOKUP(A33,'Données projet'!$A$217:$I$237,4,0))</f>
        <v>29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18.100000000000001</v>
      </c>
      <c r="N34" s="14">
        <f>IF('Données projet'!$A$36&gt;35,N33+M34-V33,IF(A34&lt;'Données projet'!$A$36,$K$205^A34,IF(A34='Données projet'!$A$36,'Données projet'!$B$36,N33+M34-V33)))</f>
        <v>233.09230769230766</v>
      </c>
      <c r="O34" s="14">
        <f>N34*VLOOKUP('Données projet'!$B$9,Paramètres!$A$1:$I$89,3,0)*VLOOKUP('Données projet'!$B$9,Paramètres!$A$1:$I$89,5,0)</f>
        <v>130.29859999999999</v>
      </c>
      <c r="P34" s="14">
        <f t="shared" si="33"/>
        <v>34.065347809437199</v>
      </c>
      <c r="Q34" s="22">
        <f t="shared" si="2"/>
        <v>286.26720910143649</v>
      </c>
      <c r="R34" s="62">
        <f t="shared" si="0"/>
        <v>579.60054243476975</v>
      </c>
      <c r="S34" s="62">
        <f ca="1">AVERAGE(OFFSET($R$3,0,0,'Données projet'!$E$9+1,1))-AVERAGE(OFFSET($H$3,0,0,'Données projet'!$E$9+1,1))</f>
        <v>323.98185264074681</v>
      </c>
      <c r="T34" s="62">
        <f t="shared" si="34"/>
        <v>301.22207291854005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4.3748176283769658</v>
      </c>
      <c r="AA34" s="23">
        <f>EXP(-LN(2)/25)*AA33+(1-EXP(-LN(2)/25))/(LN(2)/25)*Calculateur!V34*Calculateur!X34*VLOOKUP('Données projet'!$B$9,Paramètres!$A$1:$I$89,3,0)*0.475*44/12</f>
        <v>8.0217767986897215</v>
      </c>
      <c r="AB34" s="23">
        <f>EXP(-LN(2)/2)*AB33+(1-EXP(-LN(2)/2))/(LN(2)/2)*V34*Y34*VLOOKUP('Données projet'!$B$9,Paramètres!$A$1:$I$89,3,0)*0.475*44/12</f>
        <v>4.3047297392640527</v>
      </c>
      <c r="AC34" s="24">
        <f t="shared" si="3"/>
        <v>16.701324166330743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13.753846153846149</v>
      </c>
      <c r="AI34" s="14">
        <f>IF('Données projet'!$A$62&gt;35,AI33+AH34-AQ33,IF(A34&lt;'Données projet'!$A$62,$AF$205^A34,IF(A34='Données projet'!$A$62,'Données projet'!$B$62,AI33+AH34-AQ33)))</f>
        <v>172.49230769230769</v>
      </c>
      <c r="AJ34" s="14">
        <f>AI34*VLOOKUP('Données projet'!$B$10,Paramètres!$A$1:$I$89,3,0)*VLOOKUP('Données projet'!$B$10,Paramètres!$A$1:$I$89,5,0)</f>
        <v>80.726399999999998</v>
      </c>
      <c r="AK34" s="14">
        <f t="shared" si="35"/>
        <v>22.314699162309424</v>
      </c>
      <c r="AL34" s="22">
        <f t="shared" si="4"/>
        <v>179.46324770768891</v>
      </c>
      <c r="AM34" s="62">
        <f t="shared" si="5"/>
        <v>472.79658104102225</v>
      </c>
      <c r="AN34" s="62">
        <f ca="1">AVERAGE(OFFSET($AM$3,0,0,'Données projet'!$E$10+1,1))-AVERAGE(OFFSET($H$3,0,0,'Données projet'!$E$10+1,1))</f>
        <v>276.78862011733338</v>
      </c>
      <c r="AO34" s="62">
        <f t="shared" si="36"/>
        <v>202.1678469635836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76.003200000000007</v>
      </c>
      <c r="BF34" s="14">
        <f t="shared" si="37"/>
        <v>21.157049992000456</v>
      </c>
      <c r="BG34" s="22">
        <f t="shared" si="7"/>
        <v>169.22076873606747</v>
      </c>
      <c r="BH34" s="62">
        <f t="shared" si="8"/>
        <v>462.55410206940076</v>
      </c>
      <c r="BI34" s="62">
        <f ca="1">AVERAGE(OFFSET($BH$3,0,0,'Données projet'!$E$11+1,1))-AVERAGE(OFFSET($H$3,0,0,'Données projet'!$E$11+1,1))</f>
        <v>428.8489304403459</v>
      </c>
      <c r="BJ34" s="62">
        <f t="shared" si="38"/>
        <v>247.01165577562966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12.971794871794865</v>
      </c>
      <c r="BY34" s="13">
        <f>IF('Données projet'!$A$114&gt;35,BY33+BX34-CG33,IF(A34&lt;'Données projet'!$A$114,$BV$205^A34,IF(A34='Données projet'!$A$114,'Données projet'!$B$114,BY33+BX34-CG33)))</f>
        <v>157.95641025641027</v>
      </c>
      <c r="BZ34" s="14">
        <f>BY34*VLOOKUP('Données projet'!$B$12,Paramètres!$A$1:$I$89,3,0)*VLOOKUP('Données projet'!$B$12,Paramètres!$A$1:$I$89,5,0)</f>
        <v>94.457933333333344</v>
      </c>
      <c r="CA34" s="14">
        <f t="shared" si="39"/>
        <v>25.637327417415943</v>
      </c>
      <c r="CB34" s="22">
        <f t="shared" si="10"/>
        <v>209.16591247422164</v>
      </c>
      <c r="CC34" s="62">
        <f t="shared" si="11"/>
        <v>502.49924580755498</v>
      </c>
      <c r="CD34" s="62">
        <f ca="1">AVERAGE(OFFSET($CC$3,0,0,'Données projet'!$E$12+1,1))-AVERAGE(OFFSET($H$3,0,0,'Données projet'!$E$12+1,1))</f>
        <v>289.12367833861299</v>
      </c>
      <c r="CE34" s="62">
        <f t="shared" si="40"/>
        <v>229.06617320689003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2.9322552041340413</v>
      </c>
      <c r="CN34" s="24">
        <f t="shared" si="12"/>
        <v>2.9322552041340413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12.919999999999998</v>
      </c>
      <c r="CT34" s="13">
        <f>IF('Données projet'!$A$140&gt;35,CT33+CS34-DB33,IF(A34&lt;'Données projet'!$A$140,$CQ$205^A34,IF(A34='Données projet'!$A$140,'Données projet'!$B$140,CT33+CS34-DB33)))</f>
        <v>154.71999999999994</v>
      </c>
      <c r="CU34" s="18">
        <f>CT34*VLOOKUP('Données projet'!$B$13,Paramètres!$A$1:$I$89,3,0)*VLOOKUP('Données projet'!$B$13,Paramètres!$A$1:$I$89,5,0)</f>
        <v>123.09523199999997</v>
      </c>
      <c r="CV34" s="14">
        <f t="shared" si="41"/>
        <v>32.395837865893974</v>
      </c>
      <c r="CW34" s="22">
        <f t="shared" si="13"/>
        <v>270.81361334976526</v>
      </c>
      <c r="CX34" s="62">
        <f t="shared" si="14"/>
        <v>564.14694668309858</v>
      </c>
      <c r="CY34" s="62">
        <f ca="1">AVERAGE(OFFSET($CX$3,0,0,'Données projet'!$E$13+1,1))-AVERAGE(OFFSET($H$3,0,0,'Données projet'!$E$13+1,1))</f>
        <v>370.59298168107364</v>
      </c>
      <c r="CZ34" s="62">
        <f t="shared" si="42"/>
        <v>404.61777090709171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8.4</v>
      </c>
      <c r="DO34" s="13">
        <f>IF('Données projet'!$A$166&gt;35,DO33+DN34-DW33,IF(A34&lt;'Données projet'!$A$166,$DL$205^A34,IF(A34='Données projet'!$A$166,'Données projet'!$B$166,DO33+DN34-DW33)))</f>
        <v>119.4</v>
      </c>
      <c r="DP34" s="18">
        <f>DO34*VLOOKUP('Données projet'!$B$14,Paramètres!$A$1:$I$89,3,0)*VLOOKUP('Données projet'!$B$14,Paramètres!$A$1:$I$89,5,0)</f>
        <v>104.30784000000001</v>
      </c>
      <c r="DQ34" s="14">
        <f t="shared" si="43"/>
        <v>27.985748297693263</v>
      </c>
      <c r="DR34" s="22">
        <f t="shared" si="16"/>
        <v>230.41133295181578</v>
      </c>
      <c r="DS34" s="62">
        <f t="shared" si="17"/>
        <v>523.74466628514915</v>
      </c>
      <c r="DT34" s="62">
        <f ca="1">AVERAGE(OFFSET($DS$3,0,0,'Données projet'!$E$14+1,1))-AVERAGE(OFFSET($H$3,0,0,'Données projet'!$E$14+1,1))</f>
        <v>341.65872153228599</v>
      </c>
      <c r="DU34" s="62">
        <f t="shared" si="44"/>
        <v>339.49697153894937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7.6923076923076881</v>
      </c>
      <c r="EJ34" s="13">
        <f>IF('Données projet'!$A$192&gt;35,EJ33+EI34-ER33,IF(A34&lt;'Données projet'!$A$192,$EG$205^A34,IF(A34='Données projet'!$A$192,'Données projet'!$B$192,EJ33+EI34-ER33)))</f>
        <v>124.35897435897441</v>
      </c>
      <c r="EK34" s="18">
        <f>EJ34*VLOOKUP('Données projet'!$B$15,Paramètres!$A$1:$I$89,3,0)*VLOOKUP('Données projet'!$B$15,Paramètres!$A$1:$I$89,5,0)</f>
        <v>83.42000000000003</v>
      </c>
      <c r="EL34" s="14">
        <f t="shared" si="45"/>
        <v>22.971343750654679</v>
      </c>
      <c r="EM34" s="22">
        <f t="shared" si="19"/>
        <v>185.2982570323903</v>
      </c>
      <c r="EN34" s="62">
        <f t="shared" si="20"/>
        <v>478.63159036572358</v>
      </c>
      <c r="EO34" s="62">
        <f ca="1">AVERAGE(OFFSET($EN$3,0,0,'Données projet'!$E$15+1,1))-AVERAGE(OFFSET($H$3,0,0,'Données projet'!$E$15+1,1))</f>
        <v>312.06797204903796</v>
      </c>
      <c r="EP34" s="62">
        <f t="shared" si="46"/>
        <v>258.20189001775151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8</v>
      </c>
      <c r="FE34" s="13">
        <f>IF('Données projet'!$A$218&gt;35,FE33+FD34-FM33,IF(A34&lt;'Données projet'!$A$218,$FB$205^A34,IF(A34='Données projet'!$A$218,'Données projet'!$B$218,FE33+FD34-FM33)))</f>
        <v>84</v>
      </c>
      <c r="FF34" s="18">
        <f>FE34*VLOOKUP('Données projet'!$B$16,Paramètres!$A$1:$I$89,3,0)*VLOOKUP('Données projet'!$B$16,Paramètres!$A$1:$I$89,5,0)</f>
        <v>81.244799999999998</v>
      </c>
      <c r="FG34" s="14">
        <f t="shared" si="47"/>
        <v>22.441270156928962</v>
      </c>
      <c r="FH34" s="22">
        <f t="shared" si="22"/>
        <v>180.58657218998462</v>
      </c>
      <c r="FI34" s="62">
        <f t="shared" si="23"/>
        <v>473.91990552331794</v>
      </c>
      <c r="FJ34" s="62">
        <f ca="1">AVERAGE(OFFSET($FI$3,0,0,'Données projet'!$E$16+1,1))-AVERAGE(OFFSET($H$3,0,0,'Données projet'!$E$16+1,1))</f>
        <v>455.50822833641354</v>
      </c>
      <c r="FK34" s="62">
        <f t="shared" si="48"/>
        <v>261.14722581688039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18.100000000000001</v>
      </c>
      <c r="N35" s="14">
        <f>IF('Données projet'!$A$36&gt;35,N34+M35-V34,IF(A35&lt;'Données projet'!$A$36,$K$205^A35,IF(A35='Données projet'!$A$36,'Données projet'!$B$36,N34+M35-V34)))</f>
        <v>251.19230769230765</v>
      </c>
      <c r="O35" s="14">
        <f>N35*VLOOKUP('Données projet'!$B$9,Paramètres!$A$1:$I$89,3,0)*VLOOKUP('Données projet'!$B$9,Paramètres!$A$1:$I$89,5,0)</f>
        <v>140.41649999999998</v>
      </c>
      <c r="P35" s="14">
        <f t="shared" si="33"/>
        <v>36.392403294074647</v>
      </c>
      <c r="Q35" s="22">
        <f t="shared" ref="Q35:Q66" si="53">(O35+P35)*0.475*44/12</f>
        <v>307.94217323717999</v>
      </c>
      <c r="R35" s="62">
        <f t="shared" si="0"/>
        <v>601.27550657051324</v>
      </c>
      <c r="S35" s="62">
        <f ca="1">AVERAGE(OFFSET($R$3,0,0,'Données projet'!$E$9+1,1))-AVERAGE(OFFSET($H$3,0,0,'Données projet'!$E$9+1,1))</f>
        <v>323.98185264074681</v>
      </c>
      <c r="T35" s="62">
        <f t="shared" si="34"/>
        <v>301.22207291854005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4.2890301230597663</v>
      </c>
      <c r="AA35" s="23">
        <f>EXP(-LN(2)/25)*AA34+(1-EXP(-LN(2)/25))/(LN(2)/25)*Calculateur!V35*Calculateur!X35*VLOOKUP('Données projet'!$B$9,Paramètres!$A$1:$I$89,3,0)*0.475*44/12</f>
        <v>7.8024208902826429</v>
      </c>
      <c r="AB35" s="23">
        <f>EXP(-LN(2)/2)*AB34+(1-EXP(-LN(2)/2))/(LN(2)/2)*V35*Y35*VLOOKUP('Données projet'!$B$9,Paramètres!$A$1:$I$89,3,0)*0.475*44/12</f>
        <v>3.0439035898090103</v>
      </c>
      <c r="AC35" s="24">
        <f t="shared" si="3"/>
        <v>15.13535460315142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13.753846153846149</v>
      </c>
      <c r="AI35" s="14">
        <f>IF('Données projet'!$A$62&gt;35,AI34+AH35-AQ34,IF(A35&lt;'Données projet'!$A$62,$AF$205^A35,IF(A35='Données projet'!$A$62,'Données projet'!$B$62,AI34+AH35-AQ34)))</f>
        <v>186.24615384615385</v>
      </c>
      <c r="AJ35" s="14">
        <f>AI35*VLOOKUP('Données projet'!$B$10,Paramètres!$A$1:$I$89,3,0)*VLOOKUP('Données projet'!$B$10,Paramètres!$A$1:$I$89,5,0)</f>
        <v>87.163200000000003</v>
      </c>
      <c r="AK35" s="14">
        <f t="shared" si="35"/>
        <v>23.879787090515428</v>
      </c>
      <c r="AL35" s="22">
        <f t="shared" si="4"/>
        <v>193.39986918264768</v>
      </c>
      <c r="AM35" s="62">
        <f t="shared" si="5"/>
        <v>486.73320251598102</v>
      </c>
      <c r="AN35" s="62">
        <f ca="1">AVERAGE(OFFSET($AM$3,0,0,'Données projet'!$E$10+1,1))-AVERAGE(OFFSET($H$3,0,0,'Données projet'!$E$10+1,1))</f>
        <v>276.78862011733338</v>
      </c>
      <c r="AO35" s="62">
        <f t="shared" si="36"/>
        <v>202.1678469635836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83.241600000000005</v>
      </c>
      <c r="BF35" s="14">
        <f t="shared" si="37"/>
        <v>22.927930643846508</v>
      </c>
      <c r="BG35" s="22">
        <f t="shared" si="7"/>
        <v>184.91193253803269</v>
      </c>
      <c r="BH35" s="62">
        <f t="shared" si="8"/>
        <v>478.24526587136597</v>
      </c>
      <c r="BI35" s="62">
        <f ca="1">AVERAGE(OFFSET($BH$3,0,0,'Données projet'!$E$11+1,1))-AVERAGE(OFFSET($H$3,0,0,'Données projet'!$E$11+1,1))</f>
        <v>428.8489304403459</v>
      </c>
      <c r="BJ35" s="62">
        <f t="shared" si="38"/>
        <v>247.01165577562966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12.971794871794865</v>
      </c>
      <c r="BY35" s="13">
        <f>IF('Données projet'!$A$114&gt;35,BY34+BX35-CG34,IF(A35&lt;'Données projet'!$A$114,$BV$205^A35,IF(A35='Données projet'!$A$114,'Données projet'!$B$114,BY34+BX35-CG34)))</f>
        <v>170.92820512820512</v>
      </c>
      <c r="BZ35" s="14">
        <f>BY35*VLOOKUP('Données projet'!$B$12,Paramètres!$A$1:$I$89,3,0)*VLOOKUP('Données projet'!$B$12,Paramètres!$A$1:$I$89,5,0)</f>
        <v>102.21506666666667</v>
      </c>
      <c r="CA35" s="14">
        <f t="shared" si="39"/>
        <v>27.489031873505194</v>
      </c>
      <c r="CB35" s="22">
        <f t="shared" si="10"/>
        <v>225.90130495746598</v>
      </c>
      <c r="CC35" s="62">
        <f t="shared" si="11"/>
        <v>519.23463829079924</v>
      </c>
      <c r="CD35" s="62">
        <f ca="1">AVERAGE(OFFSET($CC$3,0,0,'Données projet'!$E$12+1,1))-AVERAGE(OFFSET($H$3,0,0,'Données projet'!$E$12+1,1))</f>
        <v>289.12367833861299</v>
      </c>
      <c r="CE35" s="62">
        <f t="shared" si="40"/>
        <v>229.06617320689003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2.0734175390127247</v>
      </c>
      <c r="CN35" s="24">
        <f t="shared" si="12"/>
        <v>2.0734175390127247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12.919999999999998</v>
      </c>
      <c r="CT35" s="13">
        <f>IF('Données projet'!$A$140&gt;35,CT34+CS35-DB34,IF(A35&lt;'Données projet'!$A$140,$CQ$205^A35,IF(A35='Données projet'!$A$140,'Données projet'!$B$140,CT34+CS35-DB34)))</f>
        <v>167.63999999999993</v>
      </c>
      <c r="CU35" s="18">
        <f>CT35*VLOOKUP('Données projet'!$B$13,Paramètres!$A$1:$I$89,3,0)*VLOOKUP('Données projet'!$B$13,Paramètres!$A$1:$I$89,5,0)</f>
        <v>133.37438399999996</v>
      </c>
      <c r="CV35" s="14">
        <f t="shared" si="41"/>
        <v>34.774913711031935</v>
      </c>
      <c r="CW35" s="22">
        <f t="shared" si="13"/>
        <v>292.86002684671388</v>
      </c>
      <c r="CX35" s="62">
        <f t="shared" si="14"/>
        <v>586.19336018004719</v>
      </c>
      <c r="CY35" s="62">
        <f ca="1">AVERAGE(OFFSET($CX$3,0,0,'Données projet'!$E$13+1,1))-AVERAGE(OFFSET($H$3,0,0,'Données projet'!$E$13+1,1))</f>
        <v>370.59298168107364</v>
      </c>
      <c r="CZ35" s="62">
        <f t="shared" si="42"/>
        <v>404.61777090709171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8.4</v>
      </c>
      <c r="DO35" s="13">
        <f>IF('Données projet'!$A$166&gt;35,DO34+DN35-DW34,IF(A35&lt;'Données projet'!$A$166,$DL$205^A35,IF(A35='Données projet'!$A$166,'Données projet'!$B$166,DO34+DN35-DW34)))</f>
        <v>127.80000000000001</v>
      </c>
      <c r="DP35" s="18">
        <f>DO35*VLOOKUP('Données projet'!$B$14,Paramètres!$A$1:$I$89,3,0)*VLOOKUP('Données projet'!$B$14,Paramètres!$A$1:$I$89,5,0)</f>
        <v>111.64608000000003</v>
      </c>
      <c r="DQ35" s="14">
        <f t="shared" si="43"/>
        <v>29.718477955114288</v>
      </c>
      <c r="DR35" s="22">
        <f t="shared" si="16"/>
        <v>246.20993843849078</v>
      </c>
      <c r="DS35" s="62">
        <f t="shared" si="17"/>
        <v>539.54327177182404</v>
      </c>
      <c r="DT35" s="62">
        <f ca="1">AVERAGE(OFFSET($DS$3,0,0,'Données projet'!$E$14+1,1))-AVERAGE(OFFSET($H$3,0,0,'Données projet'!$E$14+1,1))</f>
        <v>341.65872153228599</v>
      </c>
      <c r="DU35" s="62">
        <f t="shared" si="44"/>
        <v>339.49697153894937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7.6923076923076881</v>
      </c>
      <c r="EJ35" s="13">
        <f>IF('Données projet'!$A$192&gt;35,EJ34+EI35-ER34,IF(A35&lt;'Données projet'!$A$192,$EG$205^A35,IF(A35='Données projet'!$A$192,'Données projet'!$B$192,EJ34+EI35-ER34)))</f>
        <v>132.0512820512821</v>
      </c>
      <c r="EK35" s="18">
        <f>EJ35*VLOOKUP('Données projet'!$B$15,Paramètres!$A$1:$I$89,3,0)*VLOOKUP('Données projet'!$B$15,Paramètres!$A$1:$I$89,5,0)</f>
        <v>88.580000000000041</v>
      </c>
      <c r="EL35" s="14">
        <f t="shared" si="45"/>
        <v>24.222438846820232</v>
      </c>
      <c r="EM35" s="22">
        <f t="shared" si="19"/>
        <v>196.46424765821197</v>
      </c>
      <c r="EN35" s="62">
        <f t="shared" si="20"/>
        <v>489.79758099154526</v>
      </c>
      <c r="EO35" s="62">
        <f ca="1">AVERAGE(OFFSET($EN$3,0,0,'Données projet'!$E$15+1,1))-AVERAGE(OFFSET($H$3,0,0,'Données projet'!$E$15+1,1))</f>
        <v>312.06797204903796</v>
      </c>
      <c r="EP35" s="62">
        <f t="shared" si="46"/>
        <v>258.20189001775151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8</v>
      </c>
      <c r="FE35" s="13">
        <f>IF('Données projet'!$A$218&gt;35,FE34+FD35-FM34,IF(A35&lt;'Données projet'!$A$218,$FB$205^A35,IF(A35='Données projet'!$A$218,'Données projet'!$B$218,FE34+FD35-FM34)))</f>
        <v>92</v>
      </c>
      <c r="FF35" s="18">
        <f>FE35*VLOOKUP('Données projet'!$B$16,Paramètres!$A$1:$I$89,3,0)*VLOOKUP('Données projet'!$B$16,Paramètres!$A$1:$I$89,5,0)</f>
        <v>88.982399999999998</v>
      </c>
      <c r="FG35" s="14">
        <f t="shared" si="47"/>
        <v>24.31964219550628</v>
      </c>
      <c r="FH35" s="22">
        <f t="shared" si="22"/>
        <v>197.3343901571734</v>
      </c>
      <c r="FI35" s="62">
        <f t="shared" si="23"/>
        <v>490.66772349050672</v>
      </c>
      <c r="FJ35" s="62">
        <f ca="1">AVERAGE(OFFSET($FI$3,0,0,'Données projet'!$E$16+1,1))-AVERAGE(OFFSET($H$3,0,0,'Données projet'!$E$16+1,1))</f>
        <v>455.50822833641354</v>
      </c>
      <c r="FK35" s="62">
        <f t="shared" si="48"/>
        <v>261.14722581688039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18.100000000000001</v>
      </c>
      <c r="N36" s="14">
        <f>IF('Données projet'!$A$36&gt;35,N35+M36-V35,IF(A36&lt;'Données projet'!$A$36,$K$205^A36,IF(A36='Données projet'!$A$36,'Données projet'!$B$36,N35+M36-V35)))</f>
        <v>269.29230769230765</v>
      </c>
      <c r="O36" s="14">
        <f>N36*VLOOKUP('Données projet'!$B$9,Paramètres!$A$1:$I$89,3,0)*VLOOKUP('Données projet'!$B$9,Paramètres!$A$1:$I$89,5,0)</f>
        <v>150.53439999999998</v>
      </c>
      <c r="P36" s="14">
        <f t="shared" si="33"/>
        <v>38.700004790658191</v>
      </c>
      <c r="Q36" s="22">
        <f t="shared" si="53"/>
        <v>329.58325501039627</v>
      </c>
      <c r="R36" s="62">
        <f t="shared" si="0"/>
        <v>622.91658834372959</v>
      </c>
      <c r="S36" s="62">
        <f ca="1">AVERAGE(OFFSET($R$3,0,0,'Données projet'!$E$9+1,1))-AVERAGE(OFFSET($H$3,0,0,'Données projet'!$E$9+1,1))</f>
        <v>323.98185264074681</v>
      </c>
      <c r="T36" s="62">
        <f t="shared" si="34"/>
        <v>301.22207291854005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4.2049248583966259</v>
      </c>
      <c r="AA36" s="23">
        <f>EXP(-LN(2)/25)*AA35+(1-EXP(-LN(2)/25))/(LN(2)/25)*Calculateur!V36*Calculateur!X36*VLOOKUP('Données projet'!$B$9,Paramètres!$A$1:$I$89,3,0)*0.475*44/12</f>
        <v>7.589063280726382</v>
      </c>
      <c r="AB36" s="23">
        <f>EXP(-LN(2)/2)*AB35+(1-EXP(-LN(2)/2))/(LN(2)/2)*V36*Y36*VLOOKUP('Données projet'!$B$9,Paramètres!$A$1:$I$89,3,0)*0.475*44/12</f>
        <v>2.1523648696320263</v>
      </c>
      <c r="AC36" s="24">
        <f t="shared" si="3"/>
        <v>13.946353008755036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13.753846153846149</v>
      </c>
      <c r="AI36" s="14">
        <f>IF('Données projet'!$A$62&gt;35,AI35+AH36-AQ35,IF(A36&lt;'Données projet'!$A$62,$AF$205^A36,IF(A36='Données projet'!$A$62,'Données projet'!$B$62,AI35+AH36-AQ35)))</f>
        <v>200</v>
      </c>
      <c r="AJ36" s="14">
        <f>AI36*VLOOKUP('Données projet'!$B$10,Paramètres!$A$1:$I$89,3,0)*VLOOKUP('Données projet'!$B$10,Paramètres!$A$1:$I$89,5,0)</f>
        <v>93.600000000000009</v>
      </c>
      <c r="AK36" s="14">
        <f t="shared" si="35"/>
        <v>25.431466524572937</v>
      </c>
      <c r="AL36" s="22">
        <f t="shared" si="4"/>
        <v>207.31313753029789</v>
      </c>
      <c r="AM36" s="62">
        <f t="shared" si="5"/>
        <v>500.64647086363118</v>
      </c>
      <c r="AN36" s="62">
        <f ca="1">AVERAGE(OFFSET($AM$3,0,0,'Données projet'!$E$10+1,1))-AVERAGE(OFFSET($H$3,0,0,'Données projet'!$E$10+1,1))</f>
        <v>276.78862011733338</v>
      </c>
      <c r="AO36" s="62">
        <f t="shared" si="36"/>
        <v>202.1678469635836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90.47999999999999</v>
      </c>
      <c r="BF36" s="14">
        <f t="shared" si="37"/>
        <v>24.680953573367994</v>
      </c>
      <c r="BG36" s="22">
        <f t="shared" si="7"/>
        <v>200.57199414028256</v>
      </c>
      <c r="BH36" s="62">
        <f t="shared" si="8"/>
        <v>493.9053274736159</v>
      </c>
      <c r="BI36" s="62">
        <f ca="1">AVERAGE(OFFSET($BH$3,0,0,'Données projet'!$E$11+1,1))-AVERAGE(OFFSET($H$3,0,0,'Données projet'!$E$11+1,1))</f>
        <v>428.8489304403459</v>
      </c>
      <c r="BJ36" s="62">
        <f t="shared" si="38"/>
        <v>247.01165577562966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>
        <f>VLOOKUP(A36,'Données projet'!$A$113:$I$133,2,0)</f>
        <v>183.89999999999998</v>
      </c>
      <c r="BW36" s="13">
        <f>VLOOKUP(A36,'Données projet'!$A$113:$I$133,9,0)</f>
        <v>12.971794871794865</v>
      </c>
      <c r="BX36" s="13">
        <f t="array" ref="BX36">INDEX(BW:BW,MIN(IF(ISNUMBER(BW36:BW232),ROW(BW36:BW232),"")))</f>
        <v>12.971794871794865</v>
      </c>
      <c r="BY36" s="13">
        <f>IF('Données projet'!$A$114&gt;35,BY35+BX36-CG35,IF(A36&lt;'Données projet'!$A$114,$BV$205^A36,IF(A36='Données projet'!$A$114,'Données projet'!$B$114,BY35+BX36-CG35)))</f>
        <v>183.89999999999998</v>
      </c>
      <c r="BZ36" s="14">
        <f>BY36*VLOOKUP('Données projet'!$B$12,Paramètres!$A$1:$I$89,3,0)*VLOOKUP('Données projet'!$B$12,Paramètres!$A$1:$I$89,5,0)</f>
        <v>109.9722</v>
      </c>
      <c r="CA36" s="14">
        <f t="shared" si="39"/>
        <v>29.324434579377328</v>
      </c>
      <c r="CB36" s="22">
        <f t="shared" si="10"/>
        <v>242.60830522574884</v>
      </c>
      <c r="CC36" s="62">
        <f t="shared" si="11"/>
        <v>535.94163855908209</v>
      </c>
      <c r="CD36" s="62">
        <f ca="1">AVERAGE(OFFSET($CC$3,0,0,'Données projet'!$E$12+1,1))-AVERAGE(OFFSET($H$3,0,0,'Données projet'!$E$12+1,1))</f>
        <v>289.12367833861299</v>
      </c>
      <c r="CE36" s="62">
        <f t="shared" si="40"/>
        <v>229.06617320689003</v>
      </c>
      <c r="CF36" s="16">
        <f>IF(ISNA(VLOOKUP(A36,'Données projet'!$A$113:$I$133,3,0)),0,VLOOKUP(A36,'Données projet'!$A$113:$I$133,3,0))</f>
        <v>3</v>
      </c>
      <c r="CG36" s="16">
        <f>IF(ISNA(VLOOKUP(A36,'Données projet'!$A$113:$I$133,4,0)),0,VLOOKUP(A36,'Données projet'!$A$113:$I$133,4,0))</f>
        <v>43.007692307692302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1.4661276020670206</v>
      </c>
      <c r="CN36" s="24">
        <f t="shared" si="12"/>
        <v>1.4661276020670206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12.919999999999998</v>
      </c>
      <c r="CT36" s="13">
        <f>IF('Données projet'!$A$140&gt;35,CT35+CS36-DB35,IF(A36&lt;'Données projet'!$A$140,$CQ$205^A36,IF(A36='Données projet'!$A$140,'Données projet'!$B$140,CT35+CS36-DB35)))</f>
        <v>180.55999999999992</v>
      </c>
      <c r="CU36" s="18">
        <f>CT36*VLOOKUP('Données projet'!$B$13,Paramètres!$A$1:$I$89,3,0)*VLOOKUP('Données projet'!$B$13,Paramètres!$A$1:$I$89,5,0)</f>
        <v>143.65353599999995</v>
      </c>
      <c r="CV36" s="14">
        <f t="shared" si="41"/>
        <v>37.132720247116019</v>
      </c>
      <c r="CW36" s="22">
        <f t="shared" si="13"/>
        <v>314.86939629706029</v>
      </c>
      <c r="CX36" s="62">
        <f t="shared" si="14"/>
        <v>608.20272963039361</v>
      </c>
      <c r="CY36" s="62">
        <f ca="1">AVERAGE(OFFSET($CX$3,0,0,'Données projet'!$E$13+1,1))-AVERAGE(OFFSET($H$3,0,0,'Données projet'!$E$13+1,1))</f>
        <v>370.59298168107364</v>
      </c>
      <c r="CZ36" s="62">
        <f t="shared" si="42"/>
        <v>404.61777090709171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8.4</v>
      </c>
      <c r="DO36" s="13">
        <f>IF('Données projet'!$A$166&gt;35,DO35+DN36-DW35,IF(A36&lt;'Données projet'!$A$166,$DL$205^A36,IF(A36='Données projet'!$A$166,'Données projet'!$B$166,DO35+DN36-DW35)))</f>
        <v>136.20000000000002</v>
      </c>
      <c r="DP36" s="18">
        <f>DO36*VLOOKUP('Données projet'!$B$14,Paramètres!$A$1:$I$89,3,0)*VLOOKUP('Données projet'!$B$14,Paramètres!$A$1:$I$89,5,0)</f>
        <v>118.98432000000004</v>
      </c>
      <c r="DQ36" s="14">
        <f t="shared" si="43"/>
        <v>31.437991550787316</v>
      </c>
      <c r="DR36" s="22">
        <f t="shared" si="16"/>
        <v>261.98552595095464</v>
      </c>
      <c r="DS36" s="62">
        <f t="shared" si="17"/>
        <v>555.31885928428801</v>
      </c>
      <c r="DT36" s="62">
        <f ca="1">AVERAGE(OFFSET($DS$3,0,0,'Données projet'!$E$14+1,1))-AVERAGE(OFFSET($H$3,0,0,'Données projet'!$E$14+1,1))</f>
        <v>341.65872153228599</v>
      </c>
      <c r="DU36" s="62">
        <f t="shared" si="44"/>
        <v>339.49697153894937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7.6923076923076881</v>
      </c>
      <c r="EJ36" s="13">
        <f>IF('Données projet'!$A$192&gt;35,EJ35+EI36-ER35,IF(A36&lt;'Données projet'!$A$192,$EG$205^A36,IF(A36='Données projet'!$A$192,'Données projet'!$B$192,EJ35+EI36-ER35)))</f>
        <v>139.74358974358978</v>
      </c>
      <c r="EK36" s="18">
        <f>EJ36*VLOOKUP('Données projet'!$B$15,Paramètres!$A$1:$I$89,3,0)*VLOOKUP('Données projet'!$B$15,Paramètres!$A$1:$I$89,5,0)</f>
        <v>93.740000000000023</v>
      </c>
      <c r="EL36" s="14">
        <f t="shared" si="45"/>
        <v>25.465074435109123</v>
      </c>
      <c r="EM36" s="22">
        <f t="shared" si="19"/>
        <v>207.61550464114839</v>
      </c>
      <c r="EN36" s="62">
        <f t="shared" si="20"/>
        <v>500.94883797448171</v>
      </c>
      <c r="EO36" s="62">
        <f ca="1">AVERAGE(OFFSET($EN$3,0,0,'Données projet'!$E$15+1,1))-AVERAGE(OFFSET($H$3,0,0,'Données projet'!$E$15+1,1))</f>
        <v>312.06797204903796</v>
      </c>
      <c r="EP36" s="62">
        <f t="shared" si="46"/>
        <v>258.20189001775151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8</v>
      </c>
      <c r="FE36" s="13">
        <f>IF('Données projet'!$A$218&gt;35,FE35+FD36-FM35,IF(A36&lt;'Données projet'!$A$218,$FB$205^A36,IF(A36='Données projet'!$A$218,'Données projet'!$B$218,FE35+FD36-FM35)))</f>
        <v>100</v>
      </c>
      <c r="FF36" s="18">
        <f>FE36*VLOOKUP('Données projet'!$B$16,Paramètres!$A$1:$I$89,3,0)*VLOOKUP('Données projet'!$B$16,Paramètres!$A$1:$I$89,5,0)</f>
        <v>96.72</v>
      </c>
      <c r="FG36" s="14">
        <f t="shared" si="47"/>
        <v>26.179072558792139</v>
      </c>
      <c r="FH36" s="22">
        <f t="shared" si="22"/>
        <v>214.04921803989632</v>
      </c>
      <c r="FI36" s="62">
        <f t="shared" si="23"/>
        <v>507.3825513732296</v>
      </c>
      <c r="FJ36" s="62">
        <f ca="1">AVERAGE(OFFSET($FI$3,0,0,'Données projet'!$E$16+1,1))-AVERAGE(OFFSET($H$3,0,0,'Données projet'!$E$16+1,1))</f>
        <v>455.50822833641354</v>
      </c>
      <c r="FK36" s="62">
        <f t="shared" si="48"/>
        <v>261.14722581688039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18.100000000000001</v>
      </c>
      <c r="N37" s="14">
        <f>IF('Données projet'!$A$36&gt;35,N36+M37-V36,IF(A37&lt;'Données projet'!$A$36,$K$205^A37,IF(A37='Données projet'!$A$36,'Données projet'!$B$36,N36+M37-V36)))</f>
        <v>287.39230769230767</v>
      </c>
      <c r="O37" s="14">
        <f>N37*VLOOKUP('Données projet'!$B$9,Paramètres!$A$1:$I$89,3,0)*VLOOKUP('Données projet'!$B$9,Paramètres!$A$1:$I$89,5,0)</f>
        <v>160.6523</v>
      </c>
      <c r="P37" s="14">
        <f t="shared" si="33"/>
        <v>40.989608635643826</v>
      </c>
      <c r="Q37" s="22">
        <f t="shared" si="53"/>
        <v>351.19299087374634</v>
      </c>
      <c r="R37" s="62">
        <f t="shared" si="0"/>
        <v>644.5263242070796</v>
      </c>
      <c r="S37" s="62">
        <f ca="1">AVERAGE(OFFSET($R$3,0,0,'Données projet'!$E$9+1,1))-AVERAGE(OFFSET($H$3,0,0,'Données projet'!$E$9+1,1))</f>
        <v>323.98185264074681</v>
      </c>
      <c r="T37" s="62">
        <f t="shared" si="34"/>
        <v>301.22207291854005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4.1224688466743835</v>
      </c>
      <c r="AA37" s="23">
        <f>EXP(-LN(2)/25)*AA36+(1-EXP(-LN(2)/25))/(LN(2)/25)*Calculateur!V37*Calculateur!X37*VLOOKUP('Données projet'!$B$9,Paramètres!$A$1:$I$89,3,0)*0.475*44/12</f>
        <v>7.3815399462234259</v>
      </c>
      <c r="AB37" s="23">
        <f>EXP(-LN(2)/2)*AB36+(1-EXP(-LN(2)/2))/(LN(2)/2)*V37*Y37*VLOOKUP('Données projet'!$B$9,Paramètres!$A$1:$I$89,3,0)*0.475*44/12</f>
        <v>1.5219517949045052</v>
      </c>
      <c r="AC37" s="24">
        <f t="shared" si="3"/>
        <v>13.025960587802315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13.753846153846149</v>
      </c>
      <c r="AI37" s="14">
        <f>IF('Données projet'!$A$62&gt;35,AI36+AH37-AQ36,IF(A37&lt;'Données projet'!$A$62,$AF$205^A37,IF(A37='Données projet'!$A$62,'Données projet'!$B$62,AI36+AH37-AQ36)))</f>
        <v>213.75384615384615</v>
      </c>
      <c r="AJ37" s="14">
        <f>AI37*VLOOKUP('Données projet'!$B$10,Paramètres!$A$1:$I$89,3,0)*VLOOKUP('Données projet'!$B$10,Paramètres!$A$1:$I$89,5,0)</f>
        <v>100.0368</v>
      </c>
      <c r="AK37" s="14">
        <f t="shared" si="35"/>
        <v>26.970764453147012</v>
      </c>
      <c r="AL37" s="22">
        <f t="shared" si="4"/>
        <v>221.20484142256439</v>
      </c>
      <c r="AM37" s="62">
        <f t="shared" si="5"/>
        <v>514.53817475589767</v>
      </c>
      <c r="AN37" s="62">
        <f ca="1">AVERAGE(OFFSET($AM$3,0,0,'Données projet'!$E$10+1,1))-AVERAGE(OFFSET($H$3,0,0,'Données projet'!$E$10+1,1))</f>
        <v>276.78862011733338</v>
      </c>
      <c r="AO37" s="62">
        <f t="shared" si="36"/>
        <v>202.1678469635836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97.718399999999988</v>
      </c>
      <c r="BF37" s="14">
        <f t="shared" si="37"/>
        <v>26.417709819192194</v>
      </c>
      <c r="BG37" s="22">
        <f t="shared" si="7"/>
        <v>216.20372460175972</v>
      </c>
      <c r="BH37" s="62">
        <f t="shared" si="8"/>
        <v>509.537057935093</v>
      </c>
      <c r="BI37" s="62">
        <f ca="1">AVERAGE(OFFSET($BH$3,0,0,'Données projet'!$E$11+1,1))-AVERAGE(OFFSET($H$3,0,0,'Données projet'!$E$11+1,1))</f>
        <v>428.8489304403459</v>
      </c>
      <c r="BJ37" s="62">
        <f t="shared" si="38"/>
        <v>247.01165577562966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12.74038461538462</v>
      </c>
      <c r="BY37" s="13">
        <f>IF('Données projet'!$A$114&gt;35,BY36+BX37-CG36,IF(A37&lt;'Données projet'!$A$114,$BV$205^A37,IF(A37='Données projet'!$A$114,'Données projet'!$B$114,BY36+BX37-CG36)))</f>
        <v>153.63269230769228</v>
      </c>
      <c r="BZ37" s="14">
        <f>BY37*VLOOKUP('Données projet'!$B$12,Paramètres!$A$1:$I$89,3,0)*VLOOKUP('Données projet'!$B$12,Paramètres!$A$1:$I$89,5,0)</f>
        <v>91.872349999999997</v>
      </c>
      <c r="CA37" s="14">
        <f t="shared" si="39"/>
        <v>25.016248165039102</v>
      </c>
      <c r="CB37" s="22">
        <f t="shared" si="10"/>
        <v>203.58097513744312</v>
      </c>
      <c r="CC37" s="62">
        <f t="shared" si="11"/>
        <v>496.9143084707764</v>
      </c>
      <c r="CD37" s="62">
        <f ca="1">AVERAGE(OFFSET($CC$3,0,0,'Données projet'!$E$12+1,1))-AVERAGE(OFFSET($H$3,0,0,'Données projet'!$E$12+1,1))</f>
        <v>289.12367833861299</v>
      </c>
      <c r="CE37" s="62">
        <f t="shared" si="40"/>
        <v>229.06617320689003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1.0367087695063624</v>
      </c>
      <c r="CN37" s="24">
        <f t="shared" si="12"/>
        <v>1.0367087695063624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12.919999999999998</v>
      </c>
      <c r="CT37" s="13">
        <f>IF('Données projet'!$A$140&gt;35,CT36+CS37-DB36,IF(A37&lt;'Données projet'!$A$140,$CQ$205^A37,IF(A37='Données projet'!$A$140,'Données projet'!$B$140,CT36+CS37-DB36)))</f>
        <v>193.4799999999999</v>
      </c>
      <c r="CU37" s="18">
        <f>CT37*VLOOKUP('Données projet'!$B$13,Paramètres!$A$1:$I$89,3,0)*VLOOKUP('Données projet'!$B$13,Paramètres!$A$1:$I$89,5,0)</f>
        <v>153.93268799999993</v>
      </c>
      <c r="CV37" s="14">
        <f t="shared" si="41"/>
        <v>39.470952496040077</v>
      </c>
      <c r="CW37" s="22">
        <f t="shared" si="13"/>
        <v>336.84467386393629</v>
      </c>
      <c r="CX37" s="62">
        <f t="shared" si="14"/>
        <v>630.17800719726961</v>
      </c>
      <c r="CY37" s="62">
        <f ca="1">AVERAGE(OFFSET($CX$3,0,0,'Données projet'!$E$13+1,1))-AVERAGE(OFFSET($H$3,0,0,'Données projet'!$E$13+1,1))</f>
        <v>370.59298168107364</v>
      </c>
      <c r="CZ37" s="62">
        <f t="shared" si="42"/>
        <v>404.61777090709171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8.4</v>
      </c>
      <c r="DO37" s="13">
        <f>IF('Données projet'!$A$166&gt;35,DO36+DN37-DW36,IF(A37&lt;'Données projet'!$A$166,$DL$205^A37,IF(A37='Données projet'!$A$166,'Données projet'!$B$166,DO36+DN37-DW36)))</f>
        <v>144.60000000000002</v>
      </c>
      <c r="DP37" s="18">
        <f>DO37*VLOOKUP('Données projet'!$B$14,Paramètres!$A$1:$I$89,3,0)*VLOOKUP('Données projet'!$B$14,Paramètres!$A$1:$I$89,5,0)</f>
        <v>126.32256000000005</v>
      </c>
      <c r="DQ37" s="14">
        <f t="shared" si="43"/>
        <v>33.145196976032764</v>
      </c>
      <c r="DR37" s="22">
        <f t="shared" si="16"/>
        <v>277.73967673325717</v>
      </c>
      <c r="DS37" s="62">
        <f t="shared" si="17"/>
        <v>571.07301006659054</v>
      </c>
      <c r="DT37" s="62">
        <f ca="1">AVERAGE(OFFSET($DS$3,0,0,'Données projet'!$E$14+1,1))-AVERAGE(OFFSET($H$3,0,0,'Données projet'!$E$14+1,1))</f>
        <v>341.65872153228599</v>
      </c>
      <c r="DU37" s="62">
        <f t="shared" si="44"/>
        <v>339.49697153894937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7.6923076923076881</v>
      </c>
      <c r="EJ37" s="13">
        <f>IF('Données projet'!$A$192&gt;35,EJ36+EI37-ER36,IF(A37&lt;'Données projet'!$A$192,$EG$205^A37,IF(A37='Données projet'!$A$192,'Données projet'!$B$192,EJ36+EI37-ER36)))</f>
        <v>147.43589743589746</v>
      </c>
      <c r="EK37" s="18">
        <f>EJ37*VLOOKUP('Données projet'!$B$15,Paramètres!$A$1:$I$89,3,0)*VLOOKUP('Données projet'!$B$15,Paramètres!$A$1:$I$89,5,0)</f>
        <v>98.90000000000002</v>
      </c>
      <c r="EL37" s="14">
        <f t="shared" si="45"/>
        <v>26.699769255487553</v>
      </c>
      <c r="EM37" s="22">
        <f t="shared" si="19"/>
        <v>218.7529314533075</v>
      </c>
      <c r="EN37" s="62">
        <f t="shared" si="20"/>
        <v>512.08626478664087</v>
      </c>
      <c r="EO37" s="62">
        <f ca="1">AVERAGE(OFFSET($EN$3,0,0,'Données projet'!$E$15+1,1))-AVERAGE(OFFSET($H$3,0,0,'Données projet'!$E$15+1,1))</f>
        <v>312.06797204903796</v>
      </c>
      <c r="EP37" s="62">
        <f t="shared" si="46"/>
        <v>258.20189001775151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8</v>
      </c>
      <c r="FE37" s="13">
        <f>IF('Données projet'!$A$218&gt;35,FE36+FD37-FM36,IF(A37&lt;'Données projet'!$A$218,$FB$205^A37,IF(A37='Données projet'!$A$218,'Données projet'!$B$218,FE36+FD37-FM36)))</f>
        <v>108</v>
      </c>
      <c r="FF37" s="18">
        <f>FE37*VLOOKUP('Données projet'!$B$16,Paramètres!$A$1:$I$89,3,0)*VLOOKUP('Données projet'!$B$16,Paramètres!$A$1:$I$89,5,0)</f>
        <v>104.4576</v>
      </c>
      <c r="FG37" s="14">
        <f t="shared" si="47"/>
        <v>28.021248860498272</v>
      </c>
      <c r="FH37" s="22">
        <f t="shared" si="22"/>
        <v>230.73399509870114</v>
      </c>
      <c r="FI37" s="62">
        <f t="shared" si="23"/>
        <v>524.0673284320344</v>
      </c>
      <c r="FJ37" s="62">
        <f ca="1">AVERAGE(OFFSET($FI$3,0,0,'Données projet'!$E$16+1,1))-AVERAGE(OFFSET($H$3,0,0,'Données projet'!$E$16+1,1))</f>
        <v>455.50822833641354</v>
      </c>
      <c r="FK37" s="62">
        <f t="shared" si="48"/>
        <v>261.14722581688039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305.49230769230769</v>
      </c>
      <c r="L38" s="13">
        <f>VLOOKUP(A38,'Données projet'!$A$35:$I$55,9,0)</f>
        <v>18.100000000000001</v>
      </c>
      <c r="M38" s="13">
        <f t="array" ref="M38">INDEX(L:L,MIN(IF(ISNUMBER(L38:L234),ROW(L38:L234),"")))</f>
        <v>18.100000000000001</v>
      </c>
      <c r="N38" s="14">
        <f>IF('Données projet'!$A$36&gt;35,N37+M38-V37,IF(A38&lt;'Données projet'!$A$36,$K$205^A38,IF(A38='Données projet'!$A$36,'Données projet'!$B$36,N37+M38-V37)))</f>
        <v>305.49230769230769</v>
      </c>
      <c r="O38" s="14">
        <f>N38*VLOOKUP('Données projet'!$B$9,Paramètres!$A$1:$I$89,3,0)*VLOOKUP('Données projet'!$B$9,Paramètres!$A$1:$I$89,5,0)</f>
        <v>170.77019999999999</v>
      </c>
      <c r="P38" s="14">
        <f t="shared" si="33"/>
        <v>43.26247735598961</v>
      </c>
      <c r="Q38" s="22">
        <f t="shared" si="53"/>
        <v>372.77357972834852</v>
      </c>
      <c r="R38" s="62">
        <f t="shared" si="0"/>
        <v>666.10691306168178</v>
      </c>
      <c r="S38" s="62">
        <f ca="1">AVERAGE(OFFSET($R$3,0,0,'Données projet'!$E$9+1,1))-AVERAGE(OFFSET($H$3,0,0,'Données projet'!$E$9+1,1))</f>
        <v>323.98185264074681</v>
      </c>
      <c r="T38" s="62">
        <f t="shared" si="34"/>
        <v>301.22207291854005</v>
      </c>
      <c r="U38" s="16">
        <f>IF(ISNA(VLOOKUP(A38,'Données projet'!$A$35:$I$55,3,0)),0,VLOOKUP(A38,'Données projet'!$A$35:$I$55,3,0))</f>
        <v>3</v>
      </c>
      <c r="V38" s="16">
        <f>IF(ISNA(VLOOKUP(A38,'Données projet'!$A$35:$I$55,4,0)),0,VLOOKUP(A38,'Données projet'!$A$35:$I$55,4,0))</f>
        <v>70.5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4.0416297470488134</v>
      </c>
      <c r="AA38" s="23">
        <f>EXP(-LN(2)/25)*AA37+(1-EXP(-LN(2)/25))/(LN(2)/25)*Calculateur!V38*Calculateur!X38*VLOOKUP('Données projet'!$B$9,Paramètres!$A$1:$I$89,3,0)*0.475*44/12</f>
        <v>7.1796913482156315</v>
      </c>
      <c r="AB38" s="23">
        <f>EXP(-LN(2)/2)*AB37+(1-EXP(-LN(2)/2))/(LN(2)/2)*V38*Y38*VLOOKUP('Données projet'!$B$9,Paramètres!$A$1:$I$89,3,0)*0.475*44/12</f>
        <v>1.0761824348160132</v>
      </c>
      <c r="AC38" s="24">
        <f t="shared" si="3"/>
        <v>12.297503530080458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13.753846153846149</v>
      </c>
      <c r="AI38" s="14">
        <f>IF('Données projet'!$A$62&gt;35,AI37+AH38-AQ37,IF(A38&lt;'Données projet'!$A$62,$AF$205^A38,IF(A38='Données projet'!$A$62,'Données projet'!$B$62,AI37+AH38-AQ37)))</f>
        <v>227.50769230769231</v>
      </c>
      <c r="AJ38" s="14">
        <f>AI38*VLOOKUP('Données projet'!$B$10,Paramètres!$A$1:$I$89,3,0)*VLOOKUP('Données projet'!$B$10,Paramètres!$A$1:$I$89,5,0)</f>
        <v>106.47359999999999</v>
      </c>
      <c r="AK38" s="14">
        <f t="shared" si="35"/>
        <v>28.498568230500929</v>
      </c>
      <c r="AL38" s="22">
        <f t="shared" si="4"/>
        <v>235.07652633478912</v>
      </c>
      <c r="AM38" s="62">
        <f t="shared" si="5"/>
        <v>528.40985966812241</v>
      </c>
      <c r="AN38" s="62">
        <f ca="1">AVERAGE(OFFSET($AM$3,0,0,'Données projet'!$E$10+1,1))-AVERAGE(OFFSET($H$3,0,0,'Données projet'!$E$10+1,1))</f>
        <v>276.78862011733338</v>
      </c>
      <c r="AO38" s="62">
        <f t="shared" si="36"/>
        <v>202.1678469635836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104.9568</v>
      </c>
      <c r="BF38" s="14">
        <f t="shared" si="37"/>
        <v>28.139541339232373</v>
      </c>
      <c r="BG38" s="22">
        <f t="shared" si="7"/>
        <v>231.8094611658297</v>
      </c>
      <c r="BH38" s="62">
        <f t="shared" si="8"/>
        <v>525.14279449916307</v>
      </c>
      <c r="BI38" s="62">
        <f ca="1">AVERAGE(OFFSET($BH$3,0,0,'Données projet'!$E$11+1,1))-AVERAGE(OFFSET($H$3,0,0,'Données projet'!$E$11+1,1))</f>
        <v>428.8489304403459</v>
      </c>
      <c r="BJ38" s="62">
        <f t="shared" si="38"/>
        <v>247.01165577562966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12.74038461538462</v>
      </c>
      <c r="BY38" s="13">
        <f>IF('Données projet'!$A$114&gt;35,BY37+BX38-CG37,IF(A38&lt;'Données projet'!$A$114,$BV$205^A38,IF(A38='Données projet'!$A$114,'Données projet'!$B$114,BY37+BX38-CG37)))</f>
        <v>166.37307692307689</v>
      </c>
      <c r="BZ38" s="14">
        <f>BY38*VLOOKUP('Données projet'!$B$12,Paramètres!$A$1:$I$89,3,0)*VLOOKUP('Données projet'!$B$12,Paramètres!$A$1:$I$89,5,0)</f>
        <v>99.491099999999989</v>
      </c>
      <c r="CA38" s="14">
        <f t="shared" si="39"/>
        <v>26.84072316435665</v>
      </c>
      <c r="CB38" s="22">
        <f t="shared" si="10"/>
        <v>220.02792534458783</v>
      </c>
      <c r="CC38" s="62">
        <f t="shared" si="11"/>
        <v>513.36125867792111</v>
      </c>
      <c r="CD38" s="62">
        <f ca="1">AVERAGE(OFFSET($CC$3,0,0,'Données projet'!$E$12+1,1))-AVERAGE(OFFSET($H$3,0,0,'Données projet'!$E$12+1,1))</f>
        <v>289.12367833861299</v>
      </c>
      <c r="CE38" s="62">
        <f t="shared" si="40"/>
        <v>229.06617320689003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0.73306380103351032</v>
      </c>
      <c r="CN38" s="24">
        <f t="shared" si="12"/>
        <v>0.73306380103351032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206.4</v>
      </c>
      <c r="CR38" s="13">
        <f>VLOOKUP(A38,'Données projet'!$A$139:$I$159,9,0)</f>
        <v>12.919999999999998</v>
      </c>
      <c r="CS38" s="13">
        <f t="array" ref="CS38">INDEX(CR:CR,MIN(IF(ISNUMBER(CR38:CR234),ROW(CR38:CR234),"")))</f>
        <v>12.919999999999998</v>
      </c>
      <c r="CT38" s="13">
        <f>IF('Données projet'!$A$140&gt;35,CT37+CS38-DB37,IF(A38&lt;'Données projet'!$A$140,$CQ$205^A38,IF(A38='Données projet'!$A$140,'Données projet'!$B$140,CT37+CS38-DB37)))</f>
        <v>206.39999999999989</v>
      </c>
      <c r="CU38" s="18">
        <f>CT38*VLOOKUP('Données projet'!$B$13,Paramètres!$A$1:$I$89,3,0)*VLOOKUP('Données projet'!$B$13,Paramètres!$A$1:$I$89,5,0)</f>
        <v>164.21183999999994</v>
      </c>
      <c r="CV38" s="14">
        <f t="shared" si="41"/>
        <v>41.79106629541738</v>
      </c>
      <c r="CW38" s="22">
        <f t="shared" si="13"/>
        <v>358.78839513118515</v>
      </c>
      <c r="CX38" s="62">
        <f t="shared" si="14"/>
        <v>652.12172846451847</v>
      </c>
      <c r="CY38" s="62">
        <f ca="1">AVERAGE(OFFSET($CX$3,0,0,'Données projet'!$E$13+1,1))-AVERAGE(OFFSET($H$3,0,0,'Données projet'!$E$13+1,1))</f>
        <v>370.59298168107364</v>
      </c>
      <c r="CZ38" s="62">
        <f t="shared" si="42"/>
        <v>404.61777090709171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153</v>
      </c>
      <c r="DM38" s="13">
        <f>VLOOKUP(A38,'Données projet'!$A$165:$I$185,9,0)</f>
        <v>8.4</v>
      </c>
      <c r="DN38" s="13">
        <f t="array" ref="DN38">INDEX(DM:DM,MIN(IF(ISNUMBER(DM38:DM234),ROW(DM38:DM234),"")))</f>
        <v>8.4</v>
      </c>
      <c r="DO38" s="13">
        <f>IF('Données projet'!$A$166&gt;35,DO37+DN38-DW37,IF(A38&lt;'Données projet'!$A$166,$DL$205^A38,IF(A38='Données projet'!$A$166,'Données projet'!$B$166,DO37+DN38-DW37)))</f>
        <v>153.00000000000003</v>
      </c>
      <c r="DP38" s="18">
        <f>DO38*VLOOKUP('Données projet'!$B$14,Paramètres!$A$1:$I$89,3,0)*VLOOKUP('Données projet'!$B$14,Paramètres!$A$1:$I$89,5,0)</f>
        <v>133.66080000000005</v>
      </c>
      <c r="DQ38" s="14">
        <f t="shared" si="43"/>
        <v>34.840890682716747</v>
      </c>
      <c r="DR38" s="22">
        <f t="shared" si="16"/>
        <v>293.47377793906509</v>
      </c>
      <c r="DS38" s="62">
        <f t="shared" si="17"/>
        <v>586.8071112723984</v>
      </c>
      <c r="DT38" s="62">
        <f ca="1">AVERAGE(OFFSET($DS$3,0,0,'Données projet'!$E$14+1,1))-AVERAGE(OFFSET($H$3,0,0,'Données projet'!$E$14+1,1))</f>
        <v>341.65872153228599</v>
      </c>
      <c r="DU38" s="62">
        <f t="shared" si="44"/>
        <v>339.49697153894937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155.12820512820511</v>
      </c>
      <c r="EH38" s="13">
        <f>VLOOKUP(A38,'Données projet'!$A$191:$I$211,9,0)</f>
        <v>7.6923076923076881</v>
      </c>
      <c r="EI38" s="13">
        <f t="array" ref="EI38">INDEX(EH:EH,MIN(IF(ISNUMBER(EH38:EH234),ROW(EH38:EH234),"")))</f>
        <v>7.6923076923076881</v>
      </c>
      <c r="EJ38" s="13">
        <f>IF('Données projet'!$A$192&gt;35,EJ37+EI38-ER37,IF(A38&lt;'Données projet'!$A$192,$EG$205^A38,IF(A38='Données projet'!$A$192,'Données projet'!$B$192,EJ37+EI38-ER37)))</f>
        <v>155.12820512820514</v>
      </c>
      <c r="EK38" s="18">
        <f>EJ38*VLOOKUP('Données projet'!$B$15,Paramètres!$A$1:$I$89,3,0)*VLOOKUP('Données projet'!$B$15,Paramètres!$A$1:$I$89,5,0)</f>
        <v>104.06</v>
      </c>
      <c r="EL38" s="14">
        <f t="shared" si="45"/>
        <v>27.926984861261673</v>
      </c>
      <c r="EM38" s="22">
        <f t="shared" si="19"/>
        <v>229.8773319666974</v>
      </c>
      <c r="EN38" s="62">
        <f t="shared" si="20"/>
        <v>523.21066530003077</v>
      </c>
      <c r="EO38" s="62">
        <f ca="1">AVERAGE(OFFSET($EN$3,0,0,'Données projet'!$E$15+1,1))-AVERAGE(OFFSET($H$3,0,0,'Données projet'!$E$15+1,1))</f>
        <v>312.06797204903796</v>
      </c>
      <c r="EP38" s="62">
        <f t="shared" si="46"/>
        <v>258.20189001775151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116</v>
      </c>
      <c r="FC38" s="13">
        <f>VLOOKUP(A38,'Données projet'!$A$217:$I$237,9,0)</f>
        <v>8</v>
      </c>
      <c r="FD38" s="13">
        <f t="array" ref="FD38">INDEX(FC:FC,MIN(IF(ISNUMBER(FC38:FC234),ROW(FC38:FC234),"")))</f>
        <v>8</v>
      </c>
      <c r="FE38" s="13">
        <f>IF('Données projet'!$A$218&gt;35,FE37+FD38-FM37,IF(A38&lt;'Données projet'!$A$218,$FB$205^A38,IF(A38='Données projet'!$A$218,'Données projet'!$B$218,FE37+FD38-FM37)))</f>
        <v>116</v>
      </c>
      <c r="FF38" s="18">
        <f>FE38*VLOOKUP('Données projet'!$B$16,Paramètres!$A$1:$I$89,3,0)*VLOOKUP('Données projet'!$B$16,Paramètres!$A$1:$I$89,5,0)</f>
        <v>112.1952</v>
      </c>
      <c r="FG38" s="14">
        <f t="shared" si="47"/>
        <v>29.847594514573263</v>
      </c>
      <c r="FH38" s="22">
        <f t="shared" si="22"/>
        <v>247.39120044621509</v>
      </c>
      <c r="FI38" s="62">
        <f t="shared" si="23"/>
        <v>540.72453377954844</v>
      </c>
      <c r="FJ38" s="62">
        <f ca="1">AVERAGE(OFFSET($FI$3,0,0,'Données projet'!$E$16+1,1))-AVERAGE(OFFSET($H$3,0,0,'Données projet'!$E$16+1,1))</f>
        <v>455.50822833641354</v>
      </c>
      <c r="FK38" s="62">
        <f t="shared" si="48"/>
        <v>261.14722581688039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18.229670329670324</v>
      </c>
      <c r="N39" s="14">
        <f>IF('Données projet'!$A$36&gt;35,N38+M39-V38,IF(A39&lt;'Données projet'!$A$36,$K$205^A39,IF(A39='Données projet'!$A$36,'Données projet'!$B$36,N38+M39-V38)))</f>
        <v>253.22197802197803</v>
      </c>
      <c r="O39" s="14">
        <f>N39*VLOOKUP('Données projet'!$B$9,Paramètres!$A$1:$I$89,3,0)*VLOOKUP('Données projet'!$B$9,Paramètres!$A$1:$I$89,5,0)</f>
        <v>141.55108571428573</v>
      </c>
      <c r="P39" s="14">
        <f t="shared" si="33"/>
        <v>36.652109269178766</v>
      </c>
      <c r="Q39" s="22">
        <f t="shared" si="53"/>
        <v>310.37056459620067</v>
      </c>
      <c r="R39" s="62">
        <f t="shared" si="0"/>
        <v>603.70389792953392</v>
      </c>
      <c r="S39" s="62">
        <f ca="1">AVERAGE(OFFSET($R$3,0,0,'Données projet'!$E$9+1,1))-AVERAGE(OFFSET($H$3,0,0,'Données projet'!$E$9+1,1))</f>
        <v>323.98185264074681</v>
      </c>
      <c r="T39" s="62">
        <f t="shared" si="34"/>
        <v>301.22207291854005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3.9623758528599184</v>
      </c>
      <c r="AA39" s="23">
        <f>EXP(-LN(2)/25)*AA38+(1-EXP(-LN(2)/25))/(LN(2)/25)*Calculateur!V39*Calculateur!X39*VLOOKUP('Données projet'!$B$9,Paramètres!$A$1:$I$89,3,0)*0.475*44/12</f>
        <v>6.9833623107351164</v>
      </c>
      <c r="AB39" s="23">
        <f>EXP(-LN(2)/2)*AB38+(1-EXP(-LN(2)/2))/(LN(2)/2)*V39*Y39*VLOOKUP('Données projet'!$B$9,Paramètres!$A$1:$I$89,3,0)*0.475*44/12</f>
        <v>0.76097589745225258</v>
      </c>
      <c r="AC39" s="24">
        <f t="shared" si="3"/>
        <v>11.706714061047288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>
        <f>VLOOKUP(A39,'Données projet'!$A$61:$I$81,2,0)</f>
        <v>241.26153846153844</v>
      </c>
      <c r="AG39" s="13">
        <f>VLOOKUP(A39,'Données projet'!$A$61:$I$81,9,0)</f>
        <v>13.753846153846149</v>
      </c>
      <c r="AH39" s="13">
        <f t="array" ref="AH39">INDEX(AG:AG,MIN(IF(ISNUMBER(AG39:AG235),ROW(AG39:AG235),"")))</f>
        <v>13.753846153846149</v>
      </c>
      <c r="AI39" s="14">
        <f>IF('Données projet'!$A$62&gt;35,AI38+AH39-AQ38,IF(A39&lt;'Données projet'!$A$62,$AF$205^A39,IF(A39='Données projet'!$A$62,'Données projet'!$B$62,AI38+AH39-AQ38)))</f>
        <v>241.26153846153846</v>
      </c>
      <c r="AJ39" s="14">
        <f>AI39*VLOOKUP('Données projet'!$B$10,Paramètres!$A$1:$I$89,3,0)*VLOOKUP('Données projet'!$B$10,Paramètres!$A$1:$I$89,5,0)</f>
        <v>112.91040000000001</v>
      </c>
      <c r="AK39" s="14">
        <f t="shared" si="35"/>
        <v>30.015651859912975</v>
      </c>
      <c r="AL39" s="22">
        <f t="shared" si="4"/>
        <v>248.92954032268176</v>
      </c>
      <c r="AM39" s="62">
        <f t="shared" si="5"/>
        <v>542.26287365601502</v>
      </c>
      <c r="AN39" s="62">
        <f ca="1">AVERAGE(OFFSET($AM$3,0,0,'Données projet'!$E$10+1,1))-AVERAGE(OFFSET($H$3,0,0,'Données projet'!$E$10+1,1))</f>
        <v>276.78862011733338</v>
      </c>
      <c r="AO39" s="62">
        <f t="shared" si="36"/>
        <v>202.1678469635836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112.55712000000001</v>
      </c>
      <c r="BF39" s="14">
        <f t="shared" si="37"/>
        <v>29.932653834140599</v>
      </c>
      <c r="BG39" s="22">
        <f t="shared" si="7"/>
        <v>248.16968942779488</v>
      </c>
      <c r="BH39" s="62">
        <f t="shared" si="8"/>
        <v>541.50302276112825</v>
      </c>
      <c r="BI39" s="62">
        <f ca="1">AVERAGE(OFFSET($BH$3,0,0,'Données projet'!$E$11+1,1))-AVERAGE(OFFSET($H$3,0,0,'Données projet'!$E$11+1,1))</f>
        <v>428.8489304403459</v>
      </c>
      <c r="BJ39" s="62">
        <f t="shared" si="38"/>
        <v>247.01165577562966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12.74038461538462</v>
      </c>
      <c r="BY39" s="13">
        <f>IF('Données projet'!$A$114&gt;35,BY38+BX39-CG38,IF(A39&lt;'Données projet'!$A$114,$BV$205^A39,IF(A39='Données projet'!$A$114,'Données projet'!$B$114,BY38+BX39-CG38)))</f>
        <v>179.11346153846151</v>
      </c>
      <c r="BZ39" s="14">
        <f>BY39*VLOOKUP('Données projet'!$B$12,Paramètres!$A$1:$I$89,3,0)*VLOOKUP('Données projet'!$B$12,Paramètres!$A$1:$I$89,5,0)</f>
        <v>107.10984999999999</v>
      </c>
      <c r="CA39" s="14">
        <f t="shared" si="39"/>
        <v>28.648991101707331</v>
      </c>
      <c r="CB39" s="22">
        <f t="shared" si="10"/>
        <v>236.44664825214025</v>
      </c>
      <c r="CC39" s="62">
        <f t="shared" si="11"/>
        <v>529.77998158547359</v>
      </c>
      <c r="CD39" s="62">
        <f ca="1">AVERAGE(OFFSET($CC$3,0,0,'Données projet'!$E$12+1,1))-AVERAGE(OFFSET($H$3,0,0,'Données projet'!$E$12+1,1))</f>
        <v>289.12367833861299</v>
      </c>
      <c r="CE39" s="62">
        <f t="shared" si="40"/>
        <v>229.06617320689003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0.51835438475318119</v>
      </c>
      <c r="CN39" s="24">
        <f t="shared" si="12"/>
        <v>0.51835438475318119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11.340000000000003</v>
      </c>
      <c r="CT39" s="13">
        <f>IF('Données projet'!$A$140&gt;35,CT38+CS39-DB38,IF(A39&lt;'Données projet'!$A$140,$CQ$205^A39,IF(A39='Données projet'!$A$140,'Données projet'!$B$140,CT38+CS39-DB38)))</f>
        <v>217.7399999999999</v>
      </c>
      <c r="CU39" s="18">
        <f>CT39*VLOOKUP('Données projet'!$B$13,Paramètres!$A$1:$I$89,3,0)*VLOOKUP('Données projet'!$B$13,Paramètres!$A$1:$I$89,5,0)</f>
        <v>173.23394399999992</v>
      </c>
      <c r="CV39" s="14">
        <f t="shared" si="41"/>
        <v>43.813523178063591</v>
      </c>
      <c r="CW39" s="22">
        <f t="shared" si="13"/>
        <v>378.02433866846064</v>
      </c>
      <c r="CX39" s="62">
        <f t="shared" si="14"/>
        <v>671.35767200179396</v>
      </c>
      <c r="CY39" s="62">
        <f ca="1">AVERAGE(OFFSET($CX$3,0,0,'Données projet'!$E$13+1,1))-AVERAGE(OFFSET($H$3,0,0,'Données projet'!$E$13+1,1))</f>
        <v>370.59298168107364</v>
      </c>
      <c r="CZ39" s="62">
        <f t="shared" si="42"/>
        <v>404.61777090709171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7.8</v>
      </c>
      <c r="DO39" s="13">
        <f>IF('Données projet'!$A$166&gt;35,DO38+DN39-DW38,IF(A39&lt;'Données projet'!$A$166,$DL$205^A39,IF(A39='Données projet'!$A$166,'Données projet'!$B$166,DO38+DN39-DW38)))</f>
        <v>160.80000000000004</v>
      </c>
      <c r="DP39" s="18">
        <f>DO39*VLOOKUP('Données projet'!$B$14,Paramètres!$A$1:$I$89,3,0)*VLOOKUP('Données projet'!$B$14,Paramètres!$A$1:$I$89,5,0)</f>
        <v>140.47488000000004</v>
      </c>
      <c r="DQ39" s="14">
        <f t="shared" si="43"/>
        <v>36.405772385199718</v>
      </c>
      <c r="DR39" s="22">
        <f t="shared" si="16"/>
        <v>308.06713623755627</v>
      </c>
      <c r="DS39" s="62">
        <f t="shared" si="17"/>
        <v>601.40046957088953</v>
      </c>
      <c r="DT39" s="62">
        <f ca="1">AVERAGE(OFFSET($DS$3,0,0,'Données projet'!$E$14+1,1))-AVERAGE(OFFSET($H$3,0,0,'Données projet'!$E$14+1,1))</f>
        <v>341.65872153228599</v>
      </c>
      <c r="DU39" s="62">
        <f t="shared" si="44"/>
        <v>339.49697153894937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7.1794871794871824</v>
      </c>
      <c r="EJ39" s="13">
        <f>IF('Données projet'!$A$192&gt;35,EJ38+EI39-ER38,IF(A39&lt;'Données projet'!$A$192,$EG$205^A39,IF(A39='Données projet'!$A$192,'Données projet'!$B$192,EJ38+EI39-ER38)))</f>
        <v>162.30769230769232</v>
      </c>
      <c r="EK39" s="18">
        <f>EJ39*VLOOKUP('Données projet'!$B$15,Paramètres!$A$1:$I$89,3,0)*VLOOKUP('Données projet'!$B$15,Paramètres!$A$1:$I$89,5,0)</f>
        <v>108.87600000000002</v>
      </c>
      <c r="EL39" s="14">
        <f t="shared" si="45"/>
        <v>29.066003313709242</v>
      </c>
      <c r="EM39" s="22">
        <f t="shared" si="19"/>
        <v>240.24898910471029</v>
      </c>
      <c r="EN39" s="62">
        <f t="shared" si="20"/>
        <v>533.58232243804355</v>
      </c>
      <c r="EO39" s="62">
        <f ca="1">AVERAGE(OFFSET($EN$3,0,0,'Données projet'!$E$15+1,1))-AVERAGE(OFFSET($H$3,0,0,'Données projet'!$E$15+1,1))</f>
        <v>312.06797204903796</v>
      </c>
      <c r="EP39" s="62">
        <f t="shared" si="46"/>
        <v>258.20189001775151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8.4</v>
      </c>
      <c r="FE39" s="13">
        <f>IF('Données projet'!$A$218&gt;35,FE38+FD39-FM38,IF(A39&lt;'Données projet'!$A$218,$FB$205^A39,IF(A39='Données projet'!$A$218,'Données projet'!$B$218,FE38+FD39-FM38)))</f>
        <v>124.4</v>
      </c>
      <c r="FF39" s="18">
        <f>FE39*VLOOKUP('Données projet'!$B$16,Paramètres!$A$1:$I$89,3,0)*VLOOKUP('Données projet'!$B$16,Paramètres!$A$1:$I$89,5,0)</f>
        <v>120.31968000000001</v>
      </c>
      <c r="FG39" s="14">
        <f t="shared" si="47"/>
        <v>31.74954785566829</v>
      </c>
      <c r="FH39" s="22">
        <f t="shared" si="22"/>
        <v>264.85390518195555</v>
      </c>
      <c r="FI39" s="62">
        <f t="shared" si="23"/>
        <v>558.18723851528887</v>
      </c>
      <c r="FJ39" s="62">
        <f ca="1">AVERAGE(OFFSET($FI$3,0,0,'Données projet'!$E$16+1,1))-AVERAGE(OFFSET($H$3,0,0,'Données projet'!$E$16+1,1))</f>
        <v>455.50822833641354</v>
      </c>
      <c r="FK39" s="62">
        <f t="shared" si="48"/>
        <v>261.14722581688039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18.229670329670324</v>
      </c>
      <c r="N40" s="14">
        <f>IF('Données projet'!$A$36&gt;35,N39+M40-V39,IF(A40&lt;'Données projet'!$A$36,$K$205^A40,IF(A40='Données projet'!$A$36,'Données projet'!$B$36,N39+M40-V39)))</f>
        <v>271.45164835164837</v>
      </c>
      <c r="O40" s="14">
        <f>N40*VLOOKUP('Données projet'!$B$9,Paramètres!$A$1:$I$89,3,0)*VLOOKUP('Données projet'!$B$9,Paramètres!$A$1:$I$89,5,0)</f>
        <v>151.74147142857143</v>
      </c>
      <c r="P40" s="14">
        <f t="shared" si="33"/>
        <v>38.974074991810518</v>
      </c>
      <c r="Q40" s="22">
        <f t="shared" si="53"/>
        <v>332.16291001549854</v>
      </c>
      <c r="R40" s="62">
        <f t="shared" si="0"/>
        <v>625.49624334883185</v>
      </c>
      <c r="S40" s="62">
        <f ca="1">AVERAGE(OFFSET($R$3,0,0,'Données projet'!$E$9+1,1))-AVERAGE(OFFSET($H$3,0,0,'Données projet'!$E$9+1,1))</f>
        <v>323.98185264074681</v>
      </c>
      <c r="T40" s="62">
        <f t="shared" si="34"/>
        <v>301.22207291854005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3.8846760791959656</v>
      </c>
      <c r="AA40" s="23">
        <f>EXP(-LN(2)/25)*AA39+(1-EXP(-LN(2)/25))/(LN(2)/25)*Calculateur!V40*Calculateur!X40*VLOOKUP('Données projet'!$B$9,Paramètres!$A$1:$I$89,3,0)*0.475*44/12</f>
        <v>6.7924019011090015</v>
      </c>
      <c r="AB40" s="23">
        <f>EXP(-LN(2)/2)*AB39+(1-EXP(-LN(2)/2))/(LN(2)/2)*V40*Y40*VLOOKUP('Données projet'!$B$9,Paramètres!$A$1:$I$89,3,0)*0.475*44/12</f>
        <v>0.53809121740800658</v>
      </c>
      <c r="AC40" s="24">
        <f t="shared" si="3"/>
        <v>11.215169197712973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15.626923076923072</v>
      </c>
      <c r="AI40" s="14">
        <f>IF('Données projet'!$A$62&gt;35,AI39+AH40-AQ39,IF(A40&lt;'Données projet'!$A$62,$AF$205^A40,IF(A40='Données projet'!$A$62,'Données projet'!$B$62,AI39+AH40-AQ39)))</f>
        <v>256.88846153846151</v>
      </c>
      <c r="AJ40" s="14">
        <f>AI40*VLOOKUP('Données projet'!$B$10,Paramètres!$A$1:$I$89,3,0)*VLOOKUP('Données projet'!$B$10,Paramètres!$A$1:$I$89,5,0)</f>
        <v>120.22379999999998</v>
      </c>
      <c r="AK40" s="14">
        <f t="shared" si="35"/>
        <v>31.727191307145876</v>
      </c>
      <c r="AL40" s="22">
        <f t="shared" si="4"/>
        <v>264.64797652661235</v>
      </c>
      <c r="AM40" s="62">
        <f t="shared" si="5"/>
        <v>557.98130985994567</v>
      </c>
      <c r="AN40" s="62">
        <f ca="1">AVERAGE(OFFSET($AM$3,0,0,'Données projet'!$E$10+1,1))-AVERAGE(OFFSET($H$3,0,0,'Données projet'!$E$10+1,1))</f>
        <v>276.78862011733338</v>
      </c>
      <c r="AO40" s="62">
        <f t="shared" si="36"/>
        <v>202.1678469635836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120.15744000000001</v>
      </c>
      <c r="BF40" s="14">
        <f t="shared" si="37"/>
        <v>31.711716786129845</v>
      </c>
      <c r="BG40" s="22">
        <f t="shared" si="7"/>
        <v>264.50544806917611</v>
      </c>
      <c r="BH40" s="62">
        <f t="shared" si="8"/>
        <v>557.83878140250943</v>
      </c>
      <c r="BI40" s="62">
        <f ca="1">AVERAGE(OFFSET($BH$3,0,0,'Données projet'!$E$11+1,1))-AVERAGE(OFFSET($H$3,0,0,'Données projet'!$E$11+1,1))</f>
        <v>428.8489304403459</v>
      </c>
      <c r="BJ40" s="62">
        <f t="shared" si="38"/>
        <v>247.01165577562966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12.74038461538462</v>
      </c>
      <c r="BY40" s="13">
        <f>IF('Données projet'!$A$114&gt;35,BY39+BX40-CG39,IF(A40&lt;'Données projet'!$A$114,$BV$205^A40,IF(A40='Données projet'!$A$114,'Données projet'!$B$114,BY39+BX40-CG39)))</f>
        <v>191.85384615384612</v>
      </c>
      <c r="BZ40" s="14">
        <f>BY40*VLOOKUP('Données projet'!$B$12,Paramètres!$A$1:$I$89,3,0)*VLOOKUP('Données projet'!$B$12,Paramètres!$A$1:$I$89,5,0)</f>
        <v>114.72859999999999</v>
      </c>
      <c r="CA40" s="14">
        <f t="shared" si="39"/>
        <v>30.442335906087649</v>
      </c>
      <c r="CB40" s="22">
        <f t="shared" si="10"/>
        <v>252.83938003643593</v>
      </c>
      <c r="CC40" s="62">
        <f t="shared" si="11"/>
        <v>546.17271336976921</v>
      </c>
      <c r="CD40" s="62">
        <f ca="1">AVERAGE(OFFSET($CC$3,0,0,'Données projet'!$E$12+1,1))-AVERAGE(OFFSET($H$3,0,0,'Données projet'!$E$12+1,1))</f>
        <v>289.12367833861299</v>
      </c>
      <c r="CE40" s="62">
        <f t="shared" si="40"/>
        <v>229.06617320689003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0.36653190051675516</v>
      </c>
      <c r="CN40" s="24">
        <f t="shared" si="12"/>
        <v>0.36653190051675516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11.340000000000003</v>
      </c>
      <c r="CT40" s="13">
        <f>IF('Données projet'!$A$140&gt;35,CT39+CS40-DB39,IF(A40&lt;'Données projet'!$A$140,$CQ$205^A40,IF(A40='Données projet'!$A$140,'Données projet'!$B$140,CT39+CS40-DB39)))</f>
        <v>229.0799999999999</v>
      </c>
      <c r="CU40" s="18">
        <f>CT40*VLOOKUP('Données projet'!$B$13,Paramètres!$A$1:$I$89,3,0)*VLOOKUP('Données projet'!$B$13,Paramètres!$A$1:$I$89,5,0)</f>
        <v>182.25604799999994</v>
      </c>
      <c r="CV40" s="14">
        <f t="shared" si="41"/>
        <v>45.823750842861273</v>
      </c>
      <c r="CW40" s="22">
        <f t="shared" si="13"/>
        <v>397.23898298464991</v>
      </c>
      <c r="CX40" s="62">
        <f t="shared" si="14"/>
        <v>690.57231631798322</v>
      </c>
      <c r="CY40" s="62">
        <f ca="1">AVERAGE(OFFSET($CX$3,0,0,'Données projet'!$E$13+1,1))-AVERAGE(OFFSET($H$3,0,0,'Données projet'!$E$13+1,1))</f>
        <v>370.59298168107364</v>
      </c>
      <c r="CZ40" s="62">
        <f t="shared" si="42"/>
        <v>404.61777090709171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7.8</v>
      </c>
      <c r="DO40" s="13">
        <f>IF('Données projet'!$A$166&gt;35,DO39+DN40-DW39,IF(A40&lt;'Données projet'!$A$166,$DL$205^A40,IF(A40='Données projet'!$A$166,'Données projet'!$B$166,DO39+DN40-DW39)))</f>
        <v>168.60000000000005</v>
      </c>
      <c r="DP40" s="18">
        <f>DO40*VLOOKUP('Données projet'!$B$14,Paramètres!$A$1:$I$89,3,0)*VLOOKUP('Données projet'!$B$14,Paramètres!$A$1:$I$89,5,0)</f>
        <v>147.28896000000006</v>
      </c>
      <c r="DQ40" s="14">
        <f t="shared" si="43"/>
        <v>37.961839593121944</v>
      </c>
      <c r="DR40" s="22">
        <f t="shared" si="16"/>
        <v>322.64514262468748</v>
      </c>
      <c r="DS40" s="62">
        <f t="shared" si="17"/>
        <v>615.97847595802079</v>
      </c>
      <c r="DT40" s="62">
        <f ca="1">AVERAGE(OFFSET($DS$3,0,0,'Données projet'!$E$14+1,1))-AVERAGE(OFFSET($H$3,0,0,'Données projet'!$E$14+1,1))</f>
        <v>341.65872153228599</v>
      </c>
      <c r="DU40" s="62">
        <f t="shared" si="44"/>
        <v>339.49697153894937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7.1794871794871824</v>
      </c>
      <c r="EJ40" s="13">
        <f>IF('Données projet'!$A$192&gt;35,EJ39+EI40-ER39,IF(A40&lt;'Données projet'!$A$192,$EG$205^A40,IF(A40='Données projet'!$A$192,'Données projet'!$B$192,EJ39+EI40-ER39)))</f>
        <v>169.4871794871795</v>
      </c>
      <c r="EK40" s="18">
        <f>EJ40*VLOOKUP('Données projet'!$B$15,Paramètres!$A$1:$I$89,3,0)*VLOOKUP('Données projet'!$B$15,Paramètres!$A$1:$I$89,5,0)</f>
        <v>113.69200000000001</v>
      </c>
      <c r="EL40" s="14">
        <f t="shared" si="45"/>
        <v>30.199170227619074</v>
      </c>
      <c r="EM40" s="22">
        <f t="shared" si="19"/>
        <v>250.61045481310325</v>
      </c>
      <c r="EN40" s="62">
        <f t="shared" si="20"/>
        <v>543.94378814643653</v>
      </c>
      <c r="EO40" s="62">
        <f ca="1">AVERAGE(OFFSET($EN$3,0,0,'Données projet'!$E$15+1,1))-AVERAGE(OFFSET($H$3,0,0,'Données projet'!$E$15+1,1))</f>
        <v>312.06797204903796</v>
      </c>
      <c r="EP40" s="62">
        <f t="shared" si="46"/>
        <v>258.20189001775151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8.4</v>
      </c>
      <c r="FE40" s="13">
        <f>IF('Données projet'!$A$218&gt;35,FE39+FD40-FM39,IF(A40&lt;'Données projet'!$A$218,$FB$205^A40,IF(A40='Données projet'!$A$218,'Données projet'!$B$218,FE39+FD40-FM39)))</f>
        <v>132.80000000000001</v>
      </c>
      <c r="FF40" s="18">
        <f>FE40*VLOOKUP('Données projet'!$B$16,Paramètres!$A$1:$I$89,3,0)*VLOOKUP('Données projet'!$B$16,Paramètres!$A$1:$I$89,5,0)</f>
        <v>128.44416000000001</v>
      </c>
      <c r="FG40" s="14">
        <f t="shared" si="47"/>
        <v>33.636598855068925</v>
      </c>
      <c r="FH40" s="22">
        <f t="shared" si="22"/>
        <v>282.29065500591173</v>
      </c>
      <c r="FI40" s="62">
        <f t="shared" si="23"/>
        <v>575.62398833924499</v>
      </c>
      <c r="FJ40" s="62">
        <f ca="1">AVERAGE(OFFSET($FI$3,0,0,'Données projet'!$E$16+1,1))-AVERAGE(OFFSET($H$3,0,0,'Données projet'!$E$16+1,1))</f>
        <v>455.50822833641354</v>
      </c>
      <c r="FK40" s="62">
        <f t="shared" si="48"/>
        <v>261.14722581688039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18.229670329670324</v>
      </c>
      <c r="N41" s="14">
        <f>IF('Données projet'!$A$36&gt;35,N40+M41-V40,IF(A41&lt;'Données projet'!$A$36,$K$205^A41,IF(A41='Données projet'!$A$36,'Données projet'!$B$36,N40+M41-V40)))</f>
        <v>289.68131868131871</v>
      </c>
      <c r="O41" s="14">
        <f>N41*VLOOKUP('Données projet'!$B$9,Paramètres!$A$1:$I$89,3,0)*VLOOKUP('Données projet'!$B$9,Paramètres!$A$1:$I$89,5,0)</f>
        <v>161.93185714285718</v>
      </c>
      <c r="P41" s="14">
        <f t="shared" si="33"/>
        <v>41.277946347593272</v>
      </c>
      <c r="Q41" s="22">
        <f t="shared" si="53"/>
        <v>353.92374107920119</v>
      </c>
      <c r="R41" s="62">
        <f t="shared" si="0"/>
        <v>647.25707441253451</v>
      </c>
      <c r="S41" s="62">
        <f ca="1">AVERAGE(OFFSET($R$3,0,0,'Données projet'!$E$9+1,1))-AVERAGE(OFFSET($H$3,0,0,'Données projet'!$E$9+1,1))</f>
        <v>323.98185264074681</v>
      </c>
      <c r="T41" s="62">
        <f t="shared" si="34"/>
        <v>301.22207291854005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3.8084999507013806</v>
      </c>
      <c r="AA41" s="23">
        <f>EXP(-LN(2)/25)*AA40+(1-EXP(-LN(2)/25))/(LN(2)/25)*Calculateur!V41*Calculateur!X41*VLOOKUP('Données projet'!$B$9,Paramètres!$A$1:$I$89,3,0)*0.475*44/12</f>
        <v>6.6066633139262843</v>
      </c>
      <c r="AB41" s="23">
        <f>EXP(-LN(2)/2)*AB40+(1-EXP(-LN(2)/2))/(LN(2)/2)*V41*Y41*VLOOKUP('Données projet'!$B$9,Paramètres!$A$1:$I$89,3,0)*0.475*44/12</f>
        <v>0.38048794872612629</v>
      </c>
      <c r="AC41" s="24">
        <f t="shared" si="3"/>
        <v>10.795651213353791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15.626923076923072</v>
      </c>
      <c r="AI41" s="14">
        <f>IF('Données projet'!$A$62&gt;35,AI40+AH41-AQ40,IF(A41&lt;'Données projet'!$A$62,$AF$205^A41,IF(A41='Données projet'!$A$62,'Données projet'!$B$62,AI40+AH41-AQ40)))</f>
        <v>272.51538461538456</v>
      </c>
      <c r="AJ41" s="14">
        <f>AI41*VLOOKUP('Données projet'!$B$10,Paramètres!$A$1:$I$89,3,0)*VLOOKUP('Données projet'!$B$10,Paramètres!$A$1:$I$89,5,0)</f>
        <v>127.53719999999998</v>
      </c>
      <c r="AK41" s="14">
        <f t="shared" si="35"/>
        <v>33.426646638407249</v>
      </c>
      <c r="AL41" s="22">
        <f t="shared" si="4"/>
        <v>280.34536622855927</v>
      </c>
      <c r="AM41" s="62">
        <f t="shared" si="5"/>
        <v>573.67869956189259</v>
      </c>
      <c r="AN41" s="62">
        <f ca="1">AVERAGE(OFFSET($AM$3,0,0,'Données projet'!$E$10+1,1))-AVERAGE(OFFSET($H$3,0,0,'Données projet'!$E$10+1,1))</f>
        <v>276.78862011733338</v>
      </c>
      <c r="AO41" s="62">
        <f t="shared" si="36"/>
        <v>202.1678469635836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127.75776</v>
      </c>
      <c r="BF41" s="14">
        <f t="shared" si="37"/>
        <v>33.477720030956604</v>
      </c>
      <c r="BG41" s="22">
        <f t="shared" si="7"/>
        <v>280.81846105391611</v>
      </c>
      <c r="BH41" s="62">
        <f t="shared" si="8"/>
        <v>574.15179438724942</v>
      </c>
      <c r="BI41" s="62">
        <f ca="1">AVERAGE(OFFSET($BH$3,0,0,'Données projet'!$E$11+1,1))-AVERAGE(OFFSET($H$3,0,0,'Données projet'!$E$11+1,1))</f>
        <v>428.8489304403459</v>
      </c>
      <c r="BJ41" s="62">
        <f t="shared" si="38"/>
        <v>247.01165577562966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12.74038461538462</v>
      </c>
      <c r="BY41" s="13">
        <f>IF('Données projet'!$A$114&gt;35,BY40+BX41-CG40,IF(A41&lt;'Données projet'!$A$114,$BV$205^A41,IF(A41='Données projet'!$A$114,'Données projet'!$B$114,BY40+BX41-CG40)))</f>
        <v>204.59423076923073</v>
      </c>
      <c r="BZ41" s="14">
        <f>BY41*VLOOKUP('Données projet'!$B$12,Paramètres!$A$1:$I$89,3,0)*VLOOKUP('Données projet'!$B$12,Paramètres!$A$1:$I$89,5,0)</f>
        <v>122.34734999999998</v>
      </c>
      <c r="CA41" s="14">
        <f t="shared" si="39"/>
        <v>32.221861336884515</v>
      </c>
      <c r="CB41" s="22">
        <f t="shared" si="10"/>
        <v>269.20804307840717</v>
      </c>
      <c r="CC41" s="62">
        <f t="shared" si="11"/>
        <v>562.54137641174043</v>
      </c>
      <c r="CD41" s="62">
        <f ca="1">AVERAGE(OFFSET($CC$3,0,0,'Données projet'!$E$12+1,1))-AVERAGE(OFFSET($H$3,0,0,'Données projet'!$E$12+1,1))</f>
        <v>289.12367833861299</v>
      </c>
      <c r="CE41" s="62">
        <f t="shared" si="40"/>
        <v>229.06617320689003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0.25917719237659059</v>
      </c>
      <c r="CN41" s="24">
        <f t="shared" si="12"/>
        <v>0.25917719237659059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11.340000000000003</v>
      </c>
      <c r="CT41" s="13">
        <f>IF('Données projet'!$A$140&gt;35,CT40+CS41-DB40,IF(A41&lt;'Données projet'!$A$140,$CQ$205^A41,IF(A41='Données projet'!$A$140,'Données projet'!$B$140,CT40+CS41-DB40)))</f>
        <v>240.4199999999999</v>
      </c>
      <c r="CU41" s="18">
        <f>CT41*VLOOKUP('Données projet'!$B$13,Paramètres!$A$1:$I$89,3,0)*VLOOKUP('Données projet'!$B$13,Paramètres!$A$1:$I$89,5,0)</f>
        <v>191.27815199999995</v>
      </c>
      <c r="CV41" s="14">
        <f t="shared" si="41"/>
        <v>47.822423751245466</v>
      </c>
      <c r="CW41" s="22">
        <f t="shared" si="13"/>
        <v>416.43350276675238</v>
      </c>
      <c r="CX41" s="62">
        <f t="shared" si="14"/>
        <v>709.7668361000857</v>
      </c>
      <c r="CY41" s="62">
        <f ca="1">AVERAGE(OFFSET($CX$3,0,0,'Données projet'!$E$13+1,1))-AVERAGE(OFFSET($H$3,0,0,'Données projet'!$E$13+1,1))</f>
        <v>370.59298168107364</v>
      </c>
      <c r="CZ41" s="62">
        <f t="shared" si="42"/>
        <v>404.61777090709171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7.8</v>
      </c>
      <c r="DO41" s="13">
        <f>IF('Données projet'!$A$166&gt;35,DO40+DN41-DW40,IF(A41&lt;'Données projet'!$A$166,$DL$205^A41,IF(A41='Données projet'!$A$166,'Données projet'!$B$166,DO40+DN41-DW40)))</f>
        <v>176.40000000000006</v>
      </c>
      <c r="DP41" s="18">
        <f>DO41*VLOOKUP('Données projet'!$B$14,Paramètres!$A$1:$I$89,3,0)*VLOOKUP('Données projet'!$B$14,Paramètres!$A$1:$I$89,5,0)</f>
        <v>154.10304000000008</v>
      </c>
      <c r="DQ41" s="14">
        <f t="shared" si="43"/>
        <v>39.509546668758176</v>
      </c>
      <c r="DR41" s="22">
        <f t="shared" si="16"/>
        <v>337.20858844808726</v>
      </c>
      <c r="DS41" s="62">
        <f t="shared" si="17"/>
        <v>630.54192178142057</v>
      </c>
      <c r="DT41" s="62">
        <f ca="1">AVERAGE(OFFSET($DS$3,0,0,'Données projet'!$E$14+1,1))-AVERAGE(OFFSET($H$3,0,0,'Données projet'!$E$14+1,1))</f>
        <v>341.65872153228599</v>
      </c>
      <c r="DU41" s="62">
        <f t="shared" si="44"/>
        <v>339.49697153894937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7.1794871794871824</v>
      </c>
      <c r="EJ41" s="13">
        <f>IF('Données projet'!$A$192&gt;35,EJ40+EI41-ER40,IF(A41&lt;'Données projet'!$A$192,$EG$205^A41,IF(A41='Données projet'!$A$192,'Données projet'!$B$192,EJ40+EI41-ER40)))</f>
        <v>176.66666666666669</v>
      </c>
      <c r="EK41" s="18">
        <f>EJ41*VLOOKUP('Données projet'!$B$15,Paramètres!$A$1:$I$89,3,0)*VLOOKUP('Données projet'!$B$15,Paramètres!$A$1:$I$89,5,0)</f>
        <v>118.50800000000001</v>
      </c>
      <c r="EL41" s="14">
        <f t="shared" si="45"/>
        <v>31.326761814194999</v>
      </c>
      <c r="EM41" s="22">
        <f t="shared" si="19"/>
        <v>260.96221015972299</v>
      </c>
      <c r="EN41" s="62">
        <f t="shared" si="20"/>
        <v>554.29554349305636</v>
      </c>
      <c r="EO41" s="62">
        <f ca="1">AVERAGE(OFFSET($EN$3,0,0,'Données projet'!$E$15+1,1))-AVERAGE(OFFSET($H$3,0,0,'Données projet'!$E$15+1,1))</f>
        <v>312.06797204903796</v>
      </c>
      <c r="EP41" s="62">
        <f t="shared" si="46"/>
        <v>258.20189001775151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8.4</v>
      </c>
      <c r="FE41" s="13">
        <f>IF('Données projet'!$A$218&gt;35,FE40+FD41-FM40,IF(A41&lt;'Données projet'!$A$218,$FB$205^A41,IF(A41='Données projet'!$A$218,'Données projet'!$B$218,FE40+FD41-FM40)))</f>
        <v>141.20000000000002</v>
      </c>
      <c r="FF41" s="18">
        <f>FE41*VLOOKUP('Données projet'!$B$16,Paramètres!$A$1:$I$89,3,0)*VLOOKUP('Données projet'!$B$16,Paramètres!$A$1:$I$89,5,0)</f>
        <v>136.56864000000002</v>
      </c>
      <c r="FG41" s="14">
        <f t="shared" si="47"/>
        <v>35.509797430964703</v>
      </c>
      <c r="FH41" s="22">
        <f t="shared" si="22"/>
        <v>299.70327852559689</v>
      </c>
      <c r="FI41" s="62">
        <f t="shared" si="23"/>
        <v>593.0366118589302</v>
      </c>
      <c r="FJ41" s="62">
        <f ca="1">AVERAGE(OFFSET($FI$3,0,0,'Données projet'!$E$16+1,1))-AVERAGE(OFFSET($H$3,0,0,'Données projet'!$E$16+1,1))</f>
        <v>455.50822833641354</v>
      </c>
      <c r="FK41" s="62">
        <f t="shared" si="48"/>
        <v>261.14722581688039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18.229670329670324</v>
      </c>
      <c r="N42" s="14">
        <f>IF('Données projet'!$A$36&gt;35,N41+M42-V41,IF(A42&lt;'Données projet'!$A$36,$K$205^A42,IF(A42='Données projet'!$A$36,'Données projet'!$B$36,N41+M42-V41)))</f>
        <v>307.91098901098906</v>
      </c>
      <c r="O42" s="14">
        <f>N42*VLOOKUP('Données projet'!$B$9,Paramètres!$A$1:$I$89,3,0)*VLOOKUP('Données projet'!$B$9,Paramètres!$A$1:$I$89,5,0)</f>
        <v>172.12224285714288</v>
      </c>
      <c r="P42" s="14">
        <f t="shared" si="33"/>
        <v>43.564991640658711</v>
      </c>
      <c r="Q42" s="22">
        <f t="shared" si="53"/>
        <v>375.65526675033772</v>
      </c>
      <c r="R42" s="62">
        <f t="shared" si="0"/>
        <v>668.98860008367103</v>
      </c>
      <c r="S42" s="62">
        <f ca="1">AVERAGE(OFFSET($R$3,0,0,'Données projet'!$E$9+1,1))-AVERAGE(OFFSET($H$3,0,0,'Données projet'!$E$9+1,1))</f>
        <v>323.98185264074681</v>
      </c>
      <c r="T42" s="62">
        <f t="shared" si="34"/>
        <v>301.22207291854005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3.7338175896237238</v>
      </c>
      <c r="AA42" s="23">
        <f>EXP(-LN(2)/25)*AA41+(1-EXP(-LN(2)/25))/(LN(2)/25)*Calculateur!V42*Calculateur!X42*VLOOKUP('Données projet'!$B$9,Paramètres!$A$1:$I$89,3,0)*0.475*44/12</f>
        <v>6.4260037581776457</v>
      </c>
      <c r="AB42" s="23">
        <f>EXP(-LN(2)/2)*AB41+(1-EXP(-LN(2)/2))/(LN(2)/2)*V42*Y42*VLOOKUP('Données projet'!$B$9,Paramètres!$A$1:$I$89,3,0)*0.475*44/12</f>
        <v>0.26904560870400329</v>
      </c>
      <c r="AC42" s="24">
        <f t="shared" si="3"/>
        <v>10.428866956505372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15.626923076923072</v>
      </c>
      <c r="AI42" s="14">
        <f>IF('Données projet'!$A$62&gt;35,AI41+AH42-AQ41,IF(A42&lt;'Données projet'!$A$62,$AF$205^A42,IF(A42='Données projet'!$A$62,'Données projet'!$B$62,AI41+AH42-AQ41)))</f>
        <v>288.14230769230761</v>
      </c>
      <c r="AJ42" s="14">
        <f>AI42*VLOOKUP('Données projet'!$B$10,Paramètres!$A$1:$I$89,3,0)*VLOOKUP('Données projet'!$B$10,Paramètres!$A$1:$I$89,5,0)</f>
        <v>134.85059999999996</v>
      </c>
      <c r="AK42" s="14">
        <f t="shared" si="35"/>
        <v>35.114789748641662</v>
      </c>
      <c r="AL42" s="22">
        <f t="shared" si="4"/>
        <v>296.02305381221748</v>
      </c>
      <c r="AM42" s="62">
        <f t="shared" si="5"/>
        <v>589.3563871455508</v>
      </c>
      <c r="AN42" s="62">
        <f ca="1">AVERAGE(OFFSET($AM$3,0,0,'Données projet'!$E$10+1,1))-AVERAGE(OFFSET($H$3,0,0,'Données projet'!$E$10+1,1))</f>
        <v>276.78862011733338</v>
      </c>
      <c r="AO42" s="62">
        <f t="shared" si="36"/>
        <v>202.1678469635836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135.35808</v>
      </c>
      <c r="BF42" s="14">
        <f t="shared" si="37"/>
        <v>35.231528980112834</v>
      </c>
      <c r="BG42" s="22">
        <f t="shared" si="7"/>
        <v>297.11023564036316</v>
      </c>
      <c r="BH42" s="62">
        <f t="shared" si="8"/>
        <v>590.44356897369653</v>
      </c>
      <c r="BI42" s="62">
        <f ca="1">AVERAGE(OFFSET($BH$3,0,0,'Données projet'!$E$11+1,1))-AVERAGE(OFFSET($H$3,0,0,'Données projet'!$E$11+1,1))</f>
        <v>428.8489304403459</v>
      </c>
      <c r="BJ42" s="62">
        <f t="shared" si="38"/>
        <v>247.01165577562966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12.74038461538462</v>
      </c>
      <c r="BY42" s="13">
        <f>IF('Données projet'!$A$114&gt;35,BY41+BX42-CG41,IF(A42&lt;'Données projet'!$A$114,$BV$205^A42,IF(A42='Données projet'!$A$114,'Données projet'!$B$114,BY41+BX42-CG41)))</f>
        <v>217.33461538461535</v>
      </c>
      <c r="BZ42" s="14">
        <f>BY42*VLOOKUP('Données projet'!$B$12,Paramètres!$A$1:$I$89,3,0)*VLOOKUP('Données projet'!$B$12,Paramètres!$A$1:$I$89,5,0)</f>
        <v>129.96609999999998</v>
      </c>
      <c r="CA42" s="14">
        <f t="shared" si="39"/>
        <v>33.988525918782614</v>
      </c>
      <c r="CB42" s="22">
        <f t="shared" si="10"/>
        <v>285.5543068085463</v>
      </c>
      <c r="CC42" s="62">
        <f t="shared" si="11"/>
        <v>578.88764014187961</v>
      </c>
      <c r="CD42" s="62">
        <f ca="1">AVERAGE(OFFSET($CC$3,0,0,'Données projet'!$E$12+1,1))-AVERAGE(OFFSET($H$3,0,0,'Données projet'!$E$12+1,1))</f>
        <v>289.12367833861299</v>
      </c>
      <c r="CE42" s="62">
        <f t="shared" si="40"/>
        <v>229.06617320689003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0.18326595025837758</v>
      </c>
      <c r="CN42" s="24">
        <f t="shared" si="12"/>
        <v>0.18326595025837758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11.340000000000003</v>
      </c>
      <c r="CT42" s="13">
        <f>IF('Données projet'!$A$140&gt;35,CT41+CS42-DB41,IF(A42&lt;'Données projet'!$A$140,$CQ$205^A42,IF(A42='Données projet'!$A$140,'Données projet'!$B$140,CT41+CS42-DB41)))</f>
        <v>251.75999999999991</v>
      </c>
      <c r="CU42" s="18">
        <f>CT42*VLOOKUP('Données projet'!$B$13,Paramètres!$A$1:$I$89,3,0)*VLOOKUP('Données projet'!$B$13,Paramètres!$A$1:$I$89,5,0)</f>
        <v>200.30025599999993</v>
      </c>
      <c r="CV42" s="14">
        <f t="shared" si="41"/>
        <v>49.810149143959919</v>
      </c>
      <c r="CW42" s="22">
        <f t="shared" si="13"/>
        <v>435.60895562573</v>
      </c>
      <c r="CX42" s="62">
        <f t="shared" si="14"/>
        <v>728.94228895906326</v>
      </c>
      <c r="CY42" s="62">
        <f ca="1">AVERAGE(OFFSET($CX$3,0,0,'Données projet'!$E$13+1,1))-AVERAGE(OFFSET($H$3,0,0,'Données projet'!$E$13+1,1))</f>
        <v>370.59298168107364</v>
      </c>
      <c r="CZ42" s="62">
        <f t="shared" si="42"/>
        <v>404.61777090709171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7.8</v>
      </c>
      <c r="DO42" s="13">
        <f>IF('Données projet'!$A$166&gt;35,DO41+DN42-DW41,IF(A42&lt;'Données projet'!$A$166,$DL$205^A42,IF(A42='Données projet'!$A$166,'Données projet'!$B$166,DO41+DN42-DW41)))</f>
        <v>184.20000000000007</v>
      </c>
      <c r="DP42" s="18">
        <f>DO42*VLOOKUP('Données projet'!$B$14,Paramètres!$A$1:$I$89,3,0)*VLOOKUP('Données projet'!$B$14,Paramètres!$A$1:$I$89,5,0)</f>
        <v>160.9171200000001</v>
      </c>
      <c r="DQ42" s="14">
        <f t="shared" si="43"/>
        <v>41.049305520788089</v>
      </c>
      <c r="DR42" s="22">
        <f t="shared" si="16"/>
        <v>351.75819111537271</v>
      </c>
      <c r="DS42" s="62">
        <f t="shared" si="17"/>
        <v>645.09152444870597</v>
      </c>
      <c r="DT42" s="62">
        <f ca="1">AVERAGE(OFFSET($DS$3,0,0,'Données projet'!$E$14+1,1))-AVERAGE(OFFSET($H$3,0,0,'Données projet'!$E$14+1,1))</f>
        <v>341.65872153228599</v>
      </c>
      <c r="DU42" s="62">
        <f t="shared" si="44"/>
        <v>339.49697153894937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7.1794871794871824</v>
      </c>
      <c r="EJ42" s="13">
        <f>IF('Données projet'!$A$192&gt;35,EJ41+EI42-ER41,IF(A42&lt;'Données projet'!$A$192,$EG$205^A42,IF(A42='Données projet'!$A$192,'Données projet'!$B$192,EJ41+EI42-ER41)))</f>
        <v>183.84615384615387</v>
      </c>
      <c r="EK42" s="18">
        <f>EJ42*VLOOKUP('Données projet'!$B$15,Paramètres!$A$1:$I$89,3,0)*VLOOKUP('Données projet'!$B$15,Paramètres!$A$1:$I$89,5,0)</f>
        <v>123.32400000000003</v>
      </c>
      <c r="EL42" s="14">
        <f t="shared" si="45"/>
        <v>32.449030564483728</v>
      </c>
      <c r="EM42" s="22">
        <f t="shared" si="19"/>
        <v>271.30469489980919</v>
      </c>
      <c r="EN42" s="62">
        <f t="shared" si="20"/>
        <v>564.63802823314245</v>
      </c>
      <c r="EO42" s="62">
        <f ca="1">AVERAGE(OFFSET($EN$3,0,0,'Données projet'!$E$15+1,1))-AVERAGE(OFFSET($H$3,0,0,'Données projet'!$E$15+1,1))</f>
        <v>312.06797204903796</v>
      </c>
      <c r="EP42" s="62">
        <f t="shared" si="46"/>
        <v>258.20189001775151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8.4</v>
      </c>
      <c r="FE42" s="13">
        <f>IF('Données projet'!$A$218&gt;35,FE41+FD42-FM41,IF(A42&lt;'Données projet'!$A$218,$FB$205^A42,IF(A42='Données projet'!$A$218,'Données projet'!$B$218,FE41+FD42-FM41)))</f>
        <v>149.60000000000002</v>
      </c>
      <c r="FF42" s="18">
        <f>FE42*VLOOKUP('Données projet'!$B$16,Paramètres!$A$1:$I$89,3,0)*VLOOKUP('Données projet'!$B$16,Paramètres!$A$1:$I$89,5,0)</f>
        <v>144.69312000000002</v>
      </c>
      <c r="FG42" s="14">
        <f t="shared" si="47"/>
        <v>37.370061524802772</v>
      </c>
      <c r="FH42" s="22">
        <f t="shared" si="22"/>
        <v>317.09337448903148</v>
      </c>
      <c r="FI42" s="62">
        <f t="shared" si="23"/>
        <v>610.42670782236473</v>
      </c>
      <c r="FJ42" s="62">
        <f ca="1">AVERAGE(OFFSET($FI$3,0,0,'Données projet'!$E$16+1,1))-AVERAGE(OFFSET($H$3,0,0,'Données projet'!$E$16+1,1))</f>
        <v>455.50822833641354</v>
      </c>
      <c r="FK42" s="62">
        <f t="shared" si="48"/>
        <v>261.14722581688039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18.229670329670324</v>
      </c>
      <c r="N43" s="14">
        <f>IF('Données projet'!$A$36&gt;35,N42+M43-V42,IF(A43&lt;'Données projet'!$A$36,$K$205^A43,IF(A43='Données projet'!$A$36,'Données projet'!$B$36,N42+M43-V42)))</f>
        <v>326.1406593406594</v>
      </c>
      <c r="O43" s="14">
        <f>N43*VLOOKUP('Données projet'!$B$9,Paramètres!$A$1:$I$89,3,0)*VLOOKUP('Données projet'!$B$9,Paramètres!$A$1:$I$89,5,0)</f>
        <v>182.31262857142863</v>
      </c>
      <c r="P43" s="14">
        <f t="shared" si="33"/>
        <v>45.836320512875446</v>
      </c>
      <c r="Q43" s="22">
        <f t="shared" si="53"/>
        <v>397.35941965516298</v>
      </c>
      <c r="R43" s="62">
        <f t="shared" si="0"/>
        <v>690.6927529884963</v>
      </c>
      <c r="S43" s="62">
        <f ca="1">AVERAGE(OFFSET($R$3,0,0,'Données projet'!$E$9+1,1))-AVERAGE(OFFSET($H$3,0,0,'Données projet'!$E$9+1,1))</f>
        <v>323.98185264074681</v>
      </c>
      <c r="T43" s="62">
        <f t="shared" si="34"/>
        <v>301.22207291854005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3.6605997040950573</v>
      </c>
      <c r="AA43" s="23">
        <f>EXP(-LN(2)/25)*AA42+(1-EXP(-LN(2)/25))/(LN(2)/25)*Calculateur!V43*Calculateur!X43*VLOOKUP('Données projet'!$B$9,Paramètres!$A$1:$I$89,3,0)*0.475*44/12</f>
        <v>6.2502843474814274</v>
      </c>
      <c r="AB43" s="23">
        <f>EXP(-LN(2)/2)*AB42+(1-EXP(-LN(2)/2))/(LN(2)/2)*V43*Y43*VLOOKUP('Données projet'!$B$9,Paramètres!$A$1:$I$89,3,0)*0.475*44/12</f>
        <v>0.19024397436306315</v>
      </c>
      <c r="AC43" s="24">
        <f t="shared" si="3"/>
        <v>10.101128025939548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15.626923076923072</v>
      </c>
      <c r="AI43" s="14">
        <f>IF('Données projet'!$A$62&gt;35,AI42+AH43-AQ42,IF(A43&lt;'Données projet'!$A$62,$AF$205^A43,IF(A43='Données projet'!$A$62,'Données projet'!$B$62,AI42+AH43-AQ42)))</f>
        <v>303.76923076923066</v>
      </c>
      <c r="AJ43" s="14">
        <f>AI43*VLOOKUP('Données projet'!$B$10,Paramètres!$A$1:$I$89,3,0)*VLOOKUP('Données projet'!$B$10,Paramètres!$A$1:$I$89,5,0)</f>
        <v>142.16399999999996</v>
      </c>
      <c r="AK43" s="14">
        <f t="shared" si="35"/>
        <v>36.792304079280136</v>
      </c>
      <c r="AL43" s="22">
        <f t="shared" si="4"/>
        <v>311.68222960474617</v>
      </c>
      <c r="AM43" s="62">
        <f t="shared" si="5"/>
        <v>605.01556293807948</v>
      </c>
      <c r="AN43" s="62">
        <f ca="1">AVERAGE(OFFSET($AM$3,0,0,'Données projet'!$E$10+1,1))-AVERAGE(OFFSET($H$3,0,0,'Données projet'!$E$10+1,1))</f>
        <v>276.78862011733338</v>
      </c>
      <c r="AO43" s="62">
        <f t="shared" si="36"/>
        <v>202.1678469635836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142.95840000000004</v>
      </c>
      <c r="BF43" s="14">
        <f t="shared" si="37"/>
        <v>36.973906370811264</v>
      </c>
      <c r="BG43" s="22">
        <f t="shared" si="7"/>
        <v>313.38210026249641</v>
      </c>
      <c r="BH43" s="62">
        <f t="shared" si="8"/>
        <v>606.71543359582972</v>
      </c>
      <c r="BI43" s="62">
        <f ca="1">AVERAGE(OFFSET($BH$3,0,0,'Données projet'!$E$11+1,1))-AVERAGE(OFFSET($H$3,0,0,'Données projet'!$E$11+1,1))</f>
        <v>428.8489304403459</v>
      </c>
      <c r="BJ43" s="62">
        <f t="shared" si="38"/>
        <v>247.01165577562966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12.74038461538462</v>
      </c>
      <c r="BY43" s="13">
        <f>IF('Données projet'!$A$114&gt;35,BY42+BX43-CG42,IF(A43&lt;'Données projet'!$A$114,$BV$205^A43,IF(A43='Données projet'!$A$114,'Données projet'!$B$114,BY42+BX43-CG42)))</f>
        <v>230.07499999999996</v>
      </c>
      <c r="BZ43" s="14">
        <f>BY43*VLOOKUP('Données projet'!$B$12,Paramètres!$A$1:$I$89,3,0)*VLOOKUP('Données projet'!$B$12,Paramètres!$A$1:$I$89,5,0)</f>
        <v>137.58484999999999</v>
      </c>
      <c r="CA43" s="14">
        <f t="shared" si="39"/>
        <v>35.743169448737028</v>
      </c>
      <c r="CB43" s="22">
        <f t="shared" si="10"/>
        <v>301.87963387321696</v>
      </c>
      <c r="CC43" s="62">
        <f t="shared" si="11"/>
        <v>595.21296720655027</v>
      </c>
      <c r="CD43" s="62">
        <f ca="1">AVERAGE(OFFSET($CC$3,0,0,'Données projet'!$E$12+1,1))-AVERAGE(OFFSET($H$3,0,0,'Données projet'!$E$12+1,1))</f>
        <v>289.12367833861299</v>
      </c>
      <c r="CE43" s="62">
        <f t="shared" si="40"/>
        <v>229.06617320689003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0.1295885961882953</v>
      </c>
      <c r="CN43" s="24">
        <f t="shared" si="12"/>
        <v>0.1295885961882953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263.10000000000002</v>
      </c>
      <c r="CR43" s="13">
        <f>VLOOKUP(A43,'Données projet'!$A$139:$I$159,9,0)</f>
        <v>11.340000000000003</v>
      </c>
      <c r="CS43" s="13">
        <f t="array" ref="CS43">INDEX(CR:CR,MIN(IF(ISNUMBER(CR43:CR239),ROW(CR43:CR239),"")))</f>
        <v>11.340000000000003</v>
      </c>
      <c r="CT43" s="13">
        <f>IF('Données projet'!$A$140&gt;35,CT42+CS43-DB42,IF(A43&lt;'Données projet'!$A$140,$CQ$205^A43,IF(A43='Données projet'!$A$140,'Données projet'!$B$140,CT42+CS43-DB42)))</f>
        <v>263.09999999999991</v>
      </c>
      <c r="CU43" s="18">
        <f>CT43*VLOOKUP('Données projet'!$B$13,Paramètres!$A$1:$I$89,3,0)*VLOOKUP('Données projet'!$B$13,Paramètres!$A$1:$I$89,5,0)</f>
        <v>209.32235999999995</v>
      </c>
      <c r="CV43" s="14">
        <f t="shared" si="41"/>
        <v>51.78747646553299</v>
      </c>
      <c r="CW43" s="22">
        <f t="shared" si="13"/>
        <v>454.7662985108031</v>
      </c>
      <c r="CX43" s="62">
        <f t="shared" si="14"/>
        <v>748.09963184413641</v>
      </c>
      <c r="CY43" s="62">
        <f ca="1">AVERAGE(OFFSET($CX$3,0,0,'Données projet'!$E$13+1,1))-AVERAGE(OFFSET($H$3,0,0,'Données projet'!$E$13+1,1))</f>
        <v>370.59298168107364</v>
      </c>
      <c r="CZ43" s="62">
        <f t="shared" si="42"/>
        <v>404.61777090709171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70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192</v>
      </c>
      <c r="DM43" s="13">
        <f>VLOOKUP(A43,'Données projet'!$A$165:$I$185,9,0)</f>
        <v>7.8</v>
      </c>
      <c r="DN43" s="13">
        <f t="array" ref="DN43">INDEX(DM:DM,MIN(IF(ISNUMBER(DM43:DM239),ROW(DM43:DM239),"")))</f>
        <v>7.8</v>
      </c>
      <c r="DO43" s="13">
        <f>IF('Données projet'!$A$166&gt;35,DO42+DN43-DW42,IF(A43&lt;'Données projet'!$A$166,$DL$205^A43,IF(A43='Données projet'!$A$166,'Données projet'!$B$166,DO42+DN43-DW42)))</f>
        <v>192.00000000000009</v>
      </c>
      <c r="DP43" s="18">
        <f>DO43*VLOOKUP('Données projet'!$B$14,Paramètres!$A$1:$I$89,3,0)*VLOOKUP('Données projet'!$B$14,Paramètres!$A$1:$I$89,5,0)</f>
        <v>167.73120000000009</v>
      </c>
      <c r="DQ43" s="14">
        <f t="shared" si="43"/>
        <v>42.581491199832655</v>
      </c>
      <c r="DR43" s="22">
        <f t="shared" si="16"/>
        <v>366.29460383970871</v>
      </c>
      <c r="DS43" s="62">
        <f t="shared" si="17"/>
        <v>659.62793717304203</v>
      </c>
      <c r="DT43" s="62">
        <f ca="1">AVERAGE(OFFSET($DS$3,0,0,'Données projet'!$E$14+1,1))-AVERAGE(OFFSET($H$3,0,0,'Données projet'!$E$14+1,1))</f>
        <v>341.65872153228599</v>
      </c>
      <c r="DU43" s="62">
        <f t="shared" si="44"/>
        <v>339.49697153894937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47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191.02564102564102</v>
      </c>
      <c r="EH43" s="13">
        <f>VLOOKUP(A43,'Données projet'!$A$191:$I$211,9,0)</f>
        <v>7.1794871794871824</v>
      </c>
      <c r="EI43" s="13">
        <f t="array" ref="EI43">INDEX(EH:EH,MIN(IF(ISNUMBER(EH43:EH239),ROW(EH43:EH239),"")))</f>
        <v>7.1794871794871824</v>
      </c>
      <c r="EJ43" s="13">
        <f>IF('Données projet'!$A$192&gt;35,EJ42+EI43-ER42,IF(A43&lt;'Données projet'!$A$192,$EG$205^A43,IF(A43='Données projet'!$A$192,'Données projet'!$B$192,EJ42+EI43-ER42)))</f>
        <v>191.02564102564105</v>
      </c>
      <c r="EK43" s="18">
        <f>EJ43*VLOOKUP('Données projet'!$B$15,Paramètres!$A$1:$I$89,3,0)*VLOOKUP('Données projet'!$B$15,Paramètres!$A$1:$I$89,5,0)</f>
        <v>128.14000000000001</v>
      </c>
      <c r="EL43" s="14">
        <f t="shared" si="45"/>
        <v>33.566208132601098</v>
      </c>
      <c r="EM43" s="22">
        <f t="shared" si="19"/>
        <v>281.63831249761358</v>
      </c>
      <c r="EN43" s="62">
        <f t="shared" si="20"/>
        <v>574.97164583094695</v>
      </c>
      <c r="EO43" s="62">
        <f ca="1">AVERAGE(OFFSET($EN$3,0,0,'Données projet'!$E$15+1,1))-AVERAGE(OFFSET($H$3,0,0,'Données projet'!$E$15+1,1))</f>
        <v>312.06797204903796</v>
      </c>
      <c r="EP43" s="62">
        <f t="shared" si="46"/>
        <v>258.20189001775151</v>
      </c>
      <c r="EQ43" s="16">
        <f>IF(ISNA(VLOOKUP(A43,'Données projet'!$A$191:$I$211,3,0)),0,VLOOKUP(A43,'Données projet'!$A$191:$I$211,3,0))</f>
        <v>3</v>
      </c>
      <c r="ER43" s="16">
        <f>IF(ISNA(VLOOKUP(A43,'Données projet'!$A$191:$I$211,4,0)),0,VLOOKUP(A43,'Données projet'!$A$191:$I$211,4,0))</f>
        <v>34.615384615384613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158</v>
      </c>
      <c r="FC43" s="13">
        <f>VLOOKUP(A43,'Données projet'!$A$217:$I$237,9,0)</f>
        <v>8.4</v>
      </c>
      <c r="FD43" s="13">
        <f t="array" ref="FD43">INDEX(FC:FC,MIN(IF(ISNUMBER(FC43:FC239),ROW(FC43:FC239),"")))</f>
        <v>8.4</v>
      </c>
      <c r="FE43" s="13">
        <f>IF('Données projet'!$A$218&gt;35,FE42+FD43-FM42,IF(A43&lt;'Données projet'!$A$218,$FB$205^A43,IF(A43='Données projet'!$A$218,'Données projet'!$B$218,FE42+FD43-FM42)))</f>
        <v>158.00000000000003</v>
      </c>
      <c r="FF43" s="18">
        <f>FE43*VLOOKUP('Données projet'!$B$16,Paramètres!$A$1:$I$89,3,0)*VLOOKUP('Données projet'!$B$16,Paramètres!$A$1:$I$89,5,0)</f>
        <v>152.81760000000003</v>
      </c>
      <c r="FG43" s="14">
        <f t="shared" si="47"/>
        <v>39.218200171484227</v>
      </c>
      <c r="FH43" s="22">
        <f t="shared" si="22"/>
        <v>334.46235196533502</v>
      </c>
      <c r="FI43" s="62">
        <f t="shared" si="23"/>
        <v>627.79568529866833</v>
      </c>
      <c r="FJ43" s="62">
        <f ca="1">AVERAGE(OFFSET($FI$3,0,0,'Données projet'!$E$16+1,1))-AVERAGE(OFFSET($H$3,0,0,'Données projet'!$E$16+1,1))</f>
        <v>455.50822833641354</v>
      </c>
      <c r="FK43" s="62">
        <f t="shared" si="48"/>
        <v>261.14722581688039</v>
      </c>
      <c r="FL43" s="16">
        <f>IF(ISNA(VLOOKUP(A43,'Données projet'!$A$217:$I$237,3,0)),0,VLOOKUP(A43,'Données projet'!$A$217:$I$237,3,0))</f>
        <v>2</v>
      </c>
      <c r="FM43" s="16">
        <f>IF(ISNA(VLOOKUP(A43,'Données projet'!$A$217:$I$237,4,0)),0,VLOOKUP(A43,'Données projet'!$A$217:$I$237,4,0))</f>
        <v>42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18.229670329670324</v>
      </c>
      <c r="N44" s="14">
        <f>IF('Données projet'!$A$36&gt;35,N43+M44-V43,IF(A44&lt;'Données projet'!$A$36,$K$205^A44,IF(A44='Données projet'!$A$36,'Données projet'!$B$36,N43+M44-V43)))</f>
        <v>344.37032967032974</v>
      </c>
      <c r="O44" s="14">
        <f>N44*VLOOKUP('Données projet'!$B$9,Paramètres!$A$1:$I$89,3,0)*VLOOKUP('Données projet'!$B$9,Paramètres!$A$1:$I$89,5,0)</f>
        <v>192.50301428571433</v>
      </c>
      <c r="P44" s="14">
        <f t="shared" si="33"/>
        <v>48.092911552862631</v>
      </c>
      <c r="Q44" s="22">
        <f t="shared" si="53"/>
        <v>419.03790416885482</v>
      </c>
      <c r="R44" s="62">
        <f t="shared" si="0"/>
        <v>712.37123750218814</v>
      </c>
      <c r="S44" s="62">
        <f ca="1">AVERAGE(OFFSET($R$3,0,0,'Données projet'!$E$9+1,1))-AVERAGE(OFFSET($H$3,0,0,'Données projet'!$E$9+1,1))</f>
        <v>323.98185264074681</v>
      </c>
      <c r="T44" s="62">
        <f t="shared" si="34"/>
        <v>301.22207291854005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3.5888175766431076</v>
      </c>
      <c r="AA44" s="23">
        <f>EXP(-LN(2)/25)*AA43+(1-EXP(-LN(2)/25))/(LN(2)/25)*Calculateur!V44*Calculateur!X44*VLOOKUP('Données projet'!$B$9,Paramètres!$A$1:$I$89,3,0)*0.475*44/12</f>
        <v>6.0793699933113787</v>
      </c>
      <c r="AB44" s="23">
        <f>EXP(-LN(2)/2)*AB43+(1-EXP(-LN(2)/2))/(LN(2)/2)*V44*Y44*VLOOKUP('Données projet'!$B$9,Paramètres!$A$1:$I$89,3,0)*0.475*44/12</f>
        <v>0.13452280435200165</v>
      </c>
      <c r="AC44" s="24">
        <f t="shared" si="3"/>
        <v>9.8027103743064892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15.626923076923072</v>
      </c>
      <c r="AI44" s="14">
        <f>IF('Données projet'!$A$62&gt;35,AI43+AH44-AQ43,IF(A44&lt;'Données projet'!$A$62,$AF$205^A44,IF(A44='Données projet'!$A$62,'Données projet'!$B$62,AI43+AH44-AQ43)))</f>
        <v>319.39615384615371</v>
      </c>
      <c r="AJ44" s="14">
        <f>AI44*VLOOKUP('Données projet'!$B$10,Paramètres!$A$1:$I$89,3,0)*VLOOKUP('Données projet'!$B$10,Paramètres!$A$1:$I$89,5,0)</f>
        <v>149.47739999999993</v>
      </c>
      <c r="AK44" s="14">
        <f t="shared" si="35"/>
        <v>38.459798782919904</v>
      </c>
      <c r="AL44" s="22">
        <f t="shared" si="4"/>
        <v>327.32395454691869</v>
      </c>
      <c r="AM44" s="62">
        <f t="shared" si="5"/>
        <v>620.65728788025194</v>
      </c>
      <c r="AN44" s="62">
        <f ca="1">AVERAGE(OFFSET($AM$3,0,0,'Données projet'!$E$10+1,1))-AVERAGE(OFFSET($H$3,0,0,'Données projet'!$E$10+1,1))</f>
        <v>276.78862011733338</v>
      </c>
      <c r="AO44" s="62">
        <f t="shared" si="36"/>
        <v>202.1678469635836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112.55712000000003</v>
      </c>
      <c r="BF44" s="14">
        <f t="shared" si="37"/>
        <v>29.932653834140599</v>
      </c>
      <c r="BG44" s="22">
        <f t="shared" si="7"/>
        <v>248.16968942779496</v>
      </c>
      <c r="BH44" s="62">
        <f t="shared" si="8"/>
        <v>541.50302276112825</v>
      </c>
      <c r="BI44" s="62">
        <f ca="1">AVERAGE(OFFSET($BH$3,0,0,'Données projet'!$E$11+1,1))-AVERAGE(OFFSET($H$3,0,0,'Données projet'!$E$11+1,1))</f>
        <v>428.8489304403459</v>
      </c>
      <c r="BJ44" s="62">
        <f t="shared" si="38"/>
        <v>247.01165577562966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>
        <f>VLOOKUP(A44,'Données projet'!$A$113:$I$133,2,0)</f>
        <v>242.81538461538463</v>
      </c>
      <c r="BW44" s="13">
        <f>VLOOKUP(A44,'Données projet'!$A$113:$I$133,9,0)</f>
        <v>12.74038461538462</v>
      </c>
      <c r="BX44" s="13">
        <f t="array" ref="BX44">INDEX(BW:BW,MIN(IF(ISNUMBER(BW44:BW240),ROW(BW44:BW240),"")))</f>
        <v>12.74038461538462</v>
      </c>
      <c r="BY44" s="13">
        <f>IF('Données projet'!$A$114&gt;35,BY43+BX44-CG43,IF(A44&lt;'Données projet'!$A$114,$BV$205^A44,IF(A44='Données projet'!$A$114,'Données projet'!$B$114,BY43+BX44-CG43)))</f>
        <v>242.81538461538457</v>
      </c>
      <c r="BZ44" s="14">
        <f>BY44*VLOOKUP('Données projet'!$B$12,Paramètres!$A$1:$I$89,3,0)*VLOOKUP('Données projet'!$B$12,Paramètres!$A$1:$I$89,5,0)</f>
        <v>145.20359999999999</v>
      </c>
      <c r="CA44" s="14">
        <f t="shared" si="39"/>
        <v>37.4865334633907</v>
      </c>
      <c r="CB44" s="22">
        <f t="shared" si="10"/>
        <v>318.18531578207211</v>
      </c>
      <c r="CC44" s="62">
        <f t="shared" si="11"/>
        <v>611.51864911540542</v>
      </c>
      <c r="CD44" s="62">
        <f ca="1">AVERAGE(OFFSET($CC$3,0,0,'Données projet'!$E$12+1,1))-AVERAGE(OFFSET($H$3,0,0,'Données projet'!$E$12+1,1))</f>
        <v>289.12367833861299</v>
      </c>
      <c r="CE44" s="62">
        <f t="shared" si="40"/>
        <v>229.06617320689003</v>
      </c>
      <c r="CF44" s="16">
        <f>IF(ISNA(VLOOKUP(A44,'Données projet'!$A$113:$I$133,3,0)),0,VLOOKUP(A44,'Données projet'!$A$113:$I$133,3,0))</f>
        <v>4</v>
      </c>
      <c r="CG44" s="16">
        <f>IF(ISNA(VLOOKUP(A44,'Données projet'!$A$113:$I$133,4,0)),0,VLOOKUP(A44,'Données projet'!$A$113:$I$133,4,0))</f>
        <v>58.484615384615381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9.163297512918879E-2</v>
      </c>
      <c r="CN44" s="24">
        <f t="shared" si="12"/>
        <v>9.163297512918879E-2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9.8199999999999932</v>
      </c>
      <c r="CT44" s="13">
        <f>IF('Données projet'!$A$140&gt;35,CT43+CS44-DB43,IF(A44&lt;'Données projet'!$A$140,$CQ$205^A44,IF(A44='Données projet'!$A$140,'Données projet'!$B$140,CT43+CS44-DB43)))</f>
        <v>202.9199999999999</v>
      </c>
      <c r="CU44" s="18">
        <f>CT44*VLOOKUP('Données projet'!$B$13,Paramètres!$A$1:$I$89,3,0)*VLOOKUP('Données projet'!$B$13,Paramètres!$A$1:$I$89,5,0)</f>
        <v>161.44315199999994</v>
      </c>
      <c r="CV44" s="14">
        <f t="shared" si="41"/>
        <v>41.167852065682119</v>
      </c>
      <c r="CW44" s="22">
        <f t="shared" si="13"/>
        <v>352.88083208106292</v>
      </c>
      <c r="CX44" s="62">
        <f t="shared" si="14"/>
        <v>646.21416541439623</v>
      </c>
      <c r="CY44" s="62">
        <f ca="1">AVERAGE(OFFSET($CX$3,0,0,'Données projet'!$E$13+1,1))-AVERAGE(OFFSET($H$3,0,0,'Données projet'!$E$13+1,1))</f>
        <v>370.59298168107364</v>
      </c>
      <c r="CZ44" s="62">
        <f t="shared" si="42"/>
        <v>404.61777090709171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7</v>
      </c>
      <c r="DO44" s="13">
        <f>IF('Données projet'!$A$166&gt;35,DO43+DN44-DW43,IF(A44&lt;'Données projet'!$A$166,$DL$205^A44,IF(A44='Données projet'!$A$166,'Données projet'!$B$166,DO43+DN44-DW43)))</f>
        <v>152.00000000000009</v>
      </c>
      <c r="DP44" s="18">
        <f>DO44*VLOOKUP('Données projet'!$B$14,Paramètres!$A$1:$I$89,3,0)*VLOOKUP('Données projet'!$B$14,Paramètres!$A$1:$I$89,5,0)</f>
        <v>132.7872000000001</v>
      </c>
      <c r="DQ44" s="14">
        <f t="shared" si="43"/>
        <v>34.639602119854608</v>
      </c>
      <c r="DR44" s="22">
        <f t="shared" si="16"/>
        <v>291.60168035874693</v>
      </c>
      <c r="DS44" s="62">
        <f t="shared" si="17"/>
        <v>584.93501369208025</v>
      </c>
      <c r="DT44" s="62">
        <f ca="1">AVERAGE(OFFSET($DS$3,0,0,'Données projet'!$E$14+1,1))-AVERAGE(OFFSET($H$3,0,0,'Données projet'!$E$14+1,1))</f>
        <v>341.65872153228599</v>
      </c>
      <c r="DU44" s="62">
        <f t="shared" si="44"/>
        <v>339.49697153894937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6.7948717948717956</v>
      </c>
      <c r="EJ44" s="13">
        <f>IF('Données projet'!$A$192&gt;35,EJ43+EI44-ER43,IF(A44&lt;'Données projet'!$A$192,$EG$205^A44,IF(A44='Données projet'!$A$192,'Données projet'!$B$192,EJ43+EI44-ER43)))</f>
        <v>163.20512820512823</v>
      </c>
      <c r="EK44" s="18">
        <f>EJ44*VLOOKUP('Données projet'!$B$15,Paramètres!$A$1:$I$89,3,0)*VLOOKUP('Données projet'!$B$15,Paramètres!$A$1:$I$89,5,0)</f>
        <v>109.47800000000001</v>
      </c>
      <c r="EL44" s="14">
        <f t="shared" si="45"/>
        <v>29.207963273678622</v>
      </c>
      <c r="EM44" s="22">
        <f t="shared" si="19"/>
        <v>241.5447193683236</v>
      </c>
      <c r="EN44" s="62">
        <f t="shared" si="20"/>
        <v>534.87805270165688</v>
      </c>
      <c r="EO44" s="62">
        <f ca="1">AVERAGE(OFFSET($EN$3,0,0,'Données projet'!$E$15+1,1))-AVERAGE(OFFSET($H$3,0,0,'Données projet'!$E$15+1,1))</f>
        <v>312.06797204903796</v>
      </c>
      <c r="EP44" s="62">
        <f t="shared" si="46"/>
        <v>258.20189001775151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8.4</v>
      </c>
      <c r="FE44" s="13">
        <f>IF('Données projet'!$A$218&gt;35,FE43+FD44-FM43,IF(A44&lt;'Données projet'!$A$218,$FB$205^A44,IF(A44='Données projet'!$A$218,'Données projet'!$B$218,FE43+FD44-FM43)))</f>
        <v>124.40000000000003</v>
      </c>
      <c r="FF44" s="18">
        <f>FE44*VLOOKUP('Données projet'!$B$16,Paramètres!$A$1:$I$89,3,0)*VLOOKUP('Données projet'!$B$16,Paramètres!$A$1:$I$89,5,0)</f>
        <v>120.31968000000002</v>
      </c>
      <c r="FG44" s="14">
        <f t="shared" si="47"/>
        <v>31.74954785566829</v>
      </c>
      <c r="FH44" s="22">
        <f t="shared" si="22"/>
        <v>264.85390518195561</v>
      </c>
      <c r="FI44" s="62">
        <f t="shared" si="23"/>
        <v>558.18723851528898</v>
      </c>
      <c r="FJ44" s="62">
        <f ca="1">AVERAGE(OFFSET($FI$3,0,0,'Données projet'!$E$16+1,1))-AVERAGE(OFFSET($H$3,0,0,'Données projet'!$E$16+1,1))</f>
        <v>455.50822833641354</v>
      </c>
      <c r="FK44" s="62">
        <f t="shared" si="48"/>
        <v>261.14722581688039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362.59999999999997</v>
      </c>
      <c r="L45" s="13">
        <f>VLOOKUP(A45,'Données projet'!$A$35:$I$55,9,0)</f>
        <v>18.229670329670324</v>
      </c>
      <c r="M45" s="13">
        <f t="array" ref="M45">INDEX(L:L,MIN(IF(ISNUMBER(L45:L241),ROW(L45:L241),"")))</f>
        <v>18.229670329670324</v>
      </c>
      <c r="N45" s="14">
        <f>IF('Données projet'!$A$36&gt;35,N44+M45-V44,IF(A45&lt;'Données projet'!$A$36,$K$205^A45,IF(A45='Données projet'!$A$36,'Données projet'!$B$36,N44+M45-V44)))</f>
        <v>362.60000000000008</v>
      </c>
      <c r="O45" s="14">
        <f>N45*VLOOKUP('Données projet'!$B$9,Paramètres!$A$1:$I$89,3,0)*VLOOKUP('Données projet'!$B$9,Paramètres!$A$1:$I$89,5,0)</f>
        <v>202.69340000000005</v>
      </c>
      <c r="P45" s="14">
        <f t="shared" si="33"/>
        <v>50.335633892078647</v>
      </c>
      <c r="Q45" s="22">
        <f t="shared" si="53"/>
        <v>440.69223402870375</v>
      </c>
      <c r="R45" s="62">
        <f t="shared" si="0"/>
        <v>734.02556736203701</v>
      </c>
      <c r="S45" s="62">
        <f ca="1">AVERAGE(OFFSET($R$3,0,0,'Données projet'!$E$9+1,1))-AVERAGE(OFFSET($H$3,0,0,'Données projet'!$E$9+1,1))</f>
        <v>323.98185264074681</v>
      </c>
      <c r="T45" s="62">
        <f t="shared" si="34"/>
        <v>301.22207291854005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80.669230769230765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3.518443052927716</v>
      </c>
      <c r="AA45" s="23">
        <f>EXP(-LN(2)/25)*AA44+(1-EXP(-LN(2)/25))/(LN(2)/25)*Calculateur!V45*Calculateur!X45*VLOOKUP('Données projet'!$B$9,Paramètres!$A$1:$I$89,3,0)*0.475*44/12</f>
        <v>5.9131293011441057</v>
      </c>
      <c r="AB45" s="23">
        <f>EXP(-LN(2)/2)*AB44+(1-EXP(-LN(2)/2))/(LN(2)/2)*V45*Y45*VLOOKUP('Données projet'!$B$9,Paramètres!$A$1:$I$89,3,0)*0.475*44/12</f>
        <v>9.5121987181531573E-2</v>
      </c>
      <c r="AC45" s="24">
        <f t="shared" si="3"/>
        <v>9.5266943412533536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335.02307692307687</v>
      </c>
      <c r="AG45" s="13">
        <f>VLOOKUP(A45,'Données projet'!$A$61:$I$81,9,0)</f>
        <v>15.626923076923072</v>
      </c>
      <c r="AH45" s="13">
        <f t="array" ref="AH45">INDEX(AG:AG,MIN(IF(ISNUMBER(AG45:AG241),ROW(AG45:AG241),"")))</f>
        <v>15.626923076923072</v>
      </c>
      <c r="AI45" s="14">
        <f>IF('Données projet'!$A$62&gt;35,AI44+AH45-AQ44,IF(A45&lt;'Données projet'!$A$62,$AF$205^A45,IF(A45='Données projet'!$A$62,'Données projet'!$B$62,AI44+AH45-AQ44)))</f>
        <v>335.02307692307676</v>
      </c>
      <c r="AJ45" s="14">
        <f>AI45*VLOOKUP('Données projet'!$B$10,Paramètres!$A$1:$I$89,3,0)*VLOOKUP('Données projet'!$B$10,Paramètres!$A$1:$I$89,5,0)</f>
        <v>156.79079999999993</v>
      </c>
      <c r="AK45" s="14">
        <f t="shared" si="35"/>
        <v>40.117820037225876</v>
      </c>
      <c r="AL45" s="22">
        <f t="shared" si="4"/>
        <v>342.94917989816827</v>
      </c>
      <c r="AM45" s="62">
        <f t="shared" si="5"/>
        <v>636.28251323150153</v>
      </c>
      <c r="AN45" s="62">
        <f ca="1">AVERAGE(OFFSET($AM$3,0,0,'Données projet'!$E$10+1,1))-AVERAGE(OFFSET($H$3,0,0,'Données projet'!$E$10+1,1))</f>
        <v>276.78862011733338</v>
      </c>
      <c r="AO45" s="62">
        <f t="shared" si="36"/>
        <v>202.1678469635836</v>
      </c>
      <c r="AP45" s="16">
        <f>IF(ISNA(VLOOKUP(A45,'Données projet'!$A$61:$I$81,3,0)),0,VLOOKUP(A45,'Données projet'!$A$61:$I$81,3,0))</f>
        <v>1</v>
      </c>
      <c r="AQ45" s="16">
        <f>IF(ISNA(VLOOKUP(A45,'Données projet'!$A$61:$I$81,4,0)),0,VLOOKUP(A45,'Données projet'!$A$61:$I$81,4,0))</f>
        <v>104.98461538461537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120.15744000000002</v>
      </c>
      <c r="BF45" s="14">
        <f t="shared" si="37"/>
        <v>31.711716786129845</v>
      </c>
      <c r="BG45" s="22">
        <f t="shared" si="7"/>
        <v>264.50544806917623</v>
      </c>
      <c r="BH45" s="62">
        <f t="shared" si="8"/>
        <v>557.83878140250954</v>
      </c>
      <c r="BI45" s="62">
        <f ca="1">AVERAGE(OFFSET($BH$3,0,0,'Données projet'!$E$11+1,1))-AVERAGE(OFFSET($H$3,0,0,'Données projet'!$E$11+1,1))</f>
        <v>428.8489304403459</v>
      </c>
      <c r="BJ45" s="62">
        <f t="shared" si="38"/>
        <v>247.01165577562966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11.861538461538462</v>
      </c>
      <c r="BY45" s="13">
        <f>IF('Données projet'!$A$114&gt;35,BY44+BX45-CG44,IF(A45&lt;'Données projet'!$A$114,$BV$205^A45,IF(A45='Données projet'!$A$114,'Données projet'!$B$114,BY44+BX45-CG44)))</f>
        <v>196.19230769230765</v>
      </c>
      <c r="BZ45" s="14">
        <f>BY45*VLOOKUP('Données projet'!$B$12,Paramètres!$A$1:$I$89,3,0)*VLOOKUP('Données projet'!$B$12,Paramètres!$A$1:$I$89,5,0)</f>
        <v>117.32299999999999</v>
      </c>
      <c r="CA45" s="14">
        <f t="shared" si="39"/>
        <v>31.049815552357138</v>
      </c>
      <c r="CB45" s="22">
        <f t="shared" si="10"/>
        <v>258.41598708702196</v>
      </c>
      <c r="CC45" s="62">
        <f t="shared" si="11"/>
        <v>551.74932042035528</v>
      </c>
      <c r="CD45" s="62">
        <f ca="1">AVERAGE(OFFSET($CC$3,0,0,'Données projet'!$E$12+1,1))-AVERAGE(OFFSET($H$3,0,0,'Données projet'!$E$12+1,1))</f>
        <v>289.12367833861299</v>
      </c>
      <c r="CE45" s="62">
        <f t="shared" si="40"/>
        <v>229.06617320689003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6.4794298094147648E-2</v>
      </c>
      <c r="CN45" s="24">
        <f t="shared" si="12"/>
        <v>6.4794298094147648E-2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9.8199999999999932</v>
      </c>
      <c r="CT45" s="13">
        <f>IF('Données projet'!$A$140&gt;35,CT44+CS45-DB44,IF(A45&lt;'Données projet'!$A$140,$CQ$205^A45,IF(A45='Données projet'!$A$140,'Données projet'!$B$140,CT44+CS45-DB44)))</f>
        <v>212.7399999999999</v>
      </c>
      <c r="CU45" s="18">
        <f>CT45*VLOOKUP('Données projet'!$B$13,Paramètres!$A$1:$I$89,3,0)*VLOOKUP('Données projet'!$B$13,Paramètres!$A$1:$I$89,5,0)</f>
        <v>169.25594399999991</v>
      </c>
      <c r="CV45" s="14">
        <f t="shared" si="41"/>
        <v>42.923337274383478</v>
      </c>
      <c r="CW45" s="22">
        <f t="shared" si="13"/>
        <v>369.54558155288436</v>
      </c>
      <c r="CX45" s="62">
        <f t="shared" si="14"/>
        <v>662.87891488621767</v>
      </c>
      <c r="CY45" s="62">
        <f ca="1">AVERAGE(OFFSET($CX$3,0,0,'Données projet'!$E$13+1,1))-AVERAGE(OFFSET($H$3,0,0,'Données projet'!$E$13+1,1))</f>
        <v>370.59298168107364</v>
      </c>
      <c r="CZ45" s="62">
        <f t="shared" si="42"/>
        <v>404.61777090709171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7</v>
      </c>
      <c r="DO45" s="13">
        <f>IF('Données projet'!$A$166&gt;35,DO44+DN45-DW44,IF(A45&lt;'Données projet'!$A$166,$DL$205^A45,IF(A45='Données projet'!$A$166,'Données projet'!$B$166,DO44+DN45-DW44)))</f>
        <v>159.00000000000009</v>
      </c>
      <c r="DP45" s="18">
        <f>DO45*VLOOKUP('Données projet'!$B$14,Paramètres!$A$1:$I$89,3,0)*VLOOKUP('Données projet'!$B$14,Paramètres!$A$1:$I$89,5,0)</f>
        <v>138.90240000000011</v>
      </c>
      <c r="DQ45" s="14">
        <f t="shared" si="43"/>
        <v>36.045445680666461</v>
      </c>
      <c r="DR45" s="22">
        <f t="shared" si="16"/>
        <v>304.7008312271609</v>
      </c>
      <c r="DS45" s="62">
        <f t="shared" si="17"/>
        <v>598.03416456049422</v>
      </c>
      <c r="DT45" s="62">
        <f ca="1">AVERAGE(OFFSET($DS$3,0,0,'Données projet'!$E$14+1,1))-AVERAGE(OFFSET($H$3,0,0,'Données projet'!$E$14+1,1))</f>
        <v>341.65872153228599</v>
      </c>
      <c r="DU45" s="62">
        <f t="shared" si="44"/>
        <v>339.49697153894937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6.7948717948717956</v>
      </c>
      <c r="EJ45" s="13">
        <f>IF('Données projet'!$A$192&gt;35,EJ44+EI45-ER44,IF(A45&lt;'Données projet'!$A$192,$EG$205^A45,IF(A45='Données projet'!$A$192,'Données projet'!$B$192,EJ44+EI45-ER44)))</f>
        <v>170.00000000000003</v>
      </c>
      <c r="EK45" s="18">
        <f>EJ45*VLOOKUP('Données projet'!$B$15,Paramètres!$A$1:$I$89,3,0)*VLOOKUP('Données projet'!$B$15,Paramètres!$A$1:$I$89,5,0)</f>
        <v>114.03600000000002</v>
      </c>
      <c r="EL45" s="14">
        <f t="shared" si="45"/>
        <v>30.279894261296121</v>
      </c>
      <c r="EM45" s="22">
        <f t="shared" si="19"/>
        <v>251.35018250509077</v>
      </c>
      <c r="EN45" s="62">
        <f t="shared" si="20"/>
        <v>544.68351583842411</v>
      </c>
      <c r="EO45" s="62">
        <f ca="1">AVERAGE(OFFSET($EN$3,0,0,'Données projet'!$E$15+1,1))-AVERAGE(OFFSET($H$3,0,0,'Données projet'!$E$15+1,1))</f>
        <v>312.06797204903796</v>
      </c>
      <c r="EP45" s="62">
        <f t="shared" si="46"/>
        <v>258.20189001775151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8.4</v>
      </c>
      <c r="FE45" s="13">
        <f>IF('Données projet'!$A$218&gt;35,FE44+FD45-FM44,IF(A45&lt;'Données projet'!$A$218,$FB$205^A45,IF(A45='Données projet'!$A$218,'Données projet'!$B$218,FE44+FD45-FM44)))</f>
        <v>132.80000000000004</v>
      </c>
      <c r="FF45" s="18">
        <f>FE45*VLOOKUP('Données projet'!$B$16,Paramètres!$A$1:$I$89,3,0)*VLOOKUP('Données projet'!$B$16,Paramètres!$A$1:$I$89,5,0)</f>
        <v>128.44416000000004</v>
      </c>
      <c r="FG45" s="14">
        <f t="shared" si="47"/>
        <v>33.636598855068954</v>
      </c>
      <c r="FH45" s="22">
        <f t="shared" si="22"/>
        <v>282.29065500591184</v>
      </c>
      <c r="FI45" s="62">
        <f t="shared" si="23"/>
        <v>575.62398833924522</v>
      </c>
      <c r="FJ45" s="62">
        <f ca="1">AVERAGE(OFFSET($FI$3,0,0,'Données projet'!$E$16+1,1))-AVERAGE(OFFSET($H$3,0,0,'Données projet'!$E$16+1,1))</f>
        <v>455.50822833641354</v>
      </c>
      <c r="FK45" s="62">
        <f t="shared" si="48"/>
        <v>261.14722581688039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17.519780219780223</v>
      </c>
      <c r="N46" s="14">
        <f>IF('Données projet'!$A$36&gt;35,N45+M46-V45,IF(A46&lt;'Données projet'!$A$36,$K$205^A46,IF(A46='Données projet'!$A$36,'Données projet'!$B$36,N45+M46-V45)))</f>
        <v>299.45054945054954</v>
      </c>
      <c r="O46" s="14">
        <f>N46*VLOOKUP('Données projet'!$B$9,Paramètres!$A$1:$I$89,3,0)*VLOOKUP('Données projet'!$B$9,Paramètres!$A$1:$I$89,5,0)</f>
        <v>167.3928571428572</v>
      </c>
      <c r="P46" s="14">
        <f t="shared" si="33"/>
        <v>42.505586135425617</v>
      </c>
      <c r="Q46" s="22">
        <f t="shared" si="53"/>
        <v>365.57312204300916</v>
      </c>
      <c r="R46" s="62">
        <f t="shared" si="0"/>
        <v>658.90645537634248</v>
      </c>
      <c r="S46" s="62">
        <f ca="1">AVERAGE(OFFSET($R$3,0,0,'Données projet'!$E$9+1,1))-AVERAGE(OFFSET($H$3,0,0,'Données projet'!$E$9+1,1))</f>
        <v>323.98185264074681</v>
      </c>
      <c r="T46" s="62">
        <f t="shared" si="34"/>
        <v>301.22207291854005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3.4494485306981622</v>
      </c>
      <c r="AA46" s="23">
        <f>EXP(-LN(2)/25)*AA45+(1-EXP(-LN(2)/25))/(LN(2)/25)*Calculateur!V46*Calculateur!X46*VLOOKUP('Données projet'!$B$9,Paramètres!$A$1:$I$89,3,0)*0.475*44/12</f>
        <v>5.751434469446365</v>
      </c>
      <c r="AB46" s="23">
        <f>EXP(-LN(2)/2)*AB45+(1-EXP(-LN(2)/2))/(LN(2)/2)*V46*Y46*VLOOKUP('Données projet'!$B$9,Paramètres!$A$1:$I$89,3,0)*0.475*44/12</f>
        <v>6.7261402176000823E-2</v>
      </c>
      <c r="AC46" s="24">
        <f t="shared" si="3"/>
        <v>9.2681444023205284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14.623076923076923</v>
      </c>
      <c r="AI46" s="14">
        <f>IF('Données projet'!$A$62&gt;35,AI45+AH46-AQ45,IF(A46&lt;'Données projet'!$A$62,$AF$205^A46,IF(A46='Données projet'!$A$62,'Données projet'!$B$62,AI45+AH46-AQ45)))</f>
        <v>244.66153846153827</v>
      </c>
      <c r="AJ46" s="14">
        <f>AI46*VLOOKUP('Données projet'!$B$10,Paramètres!$A$1:$I$89,3,0)*VLOOKUP('Données projet'!$B$10,Paramètres!$A$1:$I$89,5,0)</f>
        <v>114.5015999999999</v>
      </c>
      <c r="AK46" s="14">
        <f t="shared" si="35"/>
        <v>30.389108183031023</v>
      </c>
      <c r="AL46" s="22">
        <f t="shared" si="4"/>
        <v>252.35131675211218</v>
      </c>
      <c r="AM46" s="62">
        <f t="shared" si="5"/>
        <v>545.68465008544547</v>
      </c>
      <c r="AN46" s="62">
        <f ca="1">AVERAGE(OFFSET($AM$3,0,0,'Données projet'!$E$10+1,1))-AVERAGE(OFFSET($H$3,0,0,'Données projet'!$E$10+1,1))</f>
        <v>276.78862011733338</v>
      </c>
      <c r="AO46" s="62">
        <f t="shared" si="36"/>
        <v>202.1678469635836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127.75776000000003</v>
      </c>
      <c r="BF46" s="14">
        <f t="shared" si="37"/>
        <v>33.477720030956604</v>
      </c>
      <c r="BG46" s="22">
        <f t="shared" si="7"/>
        <v>280.81846105391611</v>
      </c>
      <c r="BH46" s="62">
        <f t="shared" si="8"/>
        <v>574.15179438724942</v>
      </c>
      <c r="BI46" s="62">
        <f ca="1">AVERAGE(OFFSET($BH$3,0,0,'Données projet'!$E$11+1,1))-AVERAGE(OFFSET($H$3,0,0,'Données projet'!$E$11+1,1))</f>
        <v>428.8489304403459</v>
      </c>
      <c r="BJ46" s="62">
        <f t="shared" si="38"/>
        <v>247.01165577562966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11.861538461538462</v>
      </c>
      <c r="BY46" s="13">
        <f>IF('Données projet'!$A$114&gt;35,BY45+BX46-CG45,IF(A46&lt;'Données projet'!$A$114,$BV$205^A46,IF(A46='Données projet'!$A$114,'Données projet'!$B$114,BY45+BX46-CG45)))</f>
        <v>208.05384615384611</v>
      </c>
      <c r="BZ46" s="14">
        <f>BY46*VLOOKUP('Données projet'!$B$12,Paramètres!$A$1:$I$89,3,0)*VLOOKUP('Données projet'!$B$12,Paramètres!$A$1:$I$89,5,0)</f>
        <v>124.41619999999999</v>
      </c>
      <c r="CA46" s="14">
        <f t="shared" si="39"/>
        <v>32.702828934083335</v>
      </c>
      <c r="CB46" s="22">
        <f t="shared" si="10"/>
        <v>273.64897539352847</v>
      </c>
      <c r="CC46" s="62">
        <f t="shared" si="11"/>
        <v>566.98230872686179</v>
      </c>
      <c r="CD46" s="62">
        <f ca="1">AVERAGE(OFFSET($CC$3,0,0,'Données projet'!$E$12+1,1))-AVERAGE(OFFSET($H$3,0,0,'Données projet'!$E$12+1,1))</f>
        <v>289.12367833861299</v>
      </c>
      <c r="CE46" s="62">
        <f t="shared" si="40"/>
        <v>229.06617320689003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4.5816487564594395E-2</v>
      </c>
      <c r="CN46" s="24">
        <f t="shared" si="12"/>
        <v>4.5816487564594395E-2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9.8199999999999932</v>
      </c>
      <c r="CT46" s="13">
        <f>IF('Données projet'!$A$140&gt;35,CT45+CS46-DB45,IF(A46&lt;'Données projet'!$A$140,$CQ$205^A46,IF(A46='Données projet'!$A$140,'Données projet'!$B$140,CT45+CS46-DB45)))</f>
        <v>222.55999999999989</v>
      </c>
      <c r="CU46" s="18">
        <f>CT46*VLOOKUP('Données projet'!$B$13,Paramètres!$A$1:$I$89,3,0)*VLOOKUP('Données projet'!$B$13,Paramètres!$A$1:$I$89,5,0)</f>
        <v>177.06873599999992</v>
      </c>
      <c r="CV46" s="14">
        <f t="shared" si="41"/>
        <v>44.669412059753448</v>
      </c>
      <c r="CW46" s="22">
        <f t="shared" si="13"/>
        <v>386.19394120407043</v>
      </c>
      <c r="CX46" s="62">
        <f t="shared" si="14"/>
        <v>679.52727453740374</v>
      </c>
      <c r="CY46" s="62">
        <f ca="1">AVERAGE(OFFSET($CX$3,0,0,'Données projet'!$E$13+1,1))-AVERAGE(OFFSET($H$3,0,0,'Données projet'!$E$13+1,1))</f>
        <v>370.59298168107364</v>
      </c>
      <c r="CZ46" s="62">
        <f t="shared" si="42"/>
        <v>404.61777090709171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7</v>
      </c>
      <c r="DO46" s="13">
        <f>IF('Données projet'!$A$166&gt;35,DO45+DN46-DW45,IF(A46&lt;'Données projet'!$A$166,$DL$205^A46,IF(A46='Données projet'!$A$166,'Données projet'!$B$166,DO45+DN46-DW45)))</f>
        <v>166.00000000000009</v>
      </c>
      <c r="DP46" s="18">
        <f>DO46*VLOOKUP('Données projet'!$B$14,Paramètres!$A$1:$I$89,3,0)*VLOOKUP('Données projet'!$B$14,Paramètres!$A$1:$I$89,5,0)</f>
        <v>145.01760000000007</v>
      </c>
      <c r="DQ46" s="14">
        <f t="shared" si="43"/>
        <v>37.444100932065268</v>
      </c>
      <c r="DR46" s="22">
        <f t="shared" si="16"/>
        <v>317.78746245668049</v>
      </c>
      <c r="DS46" s="62">
        <f t="shared" si="17"/>
        <v>611.12079579001374</v>
      </c>
      <c r="DT46" s="62">
        <f ca="1">AVERAGE(OFFSET($DS$3,0,0,'Données projet'!$E$14+1,1))-AVERAGE(OFFSET($H$3,0,0,'Données projet'!$E$14+1,1))</f>
        <v>341.65872153228599</v>
      </c>
      <c r="DU46" s="62">
        <f t="shared" si="44"/>
        <v>339.49697153894937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6.7948717948717956</v>
      </c>
      <c r="EJ46" s="13">
        <f>IF('Données projet'!$A$192&gt;35,EJ45+EI46-ER45,IF(A46&lt;'Données projet'!$A$192,$EG$205^A46,IF(A46='Données projet'!$A$192,'Données projet'!$B$192,EJ45+EI46-ER45)))</f>
        <v>176.79487179487182</v>
      </c>
      <c r="EK46" s="18">
        <f>EJ46*VLOOKUP('Données projet'!$B$15,Paramètres!$A$1:$I$89,3,0)*VLOOKUP('Données projet'!$B$15,Paramètres!$A$1:$I$89,5,0)</f>
        <v>118.59400000000002</v>
      </c>
      <c r="EL46" s="14">
        <f t="shared" si="45"/>
        <v>31.346848285873225</v>
      </c>
      <c r="EM46" s="22">
        <f t="shared" si="19"/>
        <v>261.14697743122923</v>
      </c>
      <c r="EN46" s="62">
        <f t="shared" si="20"/>
        <v>554.48031076456255</v>
      </c>
      <c r="EO46" s="62">
        <f ca="1">AVERAGE(OFFSET($EN$3,0,0,'Données projet'!$E$15+1,1))-AVERAGE(OFFSET($H$3,0,0,'Données projet'!$E$15+1,1))</f>
        <v>312.06797204903796</v>
      </c>
      <c r="EP46" s="62">
        <f t="shared" si="46"/>
        <v>258.20189001775151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8.4</v>
      </c>
      <c r="FE46" s="13">
        <f>IF('Données projet'!$A$218&gt;35,FE45+FD46-FM45,IF(A46&lt;'Données projet'!$A$218,$FB$205^A46,IF(A46='Données projet'!$A$218,'Données projet'!$B$218,FE45+FD46-FM45)))</f>
        <v>141.20000000000005</v>
      </c>
      <c r="FF46" s="18">
        <f>FE46*VLOOKUP('Données projet'!$B$16,Paramètres!$A$1:$I$89,3,0)*VLOOKUP('Données projet'!$B$16,Paramètres!$A$1:$I$89,5,0)</f>
        <v>136.56864000000004</v>
      </c>
      <c r="FG46" s="14">
        <f t="shared" si="47"/>
        <v>35.509797430964703</v>
      </c>
      <c r="FH46" s="22">
        <f t="shared" si="22"/>
        <v>299.70327852559694</v>
      </c>
      <c r="FI46" s="62">
        <f t="shared" si="23"/>
        <v>593.0366118589302</v>
      </c>
      <c r="FJ46" s="62">
        <f ca="1">AVERAGE(OFFSET($FI$3,0,0,'Données projet'!$E$16+1,1))-AVERAGE(OFFSET($H$3,0,0,'Données projet'!$E$16+1,1))</f>
        <v>455.50822833641354</v>
      </c>
      <c r="FK46" s="62">
        <f t="shared" si="48"/>
        <v>261.14722581688039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17.519780219780223</v>
      </c>
      <c r="N47" s="14">
        <f>IF('Données projet'!$A$36&gt;35,N46+M47-V46,IF(A47&lt;'Données projet'!$A$36,$K$205^A47,IF(A47='Données projet'!$A$36,'Données projet'!$B$36,N46+M47-V46)))</f>
        <v>316.97032967032976</v>
      </c>
      <c r="O47" s="14">
        <f>N47*VLOOKUP('Données projet'!$B$9,Paramètres!$A$1:$I$89,3,0)*VLOOKUP('Données projet'!$B$9,Paramètres!$A$1:$I$89,5,0)</f>
        <v>177.18641428571433</v>
      </c>
      <c r="P47" s="14">
        <f t="shared" si="33"/>
        <v>44.695642380138821</v>
      </c>
      <c r="Q47" s="22">
        <f t="shared" si="53"/>
        <v>386.44458202636088</v>
      </c>
      <c r="R47" s="62">
        <f t="shared" si="0"/>
        <v>679.77791535969413</v>
      </c>
      <c r="S47" s="62">
        <f ca="1">AVERAGE(OFFSET($R$3,0,0,'Données projet'!$E$9+1,1))-AVERAGE(OFFSET($H$3,0,0,'Données projet'!$E$9+1,1))</f>
        <v>323.98185264074681</v>
      </c>
      <c r="T47" s="62">
        <f t="shared" si="34"/>
        <v>301.22207291854005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3.3818069489670264</v>
      </c>
      <c r="AA47" s="23">
        <f>EXP(-LN(2)/25)*AA46+(1-EXP(-LN(2)/25))/(LN(2)/25)*Calculateur!V47*Calculateur!X47*VLOOKUP('Données projet'!$B$9,Paramètres!$A$1:$I$89,3,0)*0.475*44/12</f>
        <v>5.5941611914245604</v>
      </c>
      <c r="AB47" s="23">
        <f>EXP(-LN(2)/2)*AB46+(1-EXP(-LN(2)/2))/(LN(2)/2)*V47*Y47*VLOOKUP('Données projet'!$B$9,Paramètres!$A$1:$I$89,3,0)*0.475*44/12</f>
        <v>4.7560993590765786E-2</v>
      </c>
      <c r="AC47" s="24">
        <f t="shared" si="3"/>
        <v>9.0235291339823522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14.623076923076923</v>
      </c>
      <c r="AI47" s="14">
        <f>IF('Données projet'!$A$62&gt;35,AI46+AH47-AQ46,IF(A47&lt;'Données projet'!$A$62,$AF$205^A47,IF(A47='Données projet'!$A$62,'Données projet'!$B$62,AI46+AH47-AQ46)))</f>
        <v>259.28461538461522</v>
      </c>
      <c r="AJ47" s="14">
        <f>AI47*VLOOKUP('Données projet'!$B$10,Paramètres!$A$1:$I$89,3,0)*VLOOKUP('Données projet'!$B$10,Paramètres!$A$1:$I$89,5,0)</f>
        <v>121.34519999999992</v>
      </c>
      <c r="AK47" s="14">
        <f t="shared" si="35"/>
        <v>31.988541257640492</v>
      </c>
      <c r="AL47" s="22">
        <f t="shared" si="4"/>
        <v>267.05626602372371</v>
      </c>
      <c r="AM47" s="62">
        <f t="shared" si="5"/>
        <v>560.38959935705702</v>
      </c>
      <c r="AN47" s="62">
        <f ca="1">AVERAGE(OFFSET($AM$3,0,0,'Données projet'!$E$10+1,1))-AVERAGE(OFFSET($H$3,0,0,'Données projet'!$E$10+1,1))</f>
        <v>276.78862011733338</v>
      </c>
      <c r="AO47" s="62">
        <f t="shared" si="36"/>
        <v>202.1678469635836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135.35808000000006</v>
      </c>
      <c r="BF47" s="14">
        <f t="shared" si="37"/>
        <v>35.231528980112834</v>
      </c>
      <c r="BG47" s="22">
        <f t="shared" si="7"/>
        <v>297.11023564036327</v>
      </c>
      <c r="BH47" s="62">
        <f t="shared" si="8"/>
        <v>590.44356897369653</v>
      </c>
      <c r="BI47" s="62">
        <f ca="1">AVERAGE(OFFSET($BH$3,0,0,'Données projet'!$E$11+1,1))-AVERAGE(OFFSET($H$3,0,0,'Données projet'!$E$11+1,1))</f>
        <v>428.8489304403459</v>
      </c>
      <c r="BJ47" s="62">
        <f t="shared" si="38"/>
        <v>247.01165577562966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11.861538461538462</v>
      </c>
      <c r="BY47" s="13">
        <f>IF('Données projet'!$A$114&gt;35,BY46+BX47-CG46,IF(A47&lt;'Données projet'!$A$114,$BV$205^A47,IF(A47='Données projet'!$A$114,'Données projet'!$B$114,BY46+BX47-CG46)))</f>
        <v>219.91538461538457</v>
      </c>
      <c r="BZ47" s="14">
        <f>BY47*VLOOKUP('Données projet'!$B$12,Paramètres!$A$1:$I$89,3,0)*VLOOKUP('Données projet'!$B$12,Paramètres!$A$1:$I$89,5,0)</f>
        <v>131.50939999999997</v>
      </c>
      <c r="CA47" s="14">
        <f t="shared" si="39"/>
        <v>34.344902681781569</v>
      </c>
      <c r="CB47" s="22">
        <f t="shared" si="10"/>
        <v>288.86291050410284</v>
      </c>
      <c r="CC47" s="62">
        <f t="shared" si="11"/>
        <v>582.19624383743621</v>
      </c>
      <c r="CD47" s="62">
        <f ca="1">AVERAGE(OFFSET($CC$3,0,0,'Données projet'!$E$12+1,1))-AVERAGE(OFFSET($H$3,0,0,'Données projet'!$E$12+1,1))</f>
        <v>289.12367833861299</v>
      </c>
      <c r="CE47" s="62">
        <f t="shared" si="40"/>
        <v>229.06617320689003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3.2397149047073824E-2</v>
      </c>
      <c r="CN47" s="24">
        <f t="shared" si="12"/>
        <v>3.2397149047073824E-2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9.8199999999999932</v>
      </c>
      <c r="CT47" s="13">
        <f>IF('Données projet'!$A$140&gt;35,CT46+CS47-DB46,IF(A47&lt;'Données projet'!$A$140,$CQ$205^A47,IF(A47='Données projet'!$A$140,'Données projet'!$B$140,CT46+CS47-DB46)))</f>
        <v>232.37999999999988</v>
      </c>
      <c r="CU47" s="18">
        <f>CT47*VLOOKUP('Données projet'!$B$13,Paramètres!$A$1:$I$89,3,0)*VLOOKUP('Données projet'!$B$13,Paramètres!$A$1:$I$89,5,0)</f>
        <v>184.88152799999992</v>
      </c>
      <c r="CV47" s="14">
        <f t="shared" si="41"/>
        <v>46.406539086581006</v>
      </c>
      <c r="CW47" s="22">
        <f t="shared" si="13"/>
        <v>402.82671684246179</v>
      </c>
      <c r="CX47" s="62">
        <f t="shared" si="14"/>
        <v>696.16005017579505</v>
      </c>
      <c r="CY47" s="62">
        <f ca="1">AVERAGE(OFFSET($CX$3,0,0,'Données projet'!$E$13+1,1))-AVERAGE(OFFSET($H$3,0,0,'Données projet'!$E$13+1,1))</f>
        <v>370.59298168107364</v>
      </c>
      <c r="CZ47" s="62">
        <f t="shared" si="42"/>
        <v>404.61777090709171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7</v>
      </c>
      <c r="DO47" s="13">
        <f>IF('Données projet'!$A$166&gt;35,DO46+DN47-DW46,IF(A47&lt;'Données projet'!$A$166,$DL$205^A47,IF(A47='Données projet'!$A$166,'Données projet'!$B$166,DO46+DN47-DW46)))</f>
        <v>173.00000000000009</v>
      </c>
      <c r="DP47" s="18">
        <f>DO47*VLOOKUP('Données projet'!$B$14,Paramètres!$A$1:$I$89,3,0)*VLOOKUP('Données projet'!$B$14,Paramètres!$A$1:$I$89,5,0)</f>
        <v>151.13280000000009</v>
      </c>
      <c r="DQ47" s="14">
        <f t="shared" si="43"/>
        <v>38.835905653934461</v>
      </c>
      <c r="DR47" s="22">
        <f t="shared" si="16"/>
        <v>330.8621623472693</v>
      </c>
      <c r="DS47" s="62">
        <f t="shared" si="17"/>
        <v>624.19549568060256</v>
      </c>
      <c r="DT47" s="62">
        <f ca="1">AVERAGE(OFFSET($DS$3,0,0,'Données projet'!$E$14+1,1))-AVERAGE(OFFSET($H$3,0,0,'Données projet'!$E$14+1,1))</f>
        <v>341.65872153228599</v>
      </c>
      <c r="DU47" s="62">
        <f t="shared" si="44"/>
        <v>339.49697153894937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6.7948717948717956</v>
      </c>
      <c r="EJ47" s="13">
        <f>IF('Données projet'!$A$192&gt;35,EJ46+EI47-ER46,IF(A47&lt;'Données projet'!$A$192,$EG$205^A47,IF(A47='Données projet'!$A$192,'Données projet'!$B$192,EJ46+EI47-ER46)))</f>
        <v>183.58974358974362</v>
      </c>
      <c r="EK47" s="18">
        <f>EJ47*VLOOKUP('Données projet'!$B$15,Paramètres!$A$1:$I$89,3,0)*VLOOKUP('Données projet'!$B$15,Paramètres!$A$1:$I$89,5,0)</f>
        <v>123.15200000000002</v>
      </c>
      <c r="EL47" s="14">
        <f t="shared" si="45"/>
        <v>32.409038525483382</v>
      </c>
      <c r="EM47" s="22">
        <f t="shared" si="19"/>
        <v>270.93547543188362</v>
      </c>
      <c r="EN47" s="62">
        <f t="shared" si="20"/>
        <v>564.26880876521693</v>
      </c>
      <c r="EO47" s="62">
        <f ca="1">AVERAGE(OFFSET($EN$3,0,0,'Données projet'!$E$15+1,1))-AVERAGE(OFFSET($H$3,0,0,'Données projet'!$E$15+1,1))</f>
        <v>312.06797204903796</v>
      </c>
      <c r="EP47" s="62">
        <f t="shared" si="46"/>
        <v>258.20189001775151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8.4</v>
      </c>
      <c r="FE47" s="13">
        <f>IF('Données projet'!$A$218&gt;35,FE46+FD47-FM46,IF(A47&lt;'Données projet'!$A$218,$FB$205^A47,IF(A47='Données projet'!$A$218,'Données projet'!$B$218,FE46+FD47-FM46)))</f>
        <v>149.60000000000005</v>
      </c>
      <c r="FF47" s="18">
        <f>FE47*VLOOKUP('Données projet'!$B$16,Paramètres!$A$1:$I$89,3,0)*VLOOKUP('Données projet'!$B$16,Paramètres!$A$1:$I$89,5,0)</f>
        <v>144.69312000000005</v>
      </c>
      <c r="FG47" s="14">
        <f t="shared" si="47"/>
        <v>37.370061524802772</v>
      </c>
      <c r="FH47" s="22">
        <f t="shared" si="22"/>
        <v>317.09337448903153</v>
      </c>
      <c r="FI47" s="62">
        <f t="shared" si="23"/>
        <v>610.42670782236485</v>
      </c>
      <c r="FJ47" s="62">
        <f ca="1">AVERAGE(OFFSET($FI$3,0,0,'Données projet'!$E$16+1,1))-AVERAGE(OFFSET($H$3,0,0,'Données projet'!$E$16+1,1))</f>
        <v>455.50822833641354</v>
      </c>
      <c r="FK47" s="62">
        <f t="shared" si="48"/>
        <v>261.14722581688039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17.519780219780223</v>
      </c>
      <c r="N48" s="14">
        <f>IF('Données projet'!$A$36&gt;35,N47+M48-V47,IF(A48&lt;'Données projet'!$A$36,$K$205^A48,IF(A48='Données projet'!$A$36,'Données projet'!$B$36,N47+M48-V47)))</f>
        <v>334.49010989010998</v>
      </c>
      <c r="O48" s="14">
        <f>N48*VLOOKUP('Données projet'!$B$9,Paramètres!$A$1:$I$89,3,0)*VLOOKUP('Données projet'!$B$9,Paramètres!$A$1:$I$89,5,0)</f>
        <v>186.9799714285715</v>
      </c>
      <c r="P48" s="14">
        <f t="shared" si="33"/>
        <v>46.871646064498115</v>
      </c>
      <c r="Q48" s="22">
        <f t="shared" si="53"/>
        <v>407.29156713376295</v>
      </c>
      <c r="R48" s="62">
        <f t="shared" si="0"/>
        <v>700.62490046709627</v>
      </c>
      <c r="S48" s="62">
        <f ca="1">AVERAGE(OFFSET($R$3,0,0,'Données projet'!$E$9+1,1))-AVERAGE(OFFSET($H$3,0,0,'Données projet'!$E$9+1,1))</f>
        <v>323.98185264074681</v>
      </c>
      <c r="T48" s="62">
        <f t="shared" si="34"/>
        <v>301.22207291854005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3.3154917773963475</v>
      </c>
      <c r="AA48" s="23">
        <f>EXP(-LN(2)/25)*AA47+(1-EXP(-LN(2)/25))/(LN(2)/25)*Calculateur!V48*Calculateur!X48*VLOOKUP('Données projet'!$B$9,Paramètres!$A$1:$I$89,3,0)*0.475*44/12</f>
        <v>5.4411885594609046</v>
      </c>
      <c r="AB48" s="23">
        <f>EXP(-LN(2)/2)*AB47+(1-EXP(-LN(2)/2))/(LN(2)/2)*V48*Y48*VLOOKUP('Données projet'!$B$9,Paramètres!$A$1:$I$89,3,0)*0.475*44/12</f>
        <v>3.3630701088000411E-2</v>
      </c>
      <c r="AC48" s="24">
        <f t="shared" si="3"/>
        <v>8.7903110379452531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14.623076923076923</v>
      </c>
      <c r="AI48" s="14">
        <f>IF('Données projet'!$A$62&gt;35,AI47+AH48-AQ47,IF(A48&lt;'Données projet'!$A$62,$AF$205^A48,IF(A48='Données projet'!$A$62,'Données projet'!$B$62,AI47+AH48-AQ47)))</f>
        <v>273.90769230769217</v>
      </c>
      <c r="AJ48" s="14">
        <f>AI48*VLOOKUP('Données projet'!$B$10,Paramètres!$A$1:$I$89,3,0)*VLOOKUP('Données projet'!$B$10,Paramètres!$A$1:$I$89,5,0)</f>
        <v>128.18879999999993</v>
      </c>
      <c r="AK48" s="14">
        <f t="shared" si="35"/>
        <v>33.577503060632324</v>
      </c>
      <c r="AL48" s="22">
        <f t="shared" si="4"/>
        <v>281.74297783060115</v>
      </c>
      <c r="AM48" s="62">
        <f t="shared" si="5"/>
        <v>575.07631116393441</v>
      </c>
      <c r="AN48" s="62">
        <f ca="1">AVERAGE(OFFSET($AM$3,0,0,'Données projet'!$E$10+1,1))-AVERAGE(OFFSET($H$3,0,0,'Données projet'!$E$10+1,1))</f>
        <v>276.78862011733338</v>
      </c>
      <c r="AO48" s="62">
        <f t="shared" si="36"/>
        <v>202.1678469635836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142.95840000000004</v>
      </c>
      <c r="BF48" s="14">
        <f t="shared" si="37"/>
        <v>36.973906370811264</v>
      </c>
      <c r="BG48" s="22">
        <f t="shared" si="7"/>
        <v>313.38210026249641</v>
      </c>
      <c r="BH48" s="62">
        <f t="shared" si="8"/>
        <v>606.71543359582972</v>
      </c>
      <c r="BI48" s="62">
        <f ca="1">AVERAGE(OFFSET($BH$3,0,0,'Données projet'!$E$11+1,1))-AVERAGE(OFFSET($H$3,0,0,'Données projet'!$E$11+1,1))</f>
        <v>428.8489304403459</v>
      </c>
      <c r="BJ48" s="62">
        <f t="shared" si="38"/>
        <v>247.01165577562966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11.861538461538462</v>
      </c>
      <c r="BY48" s="13">
        <f>IF('Données projet'!$A$114&gt;35,BY47+BX48-CG47,IF(A48&lt;'Données projet'!$A$114,$BV$205^A48,IF(A48='Données projet'!$A$114,'Données projet'!$B$114,BY47+BX48-CG47)))</f>
        <v>231.77692307692303</v>
      </c>
      <c r="BZ48" s="14">
        <f>BY48*VLOOKUP('Données projet'!$B$12,Paramètres!$A$1:$I$89,3,0)*VLOOKUP('Données projet'!$B$12,Paramètres!$A$1:$I$89,5,0)</f>
        <v>138.60259999999997</v>
      </c>
      <c r="CA48" s="14">
        <f t="shared" si="39"/>
        <v>35.976694116938198</v>
      </c>
      <c r="CB48" s="22">
        <f t="shared" si="10"/>
        <v>304.0589372536673</v>
      </c>
      <c r="CC48" s="62">
        <f t="shared" si="11"/>
        <v>597.39227058700067</v>
      </c>
      <c r="CD48" s="62">
        <f ca="1">AVERAGE(OFFSET($CC$3,0,0,'Données projet'!$E$12+1,1))-AVERAGE(OFFSET($H$3,0,0,'Données projet'!$E$12+1,1))</f>
        <v>289.12367833861299</v>
      </c>
      <c r="CE48" s="62">
        <f t="shared" si="40"/>
        <v>229.06617320689003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2.2908243782297198E-2</v>
      </c>
      <c r="CN48" s="24">
        <f t="shared" si="12"/>
        <v>2.2908243782297198E-2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242.2</v>
      </c>
      <c r="CR48" s="13">
        <f>VLOOKUP(A48,'Données projet'!$A$139:$I$159,9,0)</f>
        <v>9.8199999999999932</v>
      </c>
      <c r="CS48" s="13">
        <f t="array" ref="CS48">INDEX(CR:CR,MIN(IF(ISNUMBER(CR48:CR244),ROW(CR48:CR244),"")))</f>
        <v>9.8199999999999932</v>
      </c>
      <c r="CT48" s="13">
        <f>IF('Données projet'!$A$140&gt;35,CT47+CS48-DB47,IF(A48&lt;'Données projet'!$A$140,$CQ$205^A48,IF(A48='Données projet'!$A$140,'Données projet'!$B$140,CT47+CS48-DB47)))</f>
        <v>242.19999999999987</v>
      </c>
      <c r="CU48" s="18">
        <f>CT48*VLOOKUP('Données projet'!$B$13,Paramètres!$A$1:$I$89,3,0)*VLOOKUP('Données projet'!$B$13,Paramètres!$A$1:$I$89,5,0)</f>
        <v>192.69431999999989</v>
      </c>
      <c r="CV48" s="14">
        <f t="shared" si="41"/>
        <v>48.13513970479886</v>
      </c>
      <c r="CW48" s="22">
        <f t="shared" si="13"/>
        <v>419.44464231919113</v>
      </c>
      <c r="CX48" s="62">
        <f t="shared" si="14"/>
        <v>712.77797565252445</v>
      </c>
      <c r="CY48" s="62">
        <f ca="1">AVERAGE(OFFSET($CX$3,0,0,'Données projet'!$E$13+1,1))-AVERAGE(OFFSET($H$3,0,0,'Données projet'!$E$13+1,1))</f>
        <v>370.59298168107364</v>
      </c>
      <c r="CZ48" s="62">
        <f t="shared" si="42"/>
        <v>404.61777090709171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180</v>
      </c>
      <c r="DM48" s="13">
        <f>VLOOKUP(A48,'Données projet'!$A$165:$I$185,9,0)</f>
        <v>7</v>
      </c>
      <c r="DN48" s="13">
        <f t="array" ref="DN48">INDEX(DM:DM,MIN(IF(ISNUMBER(DM48:DM244),ROW(DM48:DM244),"")))</f>
        <v>7</v>
      </c>
      <c r="DO48" s="13">
        <f>IF('Données projet'!$A$166&gt;35,DO47+DN48-DW47,IF(A48&lt;'Données projet'!$A$166,$DL$205^A48,IF(A48='Données projet'!$A$166,'Données projet'!$B$166,DO47+DN48-DW47)))</f>
        <v>180.00000000000009</v>
      </c>
      <c r="DP48" s="18">
        <f>DO48*VLOOKUP('Données projet'!$B$14,Paramètres!$A$1:$I$89,3,0)*VLOOKUP('Données projet'!$B$14,Paramètres!$A$1:$I$89,5,0)</f>
        <v>157.24800000000008</v>
      </c>
      <c r="DQ48" s="14">
        <f t="shared" si="43"/>
        <v>40.221168744348645</v>
      </c>
      <c r="DR48" s="22">
        <f t="shared" si="16"/>
        <v>343.92546889640738</v>
      </c>
      <c r="DS48" s="62">
        <f t="shared" si="17"/>
        <v>637.2588022297407</v>
      </c>
      <c r="DT48" s="62">
        <f ca="1">AVERAGE(OFFSET($DS$3,0,0,'Données projet'!$E$14+1,1))-AVERAGE(OFFSET($H$3,0,0,'Données projet'!$E$14+1,1))</f>
        <v>341.65872153228599</v>
      </c>
      <c r="DU48" s="62">
        <f t="shared" si="44"/>
        <v>339.49697153894937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190.38461538461539</v>
      </c>
      <c r="EH48" s="13">
        <f>VLOOKUP(A48,'Données projet'!$A$191:$I$211,9,0)</f>
        <v>6.7948717948717956</v>
      </c>
      <c r="EI48" s="13">
        <f t="array" ref="EI48">INDEX(EH:EH,MIN(IF(ISNUMBER(EH48:EH244),ROW(EH48:EH244),"")))</f>
        <v>6.7948717948717956</v>
      </c>
      <c r="EJ48" s="13">
        <f>IF('Données projet'!$A$192&gt;35,EJ47+EI48-ER47,IF(A48&lt;'Données projet'!$A$192,$EG$205^A48,IF(A48='Données projet'!$A$192,'Données projet'!$B$192,EJ47+EI48-ER47)))</f>
        <v>190.38461538461542</v>
      </c>
      <c r="EK48" s="18">
        <f>EJ48*VLOOKUP('Données projet'!$B$15,Paramètres!$A$1:$I$89,3,0)*VLOOKUP('Données projet'!$B$15,Paramètres!$A$1:$I$89,5,0)</f>
        <v>127.71000000000002</v>
      </c>
      <c r="EL48" s="14">
        <f t="shared" si="45"/>
        <v>33.466661484162984</v>
      </c>
      <c r="EM48" s="22">
        <f t="shared" si="19"/>
        <v>280.71601875158382</v>
      </c>
      <c r="EN48" s="62">
        <f t="shared" si="20"/>
        <v>574.04935208491713</v>
      </c>
      <c r="EO48" s="62">
        <f ca="1">AVERAGE(OFFSET($EN$3,0,0,'Données projet'!$E$15+1,1))-AVERAGE(OFFSET($H$3,0,0,'Données projet'!$E$15+1,1))</f>
        <v>312.06797204903796</v>
      </c>
      <c r="EP48" s="62">
        <f t="shared" si="46"/>
        <v>258.20189001775151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158</v>
      </c>
      <c r="FC48" s="13">
        <f>VLOOKUP(A48,'Données projet'!$A$217:$I$237,9,0)</f>
        <v>8.4</v>
      </c>
      <c r="FD48" s="13">
        <f t="array" ref="FD48">INDEX(FC:FC,MIN(IF(ISNUMBER(FC48:FC244),ROW(FC48:FC244),"")))</f>
        <v>8.4</v>
      </c>
      <c r="FE48" s="13">
        <f>IF('Données projet'!$A$218&gt;35,FE47+FD48-FM47,IF(A48&lt;'Données projet'!$A$218,$FB$205^A48,IF(A48='Données projet'!$A$218,'Données projet'!$B$218,FE47+FD48-FM47)))</f>
        <v>158.00000000000006</v>
      </c>
      <c r="FF48" s="18">
        <f>FE48*VLOOKUP('Données projet'!$B$16,Paramètres!$A$1:$I$89,3,0)*VLOOKUP('Données projet'!$B$16,Paramètres!$A$1:$I$89,5,0)</f>
        <v>152.81760000000006</v>
      </c>
      <c r="FG48" s="14">
        <f t="shared" si="47"/>
        <v>39.218200171484227</v>
      </c>
      <c r="FH48" s="22">
        <f t="shared" si="22"/>
        <v>334.46235196533513</v>
      </c>
      <c r="FI48" s="62">
        <f t="shared" si="23"/>
        <v>627.79568529866845</v>
      </c>
      <c r="FJ48" s="62">
        <f ca="1">AVERAGE(OFFSET($FI$3,0,0,'Données projet'!$E$16+1,1))-AVERAGE(OFFSET($H$3,0,0,'Données projet'!$E$16+1,1))</f>
        <v>455.50822833641354</v>
      </c>
      <c r="FK48" s="62">
        <f t="shared" si="48"/>
        <v>261.14722581688039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17.519780219780223</v>
      </c>
      <c r="N49" s="14">
        <f>IF('Données projet'!$A$36&gt;35,N48+M49-V48,IF(A49&lt;'Données projet'!$A$36,$K$205^A49,IF(A49='Données projet'!$A$36,'Données projet'!$B$36,N48+M49-V48)))</f>
        <v>352.00989010989019</v>
      </c>
      <c r="O49" s="14">
        <f>N49*VLOOKUP('Données projet'!$B$9,Paramètres!$A$1:$I$89,3,0)*VLOOKUP('Données projet'!$B$9,Paramètres!$A$1:$I$89,5,0)</f>
        <v>196.77352857142861</v>
      </c>
      <c r="P49" s="14">
        <f t="shared" si="33"/>
        <v>49.034417171503861</v>
      </c>
      <c r="Q49" s="22">
        <f t="shared" si="53"/>
        <v>428.11550550227406</v>
      </c>
      <c r="R49" s="62">
        <f t="shared" si="0"/>
        <v>721.44883883560738</v>
      </c>
      <c r="S49" s="62">
        <f ca="1">AVERAGE(OFFSET($R$3,0,0,'Données projet'!$E$9+1,1))-AVERAGE(OFFSET($H$3,0,0,'Données projet'!$E$9+1,1))</f>
        <v>323.98185264074681</v>
      </c>
      <c r="T49" s="62">
        <f t="shared" si="34"/>
        <v>301.22207291854005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3.2504770058919088</v>
      </c>
      <c r="AA49" s="23">
        <f>EXP(-LN(2)/25)*AA48+(1-EXP(-LN(2)/25))/(LN(2)/25)*Calculateur!V49*Calculateur!X49*VLOOKUP('Données projet'!$B$9,Paramètres!$A$1:$I$89,3,0)*0.475*44/12</f>
        <v>5.2923989721627756</v>
      </c>
      <c r="AB49" s="23">
        <f>EXP(-LN(2)/2)*AB48+(1-EXP(-LN(2)/2))/(LN(2)/2)*V49*Y49*VLOOKUP('Données projet'!$B$9,Paramètres!$A$1:$I$89,3,0)*0.475*44/12</f>
        <v>2.3780496795382893E-2</v>
      </c>
      <c r="AC49" s="24">
        <f t="shared" si="3"/>
        <v>8.5666564748500669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>
        <f>VLOOKUP(A49,'Données projet'!$A$61:$I$81,2,0)</f>
        <v>288.53076923076918</v>
      </c>
      <c r="AG49" s="13">
        <f>VLOOKUP(A49,'Données projet'!$A$61:$I$81,9,0)</f>
        <v>14.623076923076923</v>
      </c>
      <c r="AH49" s="13">
        <f t="array" ref="AH49">INDEX(AG:AG,MIN(IF(ISNUMBER(AG49:AG245),ROW(AG49:AG245),"")))</f>
        <v>14.623076923076923</v>
      </c>
      <c r="AI49" s="14">
        <f>IF('Données projet'!$A$62&gt;35,AI48+AH49-AQ48,IF(A49&lt;'Données projet'!$A$62,$AF$205^A49,IF(A49='Données projet'!$A$62,'Données projet'!$B$62,AI48+AH49-AQ48)))</f>
        <v>288.53076923076912</v>
      </c>
      <c r="AJ49" s="14">
        <f>AI49*VLOOKUP('Données projet'!$B$10,Paramètres!$A$1:$I$89,3,0)*VLOOKUP('Données projet'!$B$10,Paramètres!$A$1:$I$89,5,0)</f>
        <v>135.03239999999997</v>
      </c>
      <c r="AK49" s="14">
        <f t="shared" si="35"/>
        <v>35.156616363284463</v>
      </c>
      <c r="AL49" s="22">
        <f t="shared" si="4"/>
        <v>296.41253683272038</v>
      </c>
      <c r="AM49" s="62">
        <f t="shared" si="5"/>
        <v>589.74587016605369</v>
      </c>
      <c r="AN49" s="62">
        <f ca="1">AVERAGE(OFFSET($AM$3,0,0,'Données projet'!$E$10+1,1))-AVERAGE(OFFSET($H$3,0,0,'Données projet'!$E$10+1,1))</f>
        <v>276.78862011733338</v>
      </c>
      <c r="AO49" s="62">
        <f t="shared" si="36"/>
        <v>202.1678469635836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150.37776000000002</v>
      </c>
      <c r="BF49" s="14">
        <f t="shared" si="37"/>
        <v>38.664420365454049</v>
      </c>
      <c r="BG49" s="22">
        <f t="shared" si="7"/>
        <v>329.24846413649914</v>
      </c>
      <c r="BH49" s="62">
        <f t="shared" si="8"/>
        <v>622.58179746983251</v>
      </c>
      <c r="BI49" s="62">
        <f ca="1">AVERAGE(OFFSET($BH$3,0,0,'Données projet'!$E$11+1,1))-AVERAGE(OFFSET($H$3,0,0,'Données projet'!$E$11+1,1))</f>
        <v>428.8489304403459</v>
      </c>
      <c r="BJ49" s="62">
        <f t="shared" si="38"/>
        <v>247.01165577562966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11.861538461538462</v>
      </c>
      <c r="BY49" s="13">
        <f>IF('Données projet'!$A$114&gt;35,BY48+BX49-CG48,IF(A49&lt;'Données projet'!$A$114,$BV$205^A49,IF(A49='Données projet'!$A$114,'Données projet'!$B$114,BY48+BX49-CG48)))</f>
        <v>243.63846153846148</v>
      </c>
      <c r="BZ49" s="14">
        <f>BY49*VLOOKUP('Données projet'!$B$12,Paramètres!$A$1:$I$89,3,0)*VLOOKUP('Données projet'!$B$12,Paramètres!$A$1:$I$89,5,0)</f>
        <v>145.69579999999996</v>
      </c>
      <c r="CA49" s="14">
        <f t="shared" si="39"/>
        <v>37.598789481990465</v>
      </c>
      <c r="CB49" s="22">
        <f t="shared" si="10"/>
        <v>319.23807668113335</v>
      </c>
      <c r="CC49" s="62">
        <f t="shared" si="11"/>
        <v>612.57141001446666</v>
      </c>
      <c r="CD49" s="62">
        <f ca="1">AVERAGE(OFFSET($CC$3,0,0,'Données projet'!$E$12+1,1))-AVERAGE(OFFSET($H$3,0,0,'Données projet'!$E$12+1,1))</f>
        <v>289.12367833861299</v>
      </c>
      <c r="CE49" s="62">
        <f t="shared" si="40"/>
        <v>229.06617320689003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1.6198574523536912E-2</v>
      </c>
      <c r="CN49" s="24">
        <f t="shared" si="12"/>
        <v>1.6198574523536912E-2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8.5399999999999974</v>
      </c>
      <c r="CT49" s="13">
        <f>IF('Données projet'!$A$140&gt;35,CT48+CS49-DB48,IF(A49&lt;'Données projet'!$A$140,$CQ$205^A49,IF(A49='Données projet'!$A$140,'Données projet'!$B$140,CT48+CS49-DB48)))</f>
        <v>250.73999999999987</v>
      </c>
      <c r="CU49" s="18">
        <f>CT49*VLOOKUP('Données projet'!$B$13,Paramètres!$A$1:$I$89,3,0)*VLOOKUP('Données projet'!$B$13,Paramètres!$A$1:$I$89,5,0)</f>
        <v>199.48874399999991</v>
      </c>
      <c r="CV49" s="14">
        <f t="shared" si="41"/>
        <v>49.631792398634111</v>
      </c>
      <c r="CW49" s="22">
        <f t="shared" si="13"/>
        <v>433.88493422762093</v>
      </c>
      <c r="CX49" s="62">
        <f t="shared" si="14"/>
        <v>727.21826756095425</v>
      </c>
      <c r="CY49" s="62">
        <f ca="1">AVERAGE(OFFSET($CX$3,0,0,'Données projet'!$E$13+1,1))-AVERAGE(OFFSET($H$3,0,0,'Données projet'!$E$13+1,1))</f>
        <v>370.59298168107364</v>
      </c>
      <c r="CZ49" s="62">
        <f t="shared" si="42"/>
        <v>404.61777090709171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6.6</v>
      </c>
      <c r="DO49" s="13">
        <f>IF('Données projet'!$A$166&gt;35,DO48+DN49-DW48,IF(A49&lt;'Données projet'!$A$166,$DL$205^A49,IF(A49='Données projet'!$A$166,'Données projet'!$B$166,DO48+DN49-DW48)))</f>
        <v>186.60000000000008</v>
      </c>
      <c r="DP49" s="18">
        <f>DO49*VLOOKUP('Données projet'!$B$14,Paramètres!$A$1:$I$89,3,0)*VLOOKUP('Données projet'!$B$14,Paramètres!$A$1:$I$89,5,0)</f>
        <v>163.01376000000008</v>
      </c>
      <c r="DQ49" s="14">
        <f t="shared" si="43"/>
        <v>41.5215373664754</v>
      </c>
      <c r="DR49" s="22">
        <f t="shared" si="16"/>
        <v>356.23230957994474</v>
      </c>
      <c r="DS49" s="62">
        <f t="shared" si="17"/>
        <v>649.565642913278</v>
      </c>
      <c r="DT49" s="62">
        <f ca="1">AVERAGE(OFFSET($DS$3,0,0,'Données projet'!$E$14+1,1))-AVERAGE(OFFSET($H$3,0,0,'Données projet'!$E$14+1,1))</f>
        <v>341.65872153228599</v>
      </c>
      <c r="DU49" s="62">
        <f t="shared" si="44"/>
        <v>339.49697153894937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6.2820512820512819</v>
      </c>
      <c r="EJ49" s="13">
        <f>IF('Données projet'!$A$192&gt;35,EJ48+EI49-ER48,IF(A49&lt;'Données projet'!$A$192,$EG$205^A49,IF(A49='Données projet'!$A$192,'Données projet'!$B$192,EJ48+EI49-ER48)))</f>
        <v>196.66666666666669</v>
      </c>
      <c r="EK49" s="18">
        <f>EJ49*VLOOKUP('Données projet'!$B$15,Paramètres!$A$1:$I$89,3,0)*VLOOKUP('Données projet'!$B$15,Paramètres!$A$1:$I$89,5,0)</f>
        <v>131.92400000000001</v>
      </c>
      <c r="EL49" s="14">
        <f t="shared" si="45"/>
        <v>34.440558391692079</v>
      </c>
      <c r="EM49" s="22">
        <f t="shared" si="19"/>
        <v>289.75160586553034</v>
      </c>
      <c r="EN49" s="62">
        <f t="shared" si="20"/>
        <v>583.08493919886359</v>
      </c>
      <c r="EO49" s="62">
        <f ca="1">AVERAGE(OFFSET($EN$3,0,0,'Données projet'!$E$15+1,1))-AVERAGE(OFFSET($H$3,0,0,'Données projet'!$E$15+1,1))</f>
        <v>312.06797204903796</v>
      </c>
      <c r="EP49" s="62">
        <f t="shared" si="46"/>
        <v>258.20189001775151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8.1999999999999993</v>
      </c>
      <c r="FE49" s="13">
        <f>IF('Données projet'!$A$218&gt;35,FE48+FD49-FM48,IF(A49&lt;'Données projet'!$A$218,$FB$205^A49,IF(A49='Données projet'!$A$218,'Données projet'!$B$218,FE48+FD49-FM48)))</f>
        <v>166.20000000000005</v>
      </c>
      <c r="FF49" s="18">
        <f>FE49*VLOOKUP('Données projet'!$B$16,Paramètres!$A$1:$I$89,3,0)*VLOOKUP('Données projet'!$B$16,Paramètres!$A$1:$I$89,5,0)</f>
        <v>160.74864000000005</v>
      </c>
      <c r="FG49" s="14">
        <f t="shared" si="47"/>
        <v>41.011327345272264</v>
      </c>
      <c r="FH49" s="22">
        <f t="shared" si="22"/>
        <v>351.39860979301596</v>
      </c>
      <c r="FI49" s="62">
        <f t="shared" si="23"/>
        <v>644.73194312634928</v>
      </c>
      <c r="FJ49" s="62">
        <f ca="1">AVERAGE(OFFSET($FI$3,0,0,'Données projet'!$E$16+1,1))-AVERAGE(OFFSET($H$3,0,0,'Données projet'!$E$16+1,1))</f>
        <v>455.50822833641354</v>
      </c>
      <c r="FK49" s="62">
        <f t="shared" si="48"/>
        <v>261.14722581688039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17.519780219780223</v>
      </c>
      <c r="N50" s="14">
        <f>IF('Données projet'!$A$36&gt;35,N49+M50-V49,IF(A50&lt;'Données projet'!$A$36,$K$205^A50,IF(A50='Données projet'!$A$36,'Données projet'!$B$36,N49+M50-V49)))</f>
        <v>369.52967032967041</v>
      </c>
      <c r="O50" s="14">
        <f>N50*VLOOKUP('Données projet'!$B$9,Paramètres!$A$1:$I$89,3,0)*VLOOKUP('Données projet'!$B$9,Paramètres!$A$1:$I$89,5,0)</f>
        <v>206.56708571428578</v>
      </c>
      <c r="P50" s="14">
        <f t="shared" si="33"/>
        <v>51.184689450990696</v>
      </c>
      <c r="Q50" s="22">
        <f t="shared" si="53"/>
        <v>448.91767507952318</v>
      </c>
      <c r="R50" s="62">
        <f t="shared" si="0"/>
        <v>742.25100841285644</v>
      </c>
      <c r="S50" s="62">
        <f ca="1">AVERAGE(OFFSET($R$3,0,0,'Données projet'!$E$9+1,1))-AVERAGE(OFFSET($H$3,0,0,'Données projet'!$E$9+1,1))</f>
        <v>323.98185264074681</v>
      </c>
      <c r="T50" s="62">
        <f t="shared" si="34"/>
        <v>301.22207291854005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3.1867371344015769</v>
      </c>
      <c r="AA50" s="23">
        <f>EXP(-LN(2)/25)*AA49+(1-EXP(-LN(2)/25))/(LN(2)/25)*Calculateur!V50*Calculateur!X50*VLOOKUP('Données projet'!$B$9,Paramètres!$A$1:$I$89,3,0)*0.475*44/12</f>
        <v>5.1476780439538183</v>
      </c>
      <c r="AB50" s="23">
        <f>EXP(-LN(2)/2)*AB49+(1-EXP(-LN(2)/2))/(LN(2)/2)*V50*Y50*VLOOKUP('Données projet'!$B$9,Paramètres!$A$1:$I$89,3,0)*0.475*44/12</f>
        <v>1.6815350544000206E-2</v>
      </c>
      <c r="AC50" s="24">
        <f t="shared" si="3"/>
        <v>8.3512305288993964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15.355769230769241</v>
      </c>
      <c r="AI50" s="14">
        <f>IF('Données projet'!$A$62&gt;35,AI49+AH50-AQ49,IF(A50&lt;'Données projet'!$A$62,$AF$205^A50,IF(A50='Données projet'!$A$62,'Données projet'!$B$62,AI49+AH50-AQ49)))</f>
        <v>303.88653846153835</v>
      </c>
      <c r="AJ50" s="14">
        <f>AI50*VLOOKUP('Données projet'!$B$10,Paramètres!$A$1:$I$89,3,0)*VLOOKUP('Données projet'!$B$10,Paramètres!$A$1:$I$89,5,0)</f>
        <v>142.21889999999996</v>
      </c>
      <c r="AK50" s="14">
        <f t="shared" si="35"/>
        <v>36.804858181007042</v>
      </c>
      <c r="AL50" s="22">
        <f t="shared" si="4"/>
        <v>311.79971216525382</v>
      </c>
      <c r="AM50" s="62">
        <f t="shared" si="5"/>
        <v>605.13304549858708</v>
      </c>
      <c r="AN50" s="62">
        <f ca="1">AVERAGE(OFFSET($AM$3,0,0,'Données projet'!$E$10+1,1))-AVERAGE(OFFSET($H$3,0,0,'Données projet'!$E$10+1,1))</f>
        <v>276.78862011733338</v>
      </c>
      <c r="AO50" s="62">
        <f t="shared" si="36"/>
        <v>202.1678469635836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157.79712000000004</v>
      </c>
      <c r="BF50" s="14">
        <f t="shared" si="37"/>
        <v>40.345249481546155</v>
      </c>
      <c r="BG50" s="22">
        <f t="shared" si="7"/>
        <v>345.09796018035962</v>
      </c>
      <c r="BH50" s="62">
        <f t="shared" si="8"/>
        <v>638.43129351369294</v>
      </c>
      <c r="BI50" s="62">
        <f ca="1">AVERAGE(OFFSET($BH$3,0,0,'Données projet'!$E$11+1,1))-AVERAGE(OFFSET($H$3,0,0,'Données projet'!$E$11+1,1))</f>
        <v>428.8489304403459</v>
      </c>
      <c r="BJ50" s="62">
        <f t="shared" si="38"/>
        <v>247.01165577562966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11.861538461538462</v>
      </c>
      <c r="BY50" s="13">
        <f>IF('Données projet'!$A$114&gt;35,BY49+BX50-CG49,IF(A50&lt;'Données projet'!$A$114,$BV$205^A50,IF(A50='Données projet'!$A$114,'Données projet'!$B$114,BY49+BX50-CG49)))</f>
        <v>255.49999999999994</v>
      </c>
      <c r="BZ50" s="14">
        <f>BY50*VLOOKUP('Données projet'!$B$12,Paramètres!$A$1:$I$89,3,0)*VLOOKUP('Données projet'!$B$12,Paramètres!$A$1:$I$89,5,0)</f>
        <v>152.78899999999996</v>
      </c>
      <c r="CA50" s="14">
        <f t="shared" si="39"/>
        <v>39.211714711932316</v>
      </c>
      <c r="CB50" s="22">
        <f t="shared" si="10"/>
        <v>334.40124478994869</v>
      </c>
      <c r="CC50" s="62">
        <f t="shared" si="11"/>
        <v>627.73457812328206</v>
      </c>
      <c r="CD50" s="62">
        <f ca="1">AVERAGE(OFFSET($CC$3,0,0,'Données projet'!$E$12+1,1))-AVERAGE(OFFSET($H$3,0,0,'Données projet'!$E$12+1,1))</f>
        <v>289.12367833861299</v>
      </c>
      <c r="CE50" s="62">
        <f t="shared" si="40"/>
        <v>229.06617320689003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1.1454121891148599E-2</v>
      </c>
      <c r="CN50" s="24">
        <f t="shared" si="12"/>
        <v>1.1454121891148599E-2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8.5399999999999974</v>
      </c>
      <c r="CT50" s="13">
        <f>IF('Données projet'!$A$140&gt;35,CT49+CS50-DB49,IF(A50&lt;'Données projet'!$A$140,$CQ$205^A50,IF(A50='Données projet'!$A$140,'Données projet'!$B$140,CT49+CS50-DB49)))</f>
        <v>259.27999999999986</v>
      </c>
      <c r="CU50" s="18">
        <f>CT50*VLOOKUP('Données projet'!$B$13,Paramètres!$A$1:$I$89,3,0)*VLOOKUP('Données projet'!$B$13,Paramètres!$A$1:$I$89,5,0)</f>
        <v>206.2831679999999</v>
      </c>
      <c r="CV50" s="14">
        <f t="shared" si="41"/>
        <v>51.122522165494573</v>
      </c>
      <c r="CW50" s="22">
        <f t="shared" si="13"/>
        <v>448.31491037156951</v>
      </c>
      <c r="CX50" s="62">
        <f t="shared" si="14"/>
        <v>741.64824370490282</v>
      </c>
      <c r="CY50" s="62">
        <f ca="1">AVERAGE(OFFSET($CX$3,0,0,'Données projet'!$E$13+1,1))-AVERAGE(OFFSET($H$3,0,0,'Données projet'!$E$13+1,1))</f>
        <v>370.59298168107364</v>
      </c>
      <c r="CZ50" s="62">
        <f t="shared" si="42"/>
        <v>404.61777090709171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6.6</v>
      </c>
      <c r="DO50" s="13">
        <f>IF('Données projet'!$A$166&gt;35,DO49+DN50-DW49,IF(A50&lt;'Données projet'!$A$166,$DL$205^A50,IF(A50='Données projet'!$A$166,'Données projet'!$B$166,DO49+DN50-DW49)))</f>
        <v>193.20000000000007</v>
      </c>
      <c r="DP50" s="18">
        <f>DO50*VLOOKUP('Données projet'!$B$14,Paramètres!$A$1:$I$89,3,0)*VLOOKUP('Données projet'!$B$14,Paramètres!$A$1:$I$89,5,0)</f>
        <v>168.77952000000008</v>
      </c>
      <c r="DQ50" s="14">
        <f t="shared" si="43"/>
        <v>42.816562145177066</v>
      </c>
      <c r="DR50" s="22">
        <f t="shared" si="16"/>
        <v>368.52984306951686</v>
      </c>
      <c r="DS50" s="62">
        <f t="shared" si="17"/>
        <v>661.86317640285017</v>
      </c>
      <c r="DT50" s="62">
        <f ca="1">AVERAGE(OFFSET($DS$3,0,0,'Données projet'!$E$14+1,1))-AVERAGE(OFFSET($H$3,0,0,'Données projet'!$E$14+1,1))</f>
        <v>341.65872153228599</v>
      </c>
      <c r="DU50" s="62">
        <f t="shared" si="44"/>
        <v>339.49697153894937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6.2820512820512819</v>
      </c>
      <c r="EJ50" s="13">
        <f>IF('Données projet'!$A$192&gt;35,EJ49+EI50-ER49,IF(A50&lt;'Données projet'!$A$192,$EG$205^A50,IF(A50='Données projet'!$A$192,'Données projet'!$B$192,EJ49+EI50-ER49)))</f>
        <v>202.94871794871796</v>
      </c>
      <c r="EK50" s="18">
        <f>EJ50*VLOOKUP('Données projet'!$B$15,Paramètres!$A$1:$I$89,3,0)*VLOOKUP('Données projet'!$B$15,Paramètres!$A$1:$I$89,5,0)</f>
        <v>136.13800000000001</v>
      </c>
      <c r="EL50" s="14">
        <f t="shared" si="45"/>
        <v>35.410840305135217</v>
      </c>
      <c r="EM50" s="22">
        <f t="shared" si="19"/>
        <v>298.78089686477716</v>
      </c>
      <c r="EN50" s="62">
        <f t="shared" si="20"/>
        <v>592.11423019811048</v>
      </c>
      <c r="EO50" s="62">
        <f ca="1">AVERAGE(OFFSET($EN$3,0,0,'Données projet'!$E$15+1,1))-AVERAGE(OFFSET($H$3,0,0,'Données projet'!$E$15+1,1))</f>
        <v>312.06797204903796</v>
      </c>
      <c r="EP50" s="62">
        <f t="shared" si="46"/>
        <v>258.20189001775151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8.1999999999999993</v>
      </c>
      <c r="FE50" s="13">
        <f>IF('Données projet'!$A$218&gt;35,FE49+FD50-FM49,IF(A50&lt;'Données projet'!$A$218,$FB$205^A50,IF(A50='Données projet'!$A$218,'Données projet'!$B$218,FE49+FD50-FM49)))</f>
        <v>174.40000000000003</v>
      </c>
      <c r="FF50" s="18">
        <f>FE50*VLOOKUP('Données projet'!$B$16,Paramètres!$A$1:$I$89,3,0)*VLOOKUP('Données projet'!$B$16,Paramètres!$A$1:$I$89,5,0)</f>
        <v>168.67968000000002</v>
      </c>
      <c r="FG50" s="14">
        <f t="shared" si="47"/>
        <v>42.794181774227013</v>
      </c>
      <c r="FH50" s="22">
        <f t="shared" si="22"/>
        <v>368.3169759234454</v>
      </c>
      <c r="FI50" s="62">
        <f t="shared" si="23"/>
        <v>661.65030925677866</v>
      </c>
      <c r="FJ50" s="62">
        <f ca="1">AVERAGE(OFFSET($FI$3,0,0,'Données projet'!$E$16+1,1))-AVERAGE(OFFSET($H$3,0,0,'Données projet'!$E$16+1,1))</f>
        <v>455.50822833641354</v>
      </c>
      <c r="FK50" s="62">
        <f t="shared" si="48"/>
        <v>261.14722581688039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17.519780219780223</v>
      </c>
      <c r="N51" s="14">
        <f>IF('Données projet'!$A$36&gt;35,N50+M51-V50,IF(A51&lt;'Données projet'!$A$36,$K$205^A51,IF(A51='Données projet'!$A$36,'Données projet'!$B$36,N50+M51-V50)))</f>
        <v>387.04945054945063</v>
      </c>
      <c r="O51" s="14">
        <f>N51*VLOOKUP('Données projet'!$B$9,Paramètres!$A$1:$I$89,3,0)*VLOOKUP('Données projet'!$B$9,Paramètres!$A$1:$I$89,5,0)</f>
        <v>216.36064285714289</v>
      </c>
      <c r="P51" s="14">
        <f t="shared" si="33"/>
        <v>53.323123145592824</v>
      </c>
      <c r="Q51" s="22">
        <f t="shared" si="53"/>
        <v>469.69922578809798</v>
      </c>
      <c r="R51" s="62">
        <f t="shared" si="0"/>
        <v>763.03255912143129</v>
      </c>
      <c r="S51" s="62">
        <f ca="1">AVERAGE(OFFSET($R$3,0,0,'Données projet'!$E$9+1,1))-AVERAGE(OFFSET($H$3,0,0,'Données projet'!$E$9+1,1))</f>
        <v>323.98185264074681</v>
      </c>
      <c r="T51" s="62">
        <f t="shared" si="34"/>
        <v>301.22207291854005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3.1242471629136879</v>
      </c>
      <c r="AA51" s="23">
        <f>EXP(-LN(2)/25)*AA50+(1-EXP(-LN(2)/25))/(LN(2)/25)*Calculateur!V51*Calculateur!X51*VLOOKUP('Données projet'!$B$9,Paramètres!$A$1:$I$89,3,0)*0.475*44/12</f>
        <v>5.006914517137278</v>
      </c>
      <c r="AB51" s="23">
        <f>EXP(-LN(2)/2)*AB50+(1-EXP(-LN(2)/2))/(LN(2)/2)*V51*Y51*VLOOKUP('Données projet'!$B$9,Paramètres!$A$1:$I$89,3,0)*0.475*44/12</f>
        <v>1.1890248397691447E-2</v>
      </c>
      <c r="AC51" s="24">
        <f t="shared" si="3"/>
        <v>8.1430519284486564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15.355769230769241</v>
      </c>
      <c r="AI51" s="14">
        <f>IF('Données projet'!$A$62&gt;35,AI50+AH51-AQ50,IF(A51&lt;'Données projet'!$A$62,$AF$205^A51,IF(A51='Données projet'!$A$62,'Données projet'!$B$62,AI50+AH51-AQ50)))</f>
        <v>319.24230769230758</v>
      </c>
      <c r="AJ51" s="14">
        <f>AI51*VLOOKUP('Données projet'!$B$10,Paramètres!$A$1:$I$89,3,0)*VLOOKUP('Données projet'!$B$10,Paramètres!$A$1:$I$89,5,0)</f>
        <v>149.40539999999993</v>
      </c>
      <c r="AK51" s="14">
        <f t="shared" si="35"/>
        <v>38.443429417147598</v>
      </c>
      <c r="AL51" s="22">
        <f t="shared" si="4"/>
        <v>327.17004456819859</v>
      </c>
      <c r="AM51" s="62">
        <f t="shared" si="5"/>
        <v>620.50337790153185</v>
      </c>
      <c r="AN51" s="62">
        <f ca="1">AVERAGE(OFFSET($AM$3,0,0,'Données projet'!$E$10+1,1))-AVERAGE(OFFSET($H$3,0,0,'Données projet'!$E$10+1,1))</f>
        <v>276.78862011733338</v>
      </c>
      <c r="AO51" s="62">
        <f t="shared" si="36"/>
        <v>202.1678469635836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165.21648000000002</v>
      </c>
      <c r="BF51" s="14">
        <f t="shared" si="37"/>
        <v>42.016901084500397</v>
      </c>
      <c r="BG51" s="22">
        <f t="shared" si="7"/>
        <v>360.93147205550491</v>
      </c>
      <c r="BH51" s="62">
        <f t="shared" si="8"/>
        <v>654.26480538883823</v>
      </c>
      <c r="BI51" s="62">
        <f ca="1">AVERAGE(OFFSET($BH$3,0,0,'Données projet'!$E$11+1,1))-AVERAGE(OFFSET($H$3,0,0,'Données projet'!$E$11+1,1))</f>
        <v>428.8489304403459</v>
      </c>
      <c r="BJ51" s="62">
        <f t="shared" si="38"/>
        <v>247.01165577562966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11.861538461538462</v>
      </c>
      <c r="BY51" s="13">
        <f>IF('Données projet'!$A$114&gt;35,BY50+BX51-CG50,IF(A51&lt;'Données projet'!$A$114,$BV$205^A51,IF(A51='Données projet'!$A$114,'Données projet'!$B$114,BY50+BX51-CG50)))</f>
        <v>267.36153846153843</v>
      </c>
      <c r="BZ51" s="14">
        <f>BY51*VLOOKUP('Données projet'!$B$12,Paramètres!$A$1:$I$89,3,0)*VLOOKUP('Données projet'!$B$12,Paramètres!$A$1:$I$89,5,0)</f>
        <v>159.88219999999998</v>
      </c>
      <c r="CA51" s="14">
        <f t="shared" si="39"/>
        <v>40.815944149041762</v>
      </c>
      <c r="CB51" s="22">
        <f t="shared" si="10"/>
        <v>349.54926772624771</v>
      </c>
      <c r="CC51" s="62">
        <f t="shared" si="11"/>
        <v>642.88260105958102</v>
      </c>
      <c r="CD51" s="62">
        <f ca="1">AVERAGE(OFFSET($CC$3,0,0,'Données projet'!$E$12+1,1))-AVERAGE(OFFSET($H$3,0,0,'Données projet'!$E$12+1,1))</f>
        <v>289.12367833861299</v>
      </c>
      <c r="CE51" s="62">
        <f t="shared" si="40"/>
        <v>229.06617320689003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8.099287261768456E-3</v>
      </c>
      <c r="CN51" s="24">
        <f t="shared" si="12"/>
        <v>8.099287261768456E-3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8.5399999999999974</v>
      </c>
      <c r="CT51" s="13">
        <f>IF('Données projet'!$A$140&gt;35,CT50+CS51-DB50,IF(A51&lt;'Données projet'!$A$140,$CQ$205^A51,IF(A51='Données projet'!$A$140,'Données projet'!$B$140,CT50+CS51-DB50)))</f>
        <v>267.81999999999988</v>
      </c>
      <c r="CU51" s="18">
        <f>CT51*VLOOKUP('Données projet'!$B$13,Paramètres!$A$1:$I$89,3,0)*VLOOKUP('Données projet'!$B$13,Paramètres!$A$1:$I$89,5,0)</f>
        <v>213.07759199999992</v>
      </c>
      <c r="CV51" s="14">
        <f t="shared" si="41"/>
        <v>52.607546461832449</v>
      </c>
      <c r="CW51" s="22">
        <f t="shared" si="13"/>
        <v>462.73494948769138</v>
      </c>
      <c r="CX51" s="62">
        <f t="shared" si="14"/>
        <v>756.0682828210247</v>
      </c>
      <c r="CY51" s="62">
        <f ca="1">AVERAGE(OFFSET($CX$3,0,0,'Données projet'!$E$13+1,1))-AVERAGE(OFFSET($H$3,0,0,'Données projet'!$E$13+1,1))</f>
        <v>370.59298168107364</v>
      </c>
      <c r="CZ51" s="62">
        <f t="shared" si="42"/>
        <v>404.61777090709171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6.6</v>
      </c>
      <c r="DO51" s="13">
        <f>IF('Données projet'!$A$166&gt;35,DO50+DN51-DW50,IF(A51&lt;'Données projet'!$A$166,$DL$205^A51,IF(A51='Données projet'!$A$166,'Données projet'!$B$166,DO50+DN51-DW50)))</f>
        <v>199.80000000000007</v>
      </c>
      <c r="DP51" s="18">
        <f>DO51*VLOOKUP('Données projet'!$B$14,Paramètres!$A$1:$I$89,3,0)*VLOOKUP('Données projet'!$B$14,Paramètres!$A$1:$I$89,5,0)</f>
        <v>174.54528000000008</v>
      </c>
      <c r="DQ51" s="14">
        <f t="shared" si="43"/>
        <v>44.106446559112001</v>
      </c>
      <c r="DR51" s="22">
        <f t="shared" si="16"/>
        <v>380.81842375712017</v>
      </c>
      <c r="DS51" s="62">
        <f t="shared" si="17"/>
        <v>674.15175709045343</v>
      </c>
      <c r="DT51" s="62">
        <f ca="1">AVERAGE(OFFSET($DS$3,0,0,'Données projet'!$E$14+1,1))-AVERAGE(OFFSET($H$3,0,0,'Données projet'!$E$14+1,1))</f>
        <v>341.65872153228599</v>
      </c>
      <c r="DU51" s="62">
        <f t="shared" si="44"/>
        <v>339.49697153894937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6.2820512820512819</v>
      </c>
      <c r="EJ51" s="13">
        <f>IF('Données projet'!$A$192&gt;35,EJ50+EI51-ER50,IF(A51&lt;'Données projet'!$A$192,$EG$205^A51,IF(A51='Données projet'!$A$192,'Données projet'!$B$192,EJ50+EI51-ER50)))</f>
        <v>209.23076923076923</v>
      </c>
      <c r="EK51" s="18">
        <f>EJ51*VLOOKUP('Données projet'!$B$15,Paramètres!$A$1:$I$89,3,0)*VLOOKUP('Données projet'!$B$15,Paramètres!$A$1:$I$89,5,0)</f>
        <v>140.352</v>
      </c>
      <c r="EL51" s="14">
        <f t="shared" si="45"/>
        <v>36.377631963176114</v>
      </c>
      <c r="EM51" s="22">
        <f t="shared" si="19"/>
        <v>307.80410900253173</v>
      </c>
      <c r="EN51" s="62">
        <f t="shared" si="20"/>
        <v>601.13744233586499</v>
      </c>
      <c r="EO51" s="62">
        <f ca="1">AVERAGE(OFFSET($EN$3,0,0,'Données projet'!$E$15+1,1))-AVERAGE(OFFSET($H$3,0,0,'Données projet'!$E$15+1,1))</f>
        <v>312.06797204903796</v>
      </c>
      <c r="EP51" s="62">
        <f t="shared" si="46"/>
        <v>258.20189001775151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8.1999999999999993</v>
      </c>
      <c r="FE51" s="13">
        <f>IF('Données projet'!$A$218&gt;35,FE50+FD51-FM50,IF(A51&lt;'Données projet'!$A$218,$FB$205^A51,IF(A51='Données projet'!$A$218,'Données projet'!$B$218,FE50+FD51-FM50)))</f>
        <v>182.60000000000002</v>
      </c>
      <c r="FF51" s="18">
        <f>FE51*VLOOKUP('Données projet'!$B$16,Paramètres!$A$1:$I$89,3,0)*VLOOKUP('Données projet'!$B$16,Paramètres!$A$1:$I$89,5,0)</f>
        <v>176.61072000000004</v>
      </c>
      <c r="FG51" s="14">
        <f t="shared" si="47"/>
        <v>44.56730162053563</v>
      </c>
      <c r="FH51" s="22">
        <f t="shared" si="22"/>
        <v>385.21838765576626</v>
      </c>
      <c r="FI51" s="62">
        <f t="shared" si="23"/>
        <v>678.55172098909952</v>
      </c>
      <c r="FJ51" s="62">
        <f ca="1">AVERAGE(OFFSET($FI$3,0,0,'Données projet'!$E$16+1,1))-AVERAGE(OFFSET($H$3,0,0,'Données projet'!$E$16+1,1))</f>
        <v>455.50822833641354</v>
      </c>
      <c r="FK51" s="62">
        <f t="shared" si="48"/>
        <v>261.14722581688039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404.56923076923078</v>
      </c>
      <c r="L52" s="13">
        <f>VLOOKUP(A52,'Données projet'!$A$35:$I$55,9,0)</f>
        <v>17.519780219780223</v>
      </c>
      <c r="M52" s="13">
        <f t="array" ref="M52">INDEX(L:L,MIN(IF(ISNUMBER(L52:L248),ROW(L52:L248),"")))</f>
        <v>17.519780219780223</v>
      </c>
      <c r="N52" s="14">
        <f>IF('Données projet'!$A$36&gt;35,N51+M52-V51,IF(A52&lt;'Données projet'!$A$36,$K$205^A52,IF(A52='Données projet'!$A$36,'Données projet'!$B$36,N51+M52-V51)))</f>
        <v>404.56923076923084</v>
      </c>
      <c r="O52" s="14">
        <f>N52*VLOOKUP('Données projet'!$B$9,Paramètres!$A$1:$I$89,3,0)*VLOOKUP('Données projet'!$B$9,Paramètres!$A$1:$I$89,5,0)</f>
        <v>226.15420000000006</v>
      </c>
      <c r="P52" s="14">
        <f t="shared" si="33"/>
        <v>55.450315347427065</v>
      </c>
      <c r="Q52" s="22">
        <f t="shared" si="53"/>
        <v>490.46119756343563</v>
      </c>
      <c r="R52" s="62">
        <f t="shared" si="0"/>
        <v>783.79453089676895</v>
      </c>
      <c r="S52" s="62">
        <f ca="1">AVERAGE(OFFSET($R$3,0,0,'Données projet'!$E$9+1,1))-AVERAGE(OFFSET($H$3,0,0,'Données projet'!$E$9+1,1))</f>
        <v>323.98185264074681</v>
      </c>
      <c r="T52" s="62">
        <f t="shared" si="34"/>
        <v>301.22207291854005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90.453846153846158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3.062982581651557</v>
      </c>
      <c r="AA52" s="23">
        <f>EXP(-LN(2)/25)*AA51+(1-EXP(-LN(2)/25))/(LN(2)/25)*Calculateur!V52*Calculateur!X52*VLOOKUP('Données projet'!$B$9,Paramètres!$A$1:$I$89,3,0)*0.475*44/12</f>
        <v>4.870000176363968</v>
      </c>
      <c r="AB52" s="23">
        <f>EXP(-LN(2)/2)*AB51+(1-EXP(-LN(2)/2))/(LN(2)/2)*V52*Y52*VLOOKUP('Données projet'!$B$9,Paramètres!$A$1:$I$89,3,0)*0.475*44/12</f>
        <v>8.4076752720001029E-3</v>
      </c>
      <c r="AC52" s="24">
        <f t="shared" si="3"/>
        <v>7.9413904332875251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15.355769230769241</v>
      </c>
      <c r="AI52" s="14">
        <f>IF('Données projet'!$A$62&gt;35,AI51+AH52-AQ51,IF(A52&lt;'Données projet'!$A$62,$AF$205^A52,IF(A52='Données projet'!$A$62,'Données projet'!$B$62,AI51+AH52-AQ51)))</f>
        <v>334.5980769230768</v>
      </c>
      <c r="AJ52" s="14">
        <f>AI52*VLOOKUP('Données projet'!$B$10,Paramètres!$A$1:$I$89,3,0)*VLOOKUP('Données projet'!$B$10,Paramètres!$A$1:$I$89,5,0)</f>
        <v>156.59189999999995</v>
      </c>
      <c r="AK52" s="14">
        <f t="shared" si="35"/>
        <v>40.072848335827679</v>
      </c>
      <c r="AL52" s="22">
        <f t="shared" si="4"/>
        <v>342.52443668489974</v>
      </c>
      <c r="AM52" s="62">
        <f t="shared" si="5"/>
        <v>635.85777001823305</v>
      </c>
      <c r="AN52" s="62">
        <f ca="1">AVERAGE(OFFSET($AM$3,0,0,'Données projet'!$E$10+1,1))-AVERAGE(OFFSET($H$3,0,0,'Données projet'!$E$10+1,1))</f>
        <v>276.78862011733338</v>
      </c>
      <c r="AO52" s="62">
        <f t="shared" si="36"/>
        <v>202.1678469635836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172.63584</v>
      </c>
      <c r="BF52" s="14">
        <f t="shared" si="37"/>
        <v>43.679834395222109</v>
      </c>
      <c r="BG52" s="22">
        <f t="shared" si="7"/>
        <v>376.74979957167847</v>
      </c>
      <c r="BH52" s="62">
        <f t="shared" si="8"/>
        <v>670.08313290501178</v>
      </c>
      <c r="BI52" s="62">
        <f ca="1">AVERAGE(OFFSET($BH$3,0,0,'Données projet'!$E$11+1,1))-AVERAGE(OFFSET($H$3,0,0,'Données projet'!$E$11+1,1))</f>
        <v>428.8489304403459</v>
      </c>
      <c r="BJ52" s="62">
        <f t="shared" si="38"/>
        <v>247.01165577562966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11.861538461538462</v>
      </c>
      <c r="BY52" s="13">
        <f>IF('Données projet'!$A$114&gt;35,BY51+BX52-CG51,IF(A52&lt;'Données projet'!$A$114,$BV$205^A52,IF(A52='Données projet'!$A$114,'Données projet'!$B$114,BY51+BX52-CG51)))</f>
        <v>279.22307692307692</v>
      </c>
      <c r="BZ52" s="14">
        <f>BY52*VLOOKUP('Données projet'!$B$12,Paramètres!$A$1:$I$89,3,0)*VLOOKUP('Données projet'!$B$12,Paramètres!$A$1:$I$89,5,0)</f>
        <v>166.97540000000001</v>
      </c>
      <c r="CA52" s="14">
        <f t="shared" si="39"/>
        <v>42.411907667415186</v>
      </c>
      <c r="CB52" s="22">
        <f t="shared" si="10"/>
        <v>364.68289418741483</v>
      </c>
      <c r="CC52" s="62">
        <f t="shared" si="11"/>
        <v>658.01622752074809</v>
      </c>
      <c r="CD52" s="62">
        <f ca="1">AVERAGE(OFFSET($CC$3,0,0,'Données projet'!$E$12+1,1))-AVERAGE(OFFSET($H$3,0,0,'Données projet'!$E$12+1,1))</f>
        <v>289.12367833861299</v>
      </c>
      <c r="CE52" s="62">
        <f t="shared" si="40"/>
        <v>229.06617320689003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5.7270609455742994E-3</v>
      </c>
      <c r="CN52" s="24">
        <f t="shared" si="12"/>
        <v>5.7270609455742994E-3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8.5399999999999974</v>
      </c>
      <c r="CT52" s="13">
        <f>IF('Données projet'!$A$140&gt;35,CT51+CS52-DB51,IF(A52&lt;'Données projet'!$A$140,$CQ$205^A52,IF(A52='Données projet'!$A$140,'Données projet'!$B$140,CT51+CS52-DB51)))</f>
        <v>276.3599999999999</v>
      </c>
      <c r="CU52" s="18">
        <f>CT52*VLOOKUP('Données projet'!$B$13,Paramètres!$A$1:$I$89,3,0)*VLOOKUP('Données projet'!$B$13,Paramètres!$A$1:$I$89,5,0)</f>
        <v>219.87201599999992</v>
      </c>
      <c r="CV52" s="14">
        <f t="shared" si="41"/>
        <v>54.087068088530145</v>
      </c>
      <c r="CW52" s="22">
        <f t="shared" si="13"/>
        <v>477.14540478752315</v>
      </c>
      <c r="CX52" s="62">
        <f t="shared" si="14"/>
        <v>770.47873812085641</v>
      </c>
      <c r="CY52" s="62">
        <f ca="1">AVERAGE(OFFSET($CX$3,0,0,'Données projet'!$E$13+1,1))-AVERAGE(OFFSET($H$3,0,0,'Données projet'!$E$13+1,1))</f>
        <v>370.59298168107364</v>
      </c>
      <c r="CZ52" s="62">
        <f t="shared" si="42"/>
        <v>404.61777090709171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6.6</v>
      </c>
      <c r="DO52" s="13">
        <f>IF('Données projet'!$A$166&gt;35,DO51+DN52-DW51,IF(A52&lt;'Données projet'!$A$166,$DL$205^A52,IF(A52='Données projet'!$A$166,'Données projet'!$B$166,DO51+DN52-DW51)))</f>
        <v>206.40000000000006</v>
      </c>
      <c r="DP52" s="18">
        <f>DO52*VLOOKUP('Données projet'!$B$14,Paramètres!$A$1:$I$89,3,0)*VLOOKUP('Données projet'!$B$14,Paramètres!$A$1:$I$89,5,0)</f>
        <v>180.31104000000008</v>
      </c>
      <c r="DQ52" s="14">
        <f t="shared" si="43"/>
        <v>45.391379880979613</v>
      </c>
      <c r="DR52" s="22">
        <f t="shared" si="16"/>
        <v>393.09838129270628</v>
      </c>
      <c r="DS52" s="62">
        <f t="shared" si="17"/>
        <v>686.43171462603959</v>
      </c>
      <c r="DT52" s="62">
        <f ca="1">AVERAGE(OFFSET($DS$3,0,0,'Données projet'!$E$14+1,1))-AVERAGE(OFFSET($H$3,0,0,'Données projet'!$E$14+1,1))</f>
        <v>341.65872153228599</v>
      </c>
      <c r="DU52" s="62">
        <f t="shared" si="44"/>
        <v>339.49697153894937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6.2820512820512819</v>
      </c>
      <c r="EJ52" s="13">
        <f>IF('Données projet'!$A$192&gt;35,EJ51+EI52-ER51,IF(A52&lt;'Données projet'!$A$192,$EG$205^A52,IF(A52='Données projet'!$A$192,'Données projet'!$B$192,EJ51+EI52-ER51)))</f>
        <v>215.5128205128205</v>
      </c>
      <c r="EK52" s="18">
        <f>EJ52*VLOOKUP('Données projet'!$B$15,Paramètres!$A$1:$I$89,3,0)*VLOOKUP('Données projet'!$B$15,Paramètres!$A$1:$I$89,5,0)</f>
        <v>144.566</v>
      </c>
      <c r="EL52" s="14">
        <f t="shared" si="45"/>
        <v>37.341050188349875</v>
      </c>
      <c r="EM52" s="22">
        <f t="shared" si="19"/>
        <v>316.82144574470937</v>
      </c>
      <c r="EN52" s="62">
        <f t="shared" si="20"/>
        <v>610.15477907804268</v>
      </c>
      <c r="EO52" s="62">
        <f ca="1">AVERAGE(OFFSET($EN$3,0,0,'Données projet'!$E$15+1,1))-AVERAGE(OFFSET($H$3,0,0,'Données projet'!$E$15+1,1))</f>
        <v>312.06797204903796</v>
      </c>
      <c r="EP52" s="62">
        <f t="shared" si="46"/>
        <v>258.20189001775151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8.1999999999999993</v>
      </c>
      <c r="FE52" s="13">
        <f>IF('Données projet'!$A$218&gt;35,FE51+FD52-FM51,IF(A52&lt;'Données projet'!$A$218,$FB$205^A52,IF(A52='Données projet'!$A$218,'Données projet'!$B$218,FE51+FD52-FM51)))</f>
        <v>190.8</v>
      </c>
      <c r="FF52" s="18">
        <f>FE52*VLOOKUP('Données projet'!$B$16,Paramètres!$A$1:$I$89,3,0)*VLOOKUP('Données projet'!$B$16,Paramètres!$A$1:$I$89,5,0)</f>
        <v>184.54176000000001</v>
      </c>
      <c r="FG52" s="14">
        <f t="shared" si="47"/>
        <v>46.33117397953523</v>
      </c>
      <c r="FH52" s="22">
        <f t="shared" si="22"/>
        <v>402.10369334769052</v>
      </c>
      <c r="FI52" s="62">
        <f t="shared" si="23"/>
        <v>695.43702668102378</v>
      </c>
      <c r="FJ52" s="62">
        <f ca="1">AVERAGE(OFFSET($FI$3,0,0,'Données projet'!$E$16+1,1))-AVERAGE(OFFSET($H$3,0,0,'Données projet'!$E$16+1,1))</f>
        <v>455.50822833641354</v>
      </c>
      <c r="FK52" s="62">
        <f t="shared" si="48"/>
        <v>261.14722581688039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16.227472527472521</v>
      </c>
      <c r="N53" s="14">
        <f>IF('Données projet'!$A$36&gt;35,N52+M53-V52,IF(A53&lt;'Données projet'!$A$36,$K$205^A53,IF(A53='Données projet'!$A$36,'Données projet'!$B$36,N52+M53-V52)))</f>
        <v>330.34285714285721</v>
      </c>
      <c r="O53" s="14">
        <f>N53*VLOOKUP('Données projet'!$B$9,Paramètres!$A$1:$I$89,3,0)*VLOOKUP('Données projet'!$B$9,Paramètres!$A$1:$I$89,5,0)</f>
        <v>184.66165714285719</v>
      </c>
      <c r="P53" s="14">
        <f t="shared" si="33"/>
        <v>46.357770619215231</v>
      </c>
      <c r="Q53" s="22">
        <f t="shared" si="53"/>
        <v>402.3588366856095</v>
      </c>
      <c r="R53" s="62">
        <f t="shared" si="0"/>
        <v>695.69217001894276</v>
      </c>
      <c r="S53" s="62">
        <f ca="1">AVERAGE(OFFSET($R$3,0,0,'Données projet'!$E$9+1,1))-AVERAGE(OFFSET($H$3,0,0,'Données projet'!$E$9+1,1))</f>
        <v>323.98185264074681</v>
      </c>
      <c r="T53" s="62">
        <f t="shared" si="34"/>
        <v>301.22207291854005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3.0029193614602718</v>
      </c>
      <c r="AA53" s="23">
        <f>EXP(-LN(2)/25)*AA52+(1-EXP(-LN(2)/25))/(LN(2)/25)*Calculateur!V53*Calculateur!X53*VLOOKUP('Données projet'!$B$9,Paramètres!$A$1:$I$89,3,0)*0.475*44/12</f>
        <v>4.7368297654391167</v>
      </c>
      <c r="AB53" s="23">
        <f>EXP(-LN(2)/2)*AB52+(1-EXP(-LN(2)/2))/(LN(2)/2)*V53*Y53*VLOOKUP('Données projet'!$B$9,Paramètres!$A$1:$I$89,3,0)*0.475*44/12</f>
        <v>5.9451241988457233E-3</v>
      </c>
      <c r="AC53" s="24">
        <f t="shared" si="3"/>
        <v>7.7456942510982341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349.95384615384614</v>
      </c>
      <c r="AG53" s="13">
        <f>VLOOKUP(A53,'Données projet'!$A$61:$I$81,9,0)</f>
        <v>15.355769230769241</v>
      </c>
      <c r="AH53" s="13">
        <f t="array" ref="AH53">INDEX(AG:AG,MIN(IF(ISNUMBER(AG53:AG249),ROW(AG53:AG249),"")))</f>
        <v>15.355769230769241</v>
      </c>
      <c r="AI53" s="14">
        <f>IF('Données projet'!$A$62&gt;35,AI52+AH53-AQ52,IF(A53&lt;'Données projet'!$A$62,$AF$205^A53,IF(A53='Données projet'!$A$62,'Données projet'!$B$62,AI52+AH53-AQ52)))</f>
        <v>349.95384615384603</v>
      </c>
      <c r="AJ53" s="14">
        <f>AI53*VLOOKUP('Données projet'!$B$10,Paramètres!$A$1:$I$89,3,0)*VLOOKUP('Données projet'!$B$10,Paramètres!$A$1:$I$89,5,0)</f>
        <v>163.77839999999995</v>
      </c>
      <c r="AK53" s="14">
        <f t="shared" si="35"/>
        <v>41.693582942883204</v>
      </c>
      <c r="AL53" s="22">
        <f t="shared" si="4"/>
        <v>357.86370362552151</v>
      </c>
      <c r="AM53" s="62">
        <f t="shared" si="5"/>
        <v>651.19703695885482</v>
      </c>
      <c r="AN53" s="62">
        <f ca="1">AVERAGE(OFFSET($AM$3,0,0,'Données projet'!$E$10+1,1))-AVERAGE(OFFSET($H$3,0,0,'Données projet'!$E$10+1,1))</f>
        <v>276.78862011733338</v>
      </c>
      <c r="AO53" s="62">
        <f t="shared" si="36"/>
        <v>202.1678469635836</v>
      </c>
      <c r="AP53" s="16">
        <f>IF(ISNA(VLOOKUP(A53,'Données projet'!$A$61:$I$81,3,0)),0,VLOOKUP(A53,'Données projet'!$A$61:$I$81,3,0))</f>
        <v>2</v>
      </c>
      <c r="AQ53" s="16">
        <f>IF(ISNA(VLOOKUP(A53,'Données projet'!$A$61:$I$81,4,0)),0,VLOOKUP(A53,'Données projet'!$A$61:$I$81,4,0))</f>
        <v>100.66923076923077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180.05519999999999</v>
      </c>
      <c r="BF53" s="14">
        <f t="shared" si="37"/>
        <v>45.334466930398364</v>
      </c>
      <c r="BG53" s="22">
        <f t="shared" si="7"/>
        <v>392.55366990377706</v>
      </c>
      <c r="BH53" s="62">
        <f t="shared" si="8"/>
        <v>685.88700323711032</v>
      </c>
      <c r="BI53" s="62">
        <f ca="1">AVERAGE(OFFSET($BH$3,0,0,'Données projet'!$E$11+1,1))-AVERAGE(OFFSET($H$3,0,0,'Données projet'!$E$11+1,1))</f>
        <v>428.8489304403459</v>
      </c>
      <c r="BJ53" s="62">
        <f t="shared" si="38"/>
        <v>247.01165577562966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291.0846153846154</v>
      </c>
      <c r="BW53" s="13">
        <f>VLOOKUP(A53,'Données projet'!$A$113:$I$133,9,0)</f>
        <v>11.861538461538462</v>
      </c>
      <c r="BX53" s="13">
        <f t="array" ref="BX53">INDEX(BW:BW,MIN(IF(ISNUMBER(BW53:BW249),ROW(BW53:BW249),"")))</f>
        <v>11.861538461538462</v>
      </c>
      <c r="BY53" s="13">
        <f>IF('Données projet'!$A$114&gt;35,BY52+BX53-CG52,IF(A53&lt;'Données projet'!$A$114,$BV$205^A53,IF(A53='Données projet'!$A$114,'Données projet'!$B$114,BY52+BX53-CG52)))</f>
        <v>291.0846153846154</v>
      </c>
      <c r="BZ53" s="14">
        <f>BY53*VLOOKUP('Données projet'!$B$12,Paramètres!$A$1:$I$89,3,0)*VLOOKUP('Données projet'!$B$12,Paramètres!$A$1:$I$89,5,0)</f>
        <v>174.06860000000003</v>
      </c>
      <c r="CA53" s="14">
        <f t="shared" si="39"/>
        <v>43.999996552753835</v>
      </c>
      <c r="CB53" s="22">
        <f t="shared" si="10"/>
        <v>379.80280566271296</v>
      </c>
      <c r="CC53" s="62">
        <f t="shared" si="11"/>
        <v>673.13613899604627</v>
      </c>
      <c r="CD53" s="62">
        <f ca="1">AVERAGE(OFFSET($CC$3,0,0,'Données projet'!$E$12+1,1))-AVERAGE(OFFSET($H$3,0,0,'Données projet'!$E$12+1,1))</f>
        <v>289.12367833861299</v>
      </c>
      <c r="CE53" s="62">
        <f t="shared" si="40"/>
        <v>229.06617320689003</v>
      </c>
      <c r="CF53" s="16">
        <f>IF(ISNA(VLOOKUP(A53,'Données projet'!$A$113:$I$133,3,0)),0,VLOOKUP(A53,'Données projet'!$A$113:$I$133,3,0))</f>
        <v>5</v>
      </c>
      <c r="CG53" s="16">
        <f>IF(ISNA(VLOOKUP(A53,'Données projet'!$A$113:$I$133,4,0)),0,VLOOKUP(A53,'Données projet'!$A$113:$I$133,4,0))</f>
        <v>55.292307692307688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4.049643630884228E-3</v>
      </c>
      <c r="CN53" s="24">
        <f t="shared" si="12"/>
        <v>4.049643630884228E-3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284.89999999999998</v>
      </c>
      <c r="CR53" s="13">
        <f>VLOOKUP(A53,'Données projet'!$A$139:$I$159,9,0)</f>
        <v>8.5399999999999974</v>
      </c>
      <c r="CS53" s="13">
        <f t="array" ref="CS53">INDEX(CR:CR,MIN(IF(ISNUMBER(CR53:CR249),ROW(CR53:CR249),"")))</f>
        <v>8.5399999999999974</v>
      </c>
      <c r="CT53" s="13">
        <f>IF('Données projet'!$A$140&gt;35,CT52+CS53-DB52,IF(A53&lt;'Données projet'!$A$140,$CQ$205^A53,IF(A53='Données projet'!$A$140,'Données projet'!$B$140,CT52+CS53-DB52)))</f>
        <v>284.89999999999992</v>
      </c>
      <c r="CU53" s="18">
        <f>CT53*VLOOKUP('Données projet'!$B$13,Paramètres!$A$1:$I$89,3,0)*VLOOKUP('Données projet'!$B$13,Paramètres!$A$1:$I$89,5,0)</f>
        <v>226.66643999999994</v>
      </c>
      <c r="CV53" s="14">
        <f t="shared" si="41"/>
        <v>55.561276600641385</v>
      </c>
      <c r="CW53" s="22">
        <f t="shared" si="13"/>
        <v>491.5466064127836</v>
      </c>
      <c r="CX53" s="62">
        <f t="shared" si="14"/>
        <v>784.87993974611686</v>
      </c>
      <c r="CY53" s="62">
        <f ca="1">AVERAGE(OFFSET($CX$3,0,0,'Données projet'!$E$13+1,1))-AVERAGE(OFFSET($H$3,0,0,'Données projet'!$E$13+1,1))</f>
        <v>370.59298168107364</v>
      </c>
      <c r="CZ53" s="62">
        <f t="shared" si="42"/>
        <v>404.61777090709171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43.099999999999994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213</v>
      </c>
      <c r="DM53" s="13">
        <f>VLOOKUP(A53,'Données projet'!$A$165:$I$185,9,0)</f>
        <v>6.6</v>
      </c>
      <c r="DN53" s="13">
        <f t="array" ref="DN53">INDEX(DM:DM,MIN(IF(ISNUMBER(DM53:DM249),ROW(DM53:DM249),"")))</f>
        <v>6.6</v>
      </c>
      <c r="DO53" s="13">
        <f>IF('Données projet'!$A$166&gt;35,DO52+DN53-DW52,IF(A53&lt;'Données projet'!$A$166,$DL$205^A53,IF(A53='Données projet'!$A$166,'Données projet'!$B$166,DO52+DN53-DW52)))</f>
        <v>213.00000000000006</v>
      </c>
      <c r="DP53" s="18">
        <f>DO53*VLOOKUP('Données projet'!$B$14,Paramètres!$A$1:$I$89,3,0)*VLOOKUP('Données projet'!$B$14,Paramètres!$A$1:$I$89,5,0)</f>
        <v>186.07680000000008</v>
      </c>
      <c r="DQ53" s="14">
        <f t="shared" si="43"/>
        <v>46.671538591528716</v>
      </c>
      <c r="DR53" s="22">
        <f t="shared" si="16"/>
        <v>405.37002304691265</v>
      </c>
      <c r="DS53" s="62">
        <f t="shared" si="17"/>
        <v>698.70335638024596</v>
      </c>
      <c r="DT53" s="62">
        <f ca="1">AVERAGE(OFFSET($DS$3,0,0,'Données projet'!$E$14+1,1))-AVERAGE(OFFSET($H$3,0,0,'Données projet'!$E$14+1,1))</f>
        <v>341.65872153228599</v>
      </c>
      <c r="DU53" s="62">
        <f t="shared" si="44"/>
        <v>339.49697153894937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43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221.7948717948718</v>
      </c>
      <c r="EH53" s="13">
        <f>VLOOKUP(A53,'Données projet'!$A$191:$I$211,9,0)</f>
        <v>6.2820512820512819</v>
      </c>
      <c r="EI53" s="13">
        <f t="array" ref="EI53">INDEX(EH:EH,MIN(IF(ISNUMBER(EH53:EH249),ROW(EH53:EH249),"")))</f>
        <v>6.2820512820512819</v>
      </c>
      <c r="EJ53" s="13">
        <f>IF('Données projet'!$A$192&gt;35,EJ52+EI53-ER52,IF(A53&lt;'Données projet'!$A$192,$EG$205^A53,IF(A53='Données projet'!$A$192,'Données projet'!$B$192,EJ52+EI53-ER52)))</f>
        <v>221.79487179487177</v>
      </c>
      <c r="EK53" s="18">
        <f>EJ53*VLOOKUP('Données projet'!$B$15,Paramètres!$A$1:$I$89,3,0)*VLOOKUP('Données projet'!$B$15,Paramètres!$A$1:$I$89,5,0)</f>
        <v>148.78</v>
      </c>
      <c r="EL53" s="14">
        <f t="shared" si="45"/>
        <v>38.301204605347834</v>
      </c>
      <c r="EM53" s="22">
        <f t="shared" si="19"/>
        <v>325.8330980209808</v>
      </c>
      <c r="EN53" s="62">
        <f t="shared" si="20"/>
        <v>619.16643135431411</v>
      </c>
      <c r="EO53" s="62">
        <f ca="1">AVERAGE(OFFSET($EN$3,0,0,'Données projet'!$E$15+1,1))-AVERAGE(OFFSET($H$3,0,0,'Données projet'!$E$15+1,1))</f>
        <v>312.06797204903796</v>
      </c>
      <c r="EP53" s="62">
        <f t="shared" si="46"/>
        <v>258.20189001775151</v>
      </c>
      <c r="EQ53" s="16">
        <f>IF(ISNA(VLOOKUP(A53,'Données projet'!$A$191:$I$211,3,0)),0,VLOOKUP(A53,'Données projet'!$A$191:$I$211,3,0))</f>
        <v>4</v>
      </c>
      <c r="ER53" s="16">
        <f>IF(ISNA(VLOOKUP(A53,'Données projet'!$A$191:$I$211,4,0)),0,VLOOKUP(A53,'Données projet'!$A$191:$I$211,4,0))</f>
        <v>32.692307692307693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199</v>
      </c>
      <c r="FC53" s="13">
        <f>VLOOKUP(A53,'Données projet'!$A$217:$I$237,9,0)</f>
        <v>8.1999999999999993</v>
      </c>
      <c r="FD53" s="13">
        <f t="array" ref="FD53">INDEX(FC:FC,MIN(IF(ISNUMBER(FC53:FC249),ROW(FC53:FC249),"")))</f>
        <v>8.1999999999999993</v>
      </c>
      <c r="FE53" s="13">
        <f>IF('Données projet'!$A$218&gt;35,FE52+FD53-FM52,IF(A53&lt;'Données projet'!$A$218,$FB$205^A53,IF(A53='Données projet'!$A$218,'Données projet'!$B$218,FE52+FD53-FM52)))</f>
        <v>199</v>
      </c>
      <c r="FF53" s="18">
        <f>FE53*VLOOKUP('Données projet'!$B$16,Paramètres!$A$1:$I$89,3,0)*VLOOKUP('Données projet'!$B$16,Paramètres!$A$1:$I$89,5,0)</f>
        <v>192.47280000000001</v>
      </c>
      <c r="FG53" s="14">
        <f t="shared" si="47"/>
        <v>48.086241710923829</v>
      </c>
      <c r="FH53" s="22">
        <f t="shared" si="22"/>
        <v>418.97366431319239</v>
      </c>
      <c r="FI53" s="62">
        <f t="shared" si="23"/>
        <v>712.3069976465257</v>
      </c>
      <c r="FJ53" s="62">
        <f ca="1">AVERAGE(OFFSET($FI$3,0,0,'Données projet'!$E$16+1,1))-AVERAGE(OFFSET($H$3,0,0,'Données projet'!$E$16+1,1))</f>
        <v>455.50822833641354</v>
      </c>
      <c r="FK53" s="62">
        <f t="shared" si="48"/>
        <v>261.14722581688039</v>
      </c>
      <c r="FL53" s="16">
        <f>IF(ISNA(VLOOKUP(A53,'Données projet'!$A$217:$I$237,3,0)),0,VLOOKUP(A53,'Données projet'!$A$217:$I$237,3,0))</f>
        <v>3</v>
      </c>
      <c r="FM53" s="16">
        <f>IF(ISNA(VLOOKUP(A53,'Données projet'!$A$217:$I$237,4,0)),0,VLOOKUP(A53,'Données projet'!$A$217:$I$237,4,0))</f>
        <v>42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16.227472527472521</v>
      </c>
      <c r="N54" s="14">
        <f>IF('Données projet'!$A$36&gt;35,N53+M54-V53,IF(A54&lt;'Données projet'!$A$36,$K$205^A54,IF(A54='Données projet'!$A$36,'Données projet'!$B$36,N53+M54-V53)))</f>
        <v>346.57032967032973</v>
      </c>
      <c r="O54" s="14">
        <f>N54*VLOOKUP('Données projet'!$B$9,Paramètres!$A$1:$I$89,3,0)*VLOOKUP('Données projet'!$B$9,Paramètres!$A$1:$I$89,5,0)</f>
        <v>193.73281428571431</v>
      </c>
      <c r="P54" s="14">
        <f t="shared" si="33"/>
        <v>48.364288285880889</v>
      </c>
      <c r="Q54" s="22">
        <f t="shared" si="53"/>
        <v>421.65245364552828</v>
      </c>
      <c r="R54" s="62">
        <f t="shared" si="0"/>
        <v>714.9857869788616</v>
      </c>
      <c r="S54" s="62">
        <f ca="1">AVERAGE(OFFSET($R$3,0,0,'Données projet'!$E$9+1,1))-AVERAGE(OFFSET($H$3,0,0,'Données projet'!$E$9+1,1))</f>
        <v>323.98185264074681</v>
      </c>
      <c r="T54" s="62">
        <f t="shared" si="34"/>
        <v>301.22207291854005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2.944033944381991</v>
      </c>
      <c r="AA54" s="23">
        <f>EXP(-LN(2)/25)*AA53+(1-EXP(-LN(2)/25))/(LN(2)/25)*Calculateur!V54*Calculateur!X54*VLOOKUP('Données projet'!$B$9,Paramètres!$A$1:$I$89,3,0)*0.475*44/12</f>
        <v>4.6073009064041326</v>
      </c>
      <c r="AB54" s="23">
        <f>EXP(-LN(2)/2)*AB53+(1-EXP(-LN(2)/2))/(LN(2)/2)*V54*Y54*VLOOKUP('Données projet'!$B$9,Paramètres!$A$1:$I$89,3,0)*0.475*44/12</f>
        <v>4.2038376360000514E-3</v>
      </c>
      <c r="AC54" s="24">
        <f t="shared" si="3"/>
        <v>7.5555386884221232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13.932692307692307</v>
      </c>
      <c r="AI54" s="14">
        <f>IF('Données projet'!$A$62&gt;35,AI53+AH54-AQ53,IF(A54&lt;'Données projet'!$A$62,$AF$205^A54,IF(A54='Données projet'!$A$62,'Données projet'!$B$62,AI53+AH54-AQ53)))</f>
        <v>263.2173076923076</v>
      </c>
      <c r="AJ54" s="14">
        <f>AI54*VLOOKUP('Données projet'!$B$10,Paramètres!$A$1:$I$89,3,0)*VLOOKUP('Données projet'!$B$10,Paramètres!$A$1:$I$89,5,0)</f>
        <v>123.18569999999995</v>
      </c>
      <c r="AK54" s="14">
        <f t="shared" si="35"/>
        <v>32.416874686836884</v>
      </c>
      <c r="AL54" s="22">
        <f t="shared" si="4"/>
        <v>271.00781757957418</v>
      </c>
      <c r="AM54" s="62">
        <f t="shared" si="5"/>
        <v>564.34115091290755</v>
      </c>
      <c r="AN54" s="62">
        <f ca="1">AVERAGE(OFFSET($AM$3,0,0,'Données projet'!$E$10+1,1))-AVERAGE(OFFSET($H$3,0,0,'Données projet'!$E$10+1,1))</f>
        <v>276.78862011733338</v>
      </c>
      <c r="AO54" s="62">
        <f t="shared" si="36"/>
        <v>202.1678469635836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149.29199999999997</v>
      </c>
      <c r="BF54" s="14">
        <f t="shared" si="37"/>
        <v>38.417645803815411</v>
      </c>
      <c r="BG54" s="22">
        <f t="shared" si="7"/>
        <v>326.9276331083118</v>
      </c>
      <c r="BH54" s="62">
        <f t="shared" si="8"/>
        <v>620.26096644164511</v>
      </c>
      <c r="BI54" s="62">
        <f ca="1">AVERAGE(OFFSET($BH$3,0,0,'Données projet'!$E$11+1,1))-AVERAGE(OFFSET($H$3,0,0,'Données projet'!$E$11+1,1))</f>
        <v>428.8489304403459</v>
      </c>
      <c r="BJ54" s="62">
        <f t="shared" si="38"/>
        <v>247.01165577562966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10.66307692307692</v>
      </c>
      <c r="BY54" s="13">
        <f>IF('Données projet'!$A$114&gt;35,BY53+BX54-CG53,IF(A54&lt;'Données projet'!$A$114,$BV$205^A54,IF(A54='Données projet'!$A$114,'Données projet'!$B$114,BY53+BX54-CG53)))</f>
        <v>246.45538461538462</v>
      </c>
      <c r="BZ54" s="14">
        <f>BY54*VLOOKUP('Données projet'!$B$12,Paramètres!$A$1:$I$89,3,0)*VLOOKUP('Données projet'!$B$12,Paramètres!$A$1:$I$89,5,0)</f>
        <v>147.38032000000001</v>
      </c>
      <c r="CA54" s="14">
        <f t="shared" si="39"/>
        <v>37.982644854557613</v>
      </c>
      <c r="CB54" s="22">
        <f t="shared" si="10"/>
        <v>322.84049712168786</v>
      </c>
      <c r="CC54" s="62">
        <f t="shared" si="11"/>
        <v>616.17383045502118</v>
      </c>
      <c r="CD54" s="62">
        <f ca="1">AVERAGE(OFFSET($CC$3,0,0,'Données projet'!$E$12+1,1))-AVERAGE(OFFSET($H$3,0,0,'Données projet'!$E$12+1,1))</f>
        <v>289.12367833861299</v>
      </c>
      <c r="CE54" s="62">
        <f t="shared" si="40"/>
        <v>229.06617320689003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2.8635304727871497E-3</v>
      </c>
      <c r="CN54" s="24">
        <f t="shared" si="12"/>
        <v>2.8635304727871497E-3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7.3600000000000083</v>
      </c>
      <c r="CT54" s="13">
        <f>IF('Données projet'!$A$140&gt;35,CT53+CS54-DB53,IF(A54&lt;'Données projet'!$A$140,$CQ$205^A54,IF(A54='Données projet'!$A$140,'Données projet'!$B$140,CT53+CS54-DB53)))</f>
        <v>249.15999999999994</v>
      </c>
      <c r="CU54" s="18">
        <f>CT54*VLOOKUP('Données projet'!$B$13,Paramètres!$A$1:$I$89,3,0)*VLOOKUP('Données projet'!$B$13,Paramètres!$A$1:$I$89,5,0)</f>
        <v>198.23169599999997</v>
      </c>
      <c r="CV54" s="14">
        <f t="shared" si="41"/>
        <v>49.355347391815158</v>
      </c>
      <c r="CW54" s="22">
        <f t="shared" si="13"/>
        <v>431.21410057407803</v>
      </c>
      <c r="CX54" s="62">
        <f t="shared" si="14"/>
        <v>724.54743390741135</v>
      </c>
      <c r="CY54" s="62">
        <f ca="1">AVERAGE(OFFSET($CX$3,0,0,'Données projet'!$E$13+1,1))-AVERAGE(OFFSET($H$3,0,0,'Données projet'!$E$13+1,1))</f>
        <v>370.59298168107364</v>
      </c>
      <c r="CZ54" s="62">
        <f t="shared" si="42"/>
        <v>404.61777090709171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6.2</v>
      </c>
      <c r="DO54" s="13">
        <f>IF('Données projet'!$A$166&gt;35,DO53+DN54-DW53,IF(A54&lt;'Données projet'!$A$166,$DL$205^A54,IF(A54='Données projet'!$A$166,'Données projet'!$B$166,DO53+DN54-DW53)))</f>
        <v>176.20000000000005</v>
      </c>
      <c r="DP54" s="18">
        <f>DO54*VLOOKUP('Données projet'!$B$14,Paramètres!$A$1:$I$89,3,0)*VLOOKUP('Données projet'!$B$14,Paramètres!$A$1:$I$89,5,0)</f>
        <v>153.92832000000007</v>
      </c>
      <c r="DQ54" s="14">
        <f t="shared" si="43"/>
        <v>39.46996283651783</v>
      </c>
      <c r="DR54" s="22">
        <f t="shared" si="16"/>
        <v>336.83534260693528</v>
      </c>
      <c r="DS54" s="62">
        <f t="shared" si="17"/>
        <v>630.1686759402686</v>
      </c>
      <c r="DT54" s="62">
        <f ca="1">AVERAGE(OFFSET($DS$3,0,0,'Données projet'!$E$14+1,1))-AVERAGE(OFFSET($H$3,0,0,'Données projet'!$E$14+1,1))</f>
        <v>341.65872153228599</v>
      </c>
      <c r="DU54" s="62">
        <f t="shared" si="44"/>
        <v>339.49697153894937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5.7692307692307683</v>
      </c>
      <c r="EJ54" s="13">
        <f>IF('Données projet'!$A$192&gt;35,EJ53+EI54-ER53,IF(A54&lt;'Données projet'!$A$192,$EG$205^A54,IF(A54='Données projet'!$A$192,'Données projet'!$B$192,EJ53+EI54-ER53)))</f>
        <v>194.87179487179486</v>
      </c>
      <c r="EK54" s="18">
        <f>EJ54*VLOOKUP('Données projet'!$B$15,Paramètres!$A$1:$I$89,3,0)*VLOOKUP('Données projet'!$B$15,Paramètres!$A$1:$I$89,5,0)</f>
        <v>130.72</v>
      </c>
      <c r="EL54" s="14">
        <f t="shared" si="45"/>
        <v>34.162676675108806</v>
      </c>
      <c r="EM54" s="22">
        <f t="shared" si="19"/>
        <v>287.17066187581446</v>
      </c>
      <c r="EN54" s="62">
        <f t="shared" si="20"/>
        <v>580.50399520914777</v>
      </c>
      <c r="EO54" s="62">
        <f ca="1">AVERAGE(OFFSET($EN$3,0,0,'Données projet'!$E$15+1,1))-AVERAGE(OFFSET($H$3,0,0,'Données projet'!$E$15+1,1))</f>
        <v>312.06797204903796</v>
      </c>
      <c r="EP54" s="62">
        <f t="shared" si="46"/>
        <v>258.20189001775151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8</v>
      </c>
      <c r="FE54" s="13">
        <f>IF('Données projet'!$A$218&gt;35,FE53+FD54-FM53,IF(A54&lt;'Données projet'!$A$218,$FB$205^A54,IF(A54='Données projet'!$A$218,'Données projet'!$B$218,FE53+FD54-FM53)))</f>
        <v>165</v>
      </c>
      <c r="FF54" s="18">
        <f>FE54*VLOOKUP('Données projet'!$B$16,Paramètres!$A$1:$I$89,3,0)*VLOOKUP('Données projet'!$B$16,Paramètres!$A$1:$I$89,5,0)</f>
        <v>159.58799999999999</v>
      </c>
      <c r="FG54" s="14">
        <f t="shared" si="47"/>
        <v>40.74957371668588</v>
      </c>
      <c r="FH54" s="22">
        <f t="shared" si="22"/>
        <v>348.92127422322784</v>
      </c>
      <c r="FI54" s="62">
        <f t="shared" si="23"/>
        <v>642.25460755656115</v>
      </c>
      <c r="FJ54" s="62">
        <f ca="1">AVERAGE(OFFSET($FI$3,0,0,'Données projet'!$E$16+1,1))-AVERAGE(OFFSET($H$3,0,0,'Données projet'!$E$16+1,1))</f>
        <v>455.50822833641354</v>
      </c>
      <c r="FK54" s="62">
        <f t="shared" si="48"/>
        <v>261.14722581688039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16.227472527472521</v>
      </c>
      <c r="N55" s="14">
        <f>IF('Données projet'!$A$36&gt;35,N54+M55-V54,IF(A55&lt;'Données projet'!$A$36,$K$205^A55,IF(A55='Données projet'!$A$36,'Données projet'!$B$36,N54+M55-V54)))</f>
        <v>362.79780219780224</v>
      </c>
      <c r="O55" s="14">
        <f>N55*VLOOKUP('Données projet'!$B$9,Paramètres!$A$1:$I$89,3,0)*VLOOKUP('Données projet'!$B$9,Paramètres!$A$1:$I$89,5,0)</f>
        <v>202.80397142857146</v>
      </c>
      <c r="P55" s="14">
        <f t="shared" si="33"/>
        <v>50.359895566849652</v>
      </c>
      <c r="Q55" s="22">
        <f t="shared" si="53"/>
        <v>440.92706835035841</v>
      </c>
      <c r="R55" s="62">
        <f t="shared" si="0"/>
        <v>734.26040168369173</v>
      </c>
      <c r="S55" s="62">
        <f ca="1">AVERAGE(OFFSET($R$3,0,0,'Données projet'!$E$9+1,1))-AVERAGE(OFFSET($H$3,0,0,'Données projet'!$E$9+1,1))</f>
        <v>323.98185264074681</v>
      </c>
      <c r="T55" s="62">
        <f t="shared" si="34"/>
        <v>301.22207291854005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2.8863032344160571</v>
      </c>
      <c r="AA55" s="23">
        <f>EXP(-LN(2)/25)*AA54+(1-EXP(-LN(2)/25))/(LN(2)/25)*Calculateur!V55*Calculateur!X55*VLOOKUP('Données projet'!$B$9,Paramètres!$A$1:$I$89,3,0)*0.475*44/12</f>
        <v>4.4813140208310873</v>
      </c>
      <c r="AB55" s="23">
        <f>EXP(-LN(2)/2)*AB54+(1-EXP(-LN(2)/2))/(LN(2)/2)*V55*Y55*VLOOKUP('Données projet'!$B$9,Paramètres!$A$1:$I$89,3,0)*0.475*44/12</f>
        <v>2.9725620994228616E-3</v>
      </c>
      <c r="AC55" s="24">
        <f t="shared" si="3"/>
        <v>7.3705898173465672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13.932692307692307</v>
      </c>
      <c r="AI55" s="14">
        <f>IF('Données projet'!$A$62&gt;35,AI54+AH55-AQ54,IF(A55&lt;'Données projet'!$A$62,$AF$205^A55,IF(A55='Données projet'!$A$62,'Données projet'!$B$62,AI54+AH55-AQ54)))</f>
        <v>277.14999999999992</v>
      </c>
      <c r="AJ55" s="14">
        <f>AI55*VLOOKUP('Données projet'!$B$10,Paramètres!$A$1:$I$89,3,0)*VLOOKUP('Données projet'!$B$10,Paramètres!$A$1:$I$89,5,0)</f>
        <v>129.70619999999997</v>
      </c>
      <c r="AK55" s="14">
        <f t="shared" si="35"/>
        <v>33.928461841493885</v>
      </c>
      <c r="AL55" s="22">
        <f t="shared" si="4"/>
        <v>284.99703604060181</v>
      </c>
      <c r="AM55" s="62">
        <f t="shared" si="5"/>
        <v>578.33036937393513</v>
      </c>
      <c r="AN55" s="62">
        <f ca="1">AVERAGE(OFFSET($AM$3,0,0,'Données projet'!$E$10+1,1))-AVERAGE(OFFSET($H$3,0,0,'Données projet'!$E$10+1,1))</f>
        <v>276.78862011733338</v>
      </c>
      <c r="AO55" s="62">
        <f t="shared" si="36"/>
        <v>202.1678469635836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156.53039999999999</v>
      </c>
      <c r="BF55" s="14">
        <f t="shared" si="37"/>
        <v>40.058941713182037</v>
      </c>
      <c r="BG55" s="22">
        <f t="shared" si="7"/>
        <v>342.393103483792</v>
      </c>
      <c r="BH55" s="62">
        <f t="shared" si="8"/>
        <v>635.72643681712532</v>
      </c>
      <c r="BI55" s="62">
        <f ca="1">AVERAGE(OFFSET($BH$3,0,0,'Données projet'!$E$11+1,1))-AVERAGE(OFFSET($H$3,0,0,'Données projet'!$E$11+1,1))</f>
        <v>428.8489304403459</v>
      </c>
      <c r="BJ55" s="62">
        <f t="shared" si="38"/>
        <v>247.01165577562966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10.66307692307692</v>
      </c>
      <c r="BY55" s="13">
        <f>IF('Données projet'!$A$114&gt;35,BY54+BX55-CG54,IF(A55&lt;'Données projet'!$A$114,$BV$205^A55,IF(A55='Données projet'!$A$114,'Données projet'!$B$114,BY54+BX55-CG54)))</f>
        <v>257.11846153846153</v>
      </c>
      <c r="BZ55" s="14">
        <f>BY55*VLOOKUP('Données projet'!$B$12,Paramètres!$A$1:$I$89,3,0)*VLOOKUP('Données projet'!$B$12,Paramètres!$A$1:$I$89,5,0)</f>
        <v>153.75684000000001</v>
      </c>
      <c r="CA55" s="14">
        <f t="shared" si="39"/>
        <v>39.431107959482766</v>
      </c>
      <c r="CB55" s="22">
        <f t="shared" si="10"/>
        <v>336.4690093627658</v>
      </c>
      <c r="CC55" s="62">
        <f t="shared" si="11"/>
        <v>629.80234269609912</v>
      </c>
      <c r="CD55" s="62">
        <f ca="1">AVERAGE(OFFSET($CC$3,0,0,'Données projet'!$E$12+1,1))-AVERAGE(OFFSET($H$3,0,0,'Données projet'!$E$12+1,1))</f>
        <v>289.12367833861299</v>
      </c>
      <c r="CE55" s="62">
        <f t="shared" si="40"/>
        <v>229.06617320689003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2.024821815442114E-3</v>
      </c>
      <c r="CN55" s="24">
        <f t="shared" si="12"/>
        <v>2.024821815442114E-3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7.3600000000000083</v>
      </c>
      <c r="CT55" s="13">
        <f>IF('Données projet'!$A$140&gt;35,CT54+CS55-DB54,IF(A55&lt;'Données projet'!$A$140,$CQ$205^A55,IF(A55='Données projet'!$A$140,'Données projet'!$B$140,CT54+CS55-DB54)))</f>
        <v>256.51999999999992</v>
      </c>
      <c r="CU55" s="18">
        <f>CT55*VLOOKUP('Données projet'!$B$13,Paramètres!$A$1:$I$89,3,0)*VLOOKUP('Données projet'!$B$13,Paramètres!$A$1:$I$89,5,0)</f>
        <v>204.08731199999997</v>
      </c>
      <c r="CV55" s="14">
        <f t="shared" si="41"/>
        <v>50.641374824638383</v>
      </c>
      <c r="CW55" s="22">
        <f t="shared" si="13"/>
        <v>443.65246288624508</v>
      </c>
      <c r="CX55" s="62">
        <f t="shared" si="14"/>
        <v>736.98579621957833</v>
      </c>
      <c r="CY55" s="62">
        <f ca="1">AVERAGE(OFFSET($CX$3,0,0,'Données projet'!$E$13+1,1))-AVERAGE(OFFSET($H$3,0,0,'Données projet'!$E$13+1,1))</f>
        <v>370.59298168107364</v>
      </c>
      <c r="CZ55" s="62">
        <f t="shared" si="42"/>
        <v>404.61777090709171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6.2</v>
      </c>
      <c r="DO55" s="13">
        <f>IF('Données projet'!$A$166&gt;35,DO54+DN55-DW54,IF(A55&lt;'Données projet'!$A$166,$DL$205^A55,IF(A55='Données projet'!$A$166,'Données projet'!$B$166,DO54+DN55-DW54)))</f>
        <v>182.40000000000003</v>
      </c>
      <c r="DP55" s="18">
        <f>DO55*VLOOKUP('Données projet'!$B$14,Paramètres!$A$1:$I$89,3,0)*VLOOKUP('Données projet'!$B$14,Paramètres!$A$1:$I$89,5,0)</f>
        <v>159.34464000000006</v>
      </c>
      <c r="DQ55" s="14">
        <f t="shared" si="43"/>
        <v>40.694661837553809</v>
      </c>
      <c r="DR55" s="22">
        <f t="shared" si="16"/>
        <v>348.40178403373966</v>
      </c>
      <c r="DS55" s="62">
        <f t="shared" si="17"/>
        <v>641.73511736707292</v>
      </c>
      <c r="DT55" s="62">
        <f ca="1">AVERAGE(OFFSET($DS$3,0,0,'Données projet'!$E$14+1,1))-AVERAGE(OFFSET($H$3,0,0,'Données projet'!$E$14+1,1))</f>
        <v>341.65872153228599</v>
      </c>
      <c r="DU55" s="62">
        <f t="shared" si="44"/>
        <v>339.49697153894937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5.7692307692307683</v>
      </c>
      <c r="EJ55" s="13">
        <f>IF('Données projet'!$A$192&gt;35,EJ54+EI55-ER54,IF(A55&lt;'Données projet'!$A$192,$EG$205^A55,IF(A55='Données projet'!$A$192,'Données projet'!$B$192,EJ54+EI55-ER54)))</f>
        <v>200.64102564102564</v>
      </c>
      <c r="EK55" s="18">
        <f>EJ55*VLOOKUP('Données projet'!$B$15,Paramètres!$A$1:$I$89,3,0)*VLOOKUP('Données projet'!$B$15,Paramètres!$A$1:$I$89,5,0)</f>
        <v>134.59</v>
      </c>
      <c r="EL55" s="14">
        <f t="shared" si="45"/>
        <v>35.054822215165878</v>
      </c>
      <c r="EM55" s="22">
        <f t="shared" si="19"/>
        <v>295.46473202474721</v>
      </c>
      <c r="EN55" s="62">
        <f t="shared" si="20"/>
        <v>588.79806535808052</v>
      </c>
      <c r="EO55" s="62">
        <f ca="1">AVERAGE(OFFSET($EN$3,0,0,'Données projet'!$E$15+1,1))-AVERAGE(OFFSET($H$3,0,0,'Données projet'!$E$15+1,1))</f>
        <v>312.06797204903796</v>
      </c>
      <c r="EP55" s="62">
        <f t="shared" si="46"/>
        <v>258.20189001775151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8</v>
      </c>
      <c r="FE55" s="13">
        <f>IF('Données projet'!$A$218&gt;35,FE54+FD55-FM54,IF(A55&lt;'Données projet'!$A$218,$FB$205^A55,IF(A55='Données projet'!$A$218,'Données projet'!$B$218,FE54+FD55-FM54)))</f>
        <v>173</v>
      </c>
      <c r="FF55" s="18">
        <f>FE55*VLOOKUP('Données projet'!$B$16,Paramètres!$A$1:$I$89,3,0)*VLOOKUP('Données projet'!$B$16,Paramètres!$A$1:$I$89,5,0)</f>
        <v>167.32560000000001</v>
      </c>
      <c r="FG55" s="14">
        <f t="shared" si="47"/>
        <v>42.490495297127609</v>
      </c>
      <c r="FH55" s="22">
        <f t="shared" si="22"/>
        <v>365.42969930916388</v>
      </c>
      <c r="FI55" s="62">
        <f t="shared" si="23"/>
        <v>658.76303264249714</v>
      </c>
      <c r="FJ55" s="62">
        <f ca="1">AVERAGE(OFFSET($FI$3,0,0,'Données projet'!$E$16+1,1))-AVERAGE(OFFSET($H$3,0,0,'Données projet'!$E$16+1,1))</f>
        <v>455.50822833641354</v>
      </c>
      <c r="FK55" s="62">
        <f t="shared" si="48"/>
        <v>261.14722581688039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16.227472527472521</v>
      </c>
      <c r="N56" s="14">
        <f>IF('Données projet'!$A$36&gt;35,N55+M56-V55,IF(A56&lt;'Données projet'!$A$36,$K$205^A56,IF(A56='Données projet'!$A$36,'Données projet'!$B$36,N55+M56-V55)))</f>
        <v>379.02527472527476</v>
      </c>
      <c r="O56" s="14">
        <f>N56*VLOOKUP('Données projet'!$B$9,Paramètres!$A$1:$I$89,3,0)*VLOOKUP('Données projet'!$B$9,Paramètres!$A$1:$I$89,5,0)</f>
        <v>211.87512857142858</v>
      </c>
      <c r="P56" s="14">
        <f t="shared" si="33"/>
        <v>52.345136228066735</v>
      </c>
      <c r="Q56" s="22">
        <f t="shared" si="53"/>
        <v>460.18362785912103</v>
      </c>
      <c r="R56" s="62">
        <f t="shared" si="0"/>
        <v>753.51696119245435</v>
      </c>
      <c r="S56" s="62">
        <f ca="1">AVERAGE(OFFSET($R$3,0,0,'Données projet'!$E$9+1,1))-AVERAGE(OFFSET($H$3,0,0,'Données projet'!$E$9+1,1))</f>
        <v>323.98185264074681</v>
      </c>
      <c r="T56" s="62">
        <f t="shared" si="34"/>
        <v>301.22207291854005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2.8297045884602992</v>
      </c>
      <c r="AA56" s="23">
        <f>EXP(-LN(2)/25)*AA55+(1-EXP(-LN(2)/25))/(LN(2)/25)*Calculateur!V56*Calculateur!X56*VLOOKUP('Données projet'!$B$9,Paramètres!$A$1:$I$89,3,0)*0.475*44/12</f>
        <v>4.3587722532693993</v>
      </c>
      <c r="AB56" s="23">
        <f>EXP(-LN(2)/2)*AB55+(1-EXP(-LN(2)/2))/(LN(2)/2)*V56*Y56*VLOOKUP('Données projet'!$B$9,Paramètres!$A$1:$I$89,3,0)*0.475*44/12</f>
        <v>2.1019188180000257E-3</v>
      </c>
      <c r="AC56" s="24">
        <f t="shared" si="3"/>
        <v>7.190578760547699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13.932692307692307</v>
      </c>
      <c r="AI56" s="14">
        <f>IF('Données projet'!$A$62&gt;35,AI55+AH56-AQ55,IF(A56&lt;'Données projet'!$A$62,$AF$205^A56,IF(A56='Données projet'!$A$62,'Données projet'!$B$62,AI55+AH56-AQ55)))</f>
        <v>291.08269230769224</v>
      </c>
      <c r="AJ56" s="14">
        <f>AI56*VLOOKUP('Données projet'!$B$10,Paramètres!$A$1:$I$89,3,0)*VLOOKUP('Données projet'!$B$10,Paramètres!$A$1:$I$89,5,0)</f>
        <v>136.22669999999997</v>
      </c>
      <c r="AK56" s="14">
        <f t="shared" si="35"/>
        <v>35.431225728201639</v>
      </c>
      <c r="AL56" s="22">
        <f t="shared" si="4"/>
        <v>298.97088730995114</v>
      </c>
      <c r="AM56" s="62">
        <f t="shared" si="5"/>
        <v>592.30422064328445</v>
      </c>
      <c r="AN56" s="62">
        <f ca="1">AVERAGE(OFFSET($AM$3,0,0,'Données projet'!$E$10+1,1))-AVERAGE(OFFSET($H$3,0,0,'Données projet'!$E$10+1,1))</f>
        <v>276.78862011733338</v>
      </c>
      <c r="AO56" s="62">
        <f t="shared" si="36"/>
        <v>202.1678469635836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163.7688</v>
      </c>
      <c r="BF56" s="14">
        <f t="shared" si="37"/>
        <v>41.691423503509803</v>
      </c>
      <c r="BG56" s="22">
        <f t="shared" si="7"/>
        <v>357.84322260194625</v>
      </c>
      <c r="BH56" s="62">
        <f t="shared" si="8"/>
        <v>651.17655593527957</v>
      </c>
      <c r="BI56" s="62">
        <f ca="1">AVERAGE(OFFSET($BH$3,0,0,'Données projet'!$E$11+1,1))-AVERAGE(OFFSET($H$3,0,0,'Données projet'!$E$11+1,1))</f>
        <v>428.8489304403459</v>
      </c>
      <c r="BJ56" s="62">
        <f t="shared" si="38"/>
        <v>247.01165577562966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10.66307692307692</v>
      </c>
      <c r="BY56" s="13">
        <f>IF('Données projet'!$A$114&gt;35,BY55+BX56-CG55,IF(A56&lt;'Données projet'!$A$114,$BV$205^A56,IF(A56='Données projet'!$A$114,'Données projet'!$B$114,BY55+BX56-CG55)))</f>
        <v>267.78153846153845</v>
      </c>
      <c r="BZ56" s="14">
        <f>BY56*VLOOKUP('Données projet'!$B$12,Paramètres!$A$1:$I$89,3,0)*VLOOKUP('Données projet'!$B$12,Paramètres!$A$1:$I$89,5,0)</f>
        <v>160.13336000000001</v>
      </c>
      <c r="CA56" s="14">
        <f t="shared" si="39"/>
        <v>40.872593668242253</v>
      </c>
      <c r="CB56" s="22">
        <f t="shared" si="10"/>
        <v>350.08536930552191</v>
      </c>
      <c r="CC56" s="62">
        <f t="shared" si="11"/>
        <v>643.41870263885517</v>
      </c>
      <c r="CD56" s="62">
        <f ca="1">AVERAGE(OFFSET($CC$3,0,0,'Données projet'!$E$12+1,1))-AVERAGE(OFFSET($H$3,0,0,'Données projet'!$E$12+1,1))</f>
        <v>289.12367833861299</v>
      </c>
      <c r="CE56" s="62">
        <f t="shared" si="40"/>
        <v>229.06617320689003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1.4317652363935748E-3</v>
      </c>
      <c r="CN56" s="24">
        <f t="shared" si="12"/>
        <v>1.4317652363935748E-3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7.3600000000000083</v>
      </c>
      <c r="CT56" s="13">
        <f>IF('Données projet'!$A$140&gt;35,CT55+CS56-DB55,IF(A56&lt;'Données projet'!$A$140,$CQ$205^A56,IF(A56='Données projet'!$A$140,'Données projet'!$B$140,CT55+CS56-DB55)))</f>
        <v>263.87999999999994</v>
      </c>
      <c r="CU56" s="18">
        <f>CT56*VLOOKUP('Données projet'!$B$13,Paramètres!$A$1:$I$89,3,0)*VLOOKUP('Données projet'!$B$13,Paramètres!$A$1:$I$89,5,0)</f>
        <v>209.94292799999997</v>
      </c>
      <c r="CV56" s="14">
        <f t="shared" si="41"/>
        <v>51.9231138331048</v>
      </c>
      <c r="CW56" s="22">
        <f t="shared" si="13"/>
        <v>456.08335619265745</v>
      </c>
      <c r="CX56" s="62">
        <f t="shared" si="14"/>
        <v>749.41668952599071</v>
      </c>
      <c r="CY56" s="62">
        <f ca="1">AVERAGE(OFFSET($CX$3,0,0,'Données projet'!$E$13+1,1))-AVERAGE(OFFSET($H$3,0,0,'Données projet'!$E$13+1,1))</f>
        <v>370.59298168107364</v>
      </c>
      <c r="CZ56" s="62">
        <f t="shared" si="42"/>
        <v>404.61777090709171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6.2</v>
      </c>
      <c r="DO56" s="13">
        <f>IF('Données projet'!$A$166&gt;35,DO55+DN56-DW55,IF(A56&lt;'Données projet'!$A$166,$DL$205^A56,IF(A56='Données projet'!$A$166,'Données projet'!$B$166,DO55+DN56-DW55)))</f>
        <v>188.60000000000002</v>
      </c>
      <c r="DP56" s="18">
        <f>DO56*VLOOKUP('Données projet'!$B$14,Paramètres!$A$1:$I$89,3,0)*VLOOKUP('Données projet'!$B$14,Paramètres!$A$1:$I$89,5,0)</f>
        <v>164.76096000000004</v>
      </c>
      <c r="DQ56" s="14">
        <f t="shared" si="43"/>
        <v>41.914523809719945</v>
      </c>
      <c r="DR56" s="22">
        <f t="shared" si="16"/>
        <v>359.95980096859563</v>
      </c>
      <c r="DS56" s="62">
        <f t="shared" si="17"/>
        <v>653.29313430192894</v>
      </c>
      <c r="DT56" s="62">
        <f ca="1">AVERAGE(OFFSET($DS$3,0,0,'Données projet'!$E$14+1,1))-AVERAGE(OFFSET($H$3,0,0,'Données projet'!$E$14+1,1))</f>
        <v>341.65872153228599</v>
      </c>
      <c r="DU56" s="62">
        <f t="shared" si="44"/>
        <v>339.49697153894937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5.7692307692307683</v>
      </c>
      <c r="EJ56" s="13">
        <f>IF('Données projet'!$A$192&gt;35,EJ55+EI56-ER55,IF(A56&lt;'Données projet'!$A$192,$EG$205^A56,IF(A56='Données projet'!$A$192,'Données projet'!$B$192,EJ55+EI56-ER55)))</f>
        <v>206.41025641025641</v>
      </c>
      <c r="EK56" s="18">
        <f>EJ56*VLOOKUP('Données projet'!$B$15,Paramètres!$A$1:$I$89,3,0)*VLOOKUP('Données projet'!$B$15,Paramètres!$A$1:$I$89,5,0)</f>
        <v>138.45999999999998</v>
      </c>
      <c r="EL56" s="14">
        <f t="shared" si="45"/>
        <v>35.943986332761526</v>
      </c>
      <c r="EM56" s="22">
        <f t="shared" si="19"/>
        <v>303.75360952955964</v>
      </c>
      <c r="EN56" s="62">
        <f t="shared" si="20"/>
        <v>597.08694286289301</v>
      </c>
      <c r="EO56" s="62">
        <f ca="1">AVERAGE(OFFSET($EN$3,0,0,'Données projet'!$E$15+1,1))-AVERAGE(OFFSET($H$3,0,0,'Données projet'!$E$15+1,1))</f>
        <v>312.06797204903796</v>
      </c>
      <c r="EP56" s="62">
        <f t="shared" si="46"/>
        <v>258.20189001775151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8</v>
      </c>
      <c r="FE56" s="13">
        <f>IF('Données projet'!$A$218&gt;35,FE55+FD56-FM55,IF(A56&lt;'Données projet'!$A$218,$FB$205^A56,IF(A56='Données projet'!$A$218,'Données projet'!$B$218,FE55+FD56-FM55)))</f>
        <v>181</v>
      </c>
      <c r="FF56" s="18">
        <f>FE56*VLOOKUP('Données projet'!$B$16,Paramètres!$A$1:$I$89,3,0)*VLOOKUP('Données projet'!$B$16,Paramètres!$A$1:$I$89,5,0)</f>
        <v>175.06319999999999</v>
      </c>
      <c r="FG56" s="14">
        <f t="shared" si="47"/>
        <v>44.22206774682472</v>
      </c>
      <c r="FH56" s="22">
        <f t="shared" si="22"/>
        <v>381.9218413257197</v>
      </c>
      <c r="FI56" s="62">
        <f t="shared" si="23"/>
        <v>675.25517465905295</v>
      </c>
      <c r="FJ56" s="62">
        <f ca="1">AVERAGE(OFFSET($FI$3,0,0,'Données projet'!$E$16+1,1))-AVERAGE(OFFSET($H$3,0,0,'Données projet'!$E$16+1,1))</f>
        <v>455.50822833641354</v>
      </c>
      <c r="FK56" s="62">
        <f t="shared" si="48"/>
        <v>261.14722581688039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16.227472527472521</v>
      </c>
      <c r="N57" s="14">
        <f>IF('Données projet'!$A$36&gt;35,N56+M57-V56,IF(A57&lt;'Données projet'!$A$36,$K$205^A57,IF(A57='Données projet'!$A$36,'Données projet'!$B$36,N56+M57-V56)))</f>
        <v>395.25274725274727</v>
      </c>
      <c r="O57" s="14">
        <f>N57*VLOOKUP('Données projet'!$B$9,Paramètres!$A$1:$I$89,3,0)*VLOOKUP('Données projet'!$B$9,Paramètres!$A$1:$I$89,5,0)</f>
        <v>220.94628571428572</v>
      </c>
      <c r="P57" s="14">
        <f t="shared" si="33"/>
        <v>54.320504840756463</v>
      </c>
      <c r="Q57" s="22">
        <f t="shared" si="53"/>
        <v>479.42299355003178</v>
      </c>
      <c r="R57" s="62">
        <f t="shared" si="0"/>
        <v>772.75632688336509</v>
      </c>
      <c r="S57" s="62">
        <f ca="1">AVERAGE(OFFSET($R$3,0,0,'Données projet'!$E$9+1,1))-AVERAGE(OFFSET($H$3,0,0,'Données projet'!$E$9+1,1))</f>
        <v>323.98185264074681</v>
      </c>
      <c r="T57" s="62">
        <f t="shared" si="34"/>
        <v>301.22207291854005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2.7742158074299681</v>
      </c>
      <c r="AA57" s="23">
        <f>EXP(-LN(2)/25)*AA56+(1-EXP(-LN(2)/25))/(LN(2)/25)*Calculateur!V57*Calculateur!X57*VLOOKUP('Données projet'!$B$9,Paramètres!$A$1:$I$89,3,0)*0.475*44/12</f>
        <v>4.2395813967858773</v>
      </c>
      <c r="AB57" s="23">
        <f>EXP(-LN(2)/2)*AB56+(1-EXP(-LN(2)/2))/(LN(2)/2)*V57*Y57*VLOOKUP('Données projet'!$B$9,Paramètres!$A$1:$I$89,3,0)*0.475*44/12</f>
        <v>1.4862810497114308E-3</v>
      </c>
      <c r="AC57" s="24">
        <f t="shared" si="3"/>
        <v>7.0152834852655568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>
        <f>VLOOKUP(A57,'Données projet'!$A$61:$I$81,2,0)</f>
        <v>305.01538461538462</v>
      </c>
      <c r="AG57" s="13">
        <f>VLOOKUP(A57,'Données projet'!$A$61:$I$81,9,0)</f>
        <v>13.932692307692307</v>
      </c>
      <c r="AH57" s="13">
        <f t="array" ref="AH57">INDEX(AG:AG,MIN(IF(ISNUMBER(AG57:AG253),ROW(AG57:AG253),"")))</f>
        <v>13.932692307692307</v>
      </c>
      <c r="AI57" s="14">
        <f>IF('Données projet'!$A$62&gt;35,AI56+AH57-AQ56,IF(A57&lt;'Données projet'!$A$62,$AF$205^A57,IF(A57='Données projet'!$A$62,'Données projet'!$B$62,AI56+AH57-AQ56)))</f>
        <v>305.01538461538456</v>
      </c>
      <c r="AJ57" s="14">
        <f>AI57*VLOOKUP('Données projet'!$B$10,Paramètres!$A$1:$I$89,3,0)*VLOOKUP('Données projet'!$B$10,Paramètres!$A$1:$I$89,5,0)</f>
        <v>142.74719999999996</v>
      </c>
      <c r="AK57" s="14">
        <f t="shared" si="35"/>
        <v>36.92563688864665</v>
      </c>
      <c r="AL57" s="22">
        <f t="shared" si="4"/>
        <v>312.93019091439282</v>
      </c>
      <c r="AM57" s="62">
        <f t="shared" si="5"/>
        <v>606.26352424772608</v>
      </c>
      <c r="AN57" s="62">
        <f ca="1">AVERAGE(OFFSET($AM$3,0,0,'Données projet'!$E$10+1,1))-AVERAGE(OFFSET($H$3,0,0,'Données projet'!$E$10+1,1))</f>
        <v>276.78862011733338</v>
      </c>
      <c r="AO57" s="62">
        <f t="shared" si="36"/>
        <v>202.1678469635836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171.00719999999998</v>
      </c>
      <c r="BF57" s="14">
        <f t="shared" si="37"/>
        <v>43.315525267338089</v>
      </c>
      <c r="BG57" s="22">
        <f t="shared" si="7"/>
        <v>373.27874650728046</v>
      </c>
      <c r="BH57" s="62">
        <f t="shared" si="8"/>
        <v>666.61207984061377</v>
      </c>
      <c r="BI57" s="62">
        <f ca="1">AVERAGE(OFFSET($BH$3,0,0,'Données projet'!$E$11+1,1))-AVERAGE(OFFSET($H$3,0,0,'Données projet'!$E$11+1,1))</f>
        <v>428.8489304403459</v>
      </c>
      <c r="BJ57" s="62">
        <f t="shared" si="38"/>
        <v>247.01165577562966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10.66307692307692</v>
      </c>
      <c r="BY57" s="13">
        <f>IF('Données projet'!$A$114&gt;35,BY56+BX57-CG56,IF(A57&lt;'Données projet'!$A$114,$BV$205^A57,IF(A57='Données projet'!$A$114,'Données projet'!$B$114,BY56+BX57-CG56)))</f>
        <v>278.44461538461536</v>
      </c>
      <c r="BZ57" s="14">
        <f>BY57*VLOOKUP('Données projet'!$B$12,Paramètres!$A$1:$I$89,3,0)*VLOOKUP('Données projet'!$B$12,Paramètres!$A$1:$I$89,5,0)</f>
        <v>166.50987999999998</v>
      </c>
      <c r="CA57" s="14">
        <f t="shared" si="39"/>
        <v>42.307411610776938</v>
      </c>
      <c r="CB57" s="22">
        <f t="shared" si="10"/>
        <v>363.69011622210314</v>
      </c>
      <c r="CC57" s="62">
        <f t="shared" si="11"/>
        <v>657.0234495554364</v>
      </c>
      <c r="CD57" s="62">
        <f ca="1">AVERAGE(OFFSET($CC$3,0,0,'Données projet'!$E$12+1,1))-AVERAGE(OFFSET($H$3,0,0,'Données projet'!$E$12+1,1))</f>
        <v>289.12367833861299</v>
      </c>
      <c r="CE57" s="62">
        <f t="shared" si="40"/>
        <v>229.06617320689003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1.012410907721057E-3</v>
      </c>
      <c r="CN57" s="24">
        <f t="shared" si="12"/>
        <v>1.012410907721057E-3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7.3600000000000083</v>
      </c>
      <c r="CT57" s="13">
        <f>IF('Données projet'!$A$140&gt;35,CT56+CS57-DB56,IF(A57&lt;'Données projet'!$A$140,$CQ$205^A57,IF(A57='Données projet'!$A$140,'Données projet'!$B$140,CT56+CS57-DB56)))</f>
        <v>271.23999999999995</v>
      </c>
      <c r="CU57" s="18">
        <f>CT57*VLOOKUP('Données projet'!$B$13,Paramètres!$A$1:$I$89,3,0)*VLOOKUP('Données projet'!$B$13,Paramètres!$A$1:$I$89,5,0)</f>
        <v>215.79854399999996</v>
      </c>
      <c r="CV57" s="14">
        <f t="shared" si="41"/>
        <v>53.200697768809484</v>
      </c>
      <c r="CW57" s="22">
        <f t="shared" si="13"/>
        <v>468.50701274734303</v>
      </c>
      <c r="CX57" s="62">
        <f t="shared" si="14"/>
        <v>761.84034608067634</v>
      </c>
      <c r="CY57" s="62">
        <f ca="1">AVERAGE(OFFSET($CX$3,0,0,'Données projet'!$E$13+1,1))-AVERAGE(OFFSET($H$3,0,0,'Données projet'!$E$13+1,1))</f>
        <v>370.59298168107364</v>
      </c>
      <c r="CZ57" s="62">
        <f t="shared" si="42"/>
        <v>404.61777090709171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6.2</v>
      </c>
      <c r="DO57" s="13">
        <f>IF('Données projet'!$A$166&gt;35,DO56+DN57-DW56,IF(A57&lt;'Données projet'!$A$166,$DL$205^A57,IF(A57='Données projet'!$A$166,'Données projet'!$B$166,DO56+DN57-DW56)))</f>
        <v>194.8</v>
      </c>
      <c r="DP57" s="18">
        <f>DO57*VLOOKUP('Données projet'!$B$14,Paramètres!$A$1:$I$89,3,0)*VLOOKUP('Données projet'!$B$14,Paramètres!$A$1:$I$89,5,0)</f>
        <v>170.17728000000005</v>
      </c>
      <c r="DQ57" s="14">
        <f t="shared" si="43"/>
        <v>43.129725999134671</v>
      </c>
      <c r="DR57" s="22">
        <f t="shared" si="16"/>
        <v>371.50970211515966</v>
      </c>
      <c r="DS57" s="62">
        <f t="shared" si="17"/>
        <v>664.84303544849297</v>
      </c>
      <c r="DT57" s="62">
        <f ca="1">AVERAGE(OFFSET($DS$3,0,0,'Données projet'!$E$14+1,1))-AVERAGE(OFFSET($H$3,0,0,'Données projet'!$E$14+1,1))</f>
        <v>341.65872153228599</v>
      </c>
      <c r="DU57" s="62">
        <f t="shared" si="44"/>
        <v>339.49697153894937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5.7692307692307683</v>
      </c>
      <c r="EJ57" s="13">
        <f>IF('Données projet'!$A$192&gt;35,EJ56+EI57-ER56,IF(A57&lt;'Données projet'!$A$192,$EG$205^A57,IF(A57='Données projet'!$A$192,'Données projet'!$B$192,EJ56+EI57-ER56)))</f>
        <v>212.17948717948718</v>
      </c>
      <c r="EK57" s="18">
        <f>EJ57*VLOOKUP('Données projet'!$B$15,Paramètres!$A$1:$I$89,3,0)*VLOOKUP('Données projet'!$B$15,Paramètres!$A$1:$I$89,5,0)</f>
        <v>142.33000000000001</v>
      </c>
      <c r="EL57" s="14">
        <f t="shared" si="45"/>
        <v>36.830261932722308</v>
      </c>
      <c r="EM57" s="22">
        <f t="shared" si="19"/>
        <v>312.03745619949137</v>
      </c>
      <c r="EN57" s="62">
        <f t="shared" si="20"/>
        <v>605.37078953282469</v>
      </c>
      <c r="EO57" s="62">
        <f ca="1">AVERAGE(OFFSET($EN$3,0,0,'Données projet'!$E$15+1,1))-AVERAGE(OFFSET($H$3,0,0,'Données projet'!$E$15+1,1))</f>
        <v>312.06797204903796</v>
      </c>
      <c r="EP57" s="62">
        <f t="shared" si="46"/>
        <v>258.20189001775151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8</v>
      </c>
      <c r="FE57" s="13">
        <f>IF('Données projet'!$A$218&gt;35,FE56+FD57-FM56,IF(A57&lt;'Données projet'!$A$218,$FB$205^A57,IF(A57='Données projet'!$A$218,'Données projet'!$B$218,FE56+FD57-FM56)))</f>
        <v>189</v>
      </c>
      <c r="FF57" s="18">
        <f>FE57*VLOOKUP('Données projet'!$B$16,Paramètres!$A$1:$I$89,3,0)*VLOOKUP('Données projet'!$B$16,Paramètres!$A$1:$I$89,5,0)</f>
        <v>182.80079999999998</v>
      </c>
      <c r="FG57" s="14">
        <f t="shared" si="47"/>
        <v>45.944751507471658</v>
      </c>
      <c r="FH57" s="22">
        <f t="shared" si="22"/>
        <v>398.39850220884642</v>
      </c>
      <c r="FI57" s="62">
        <f t="shared" si="23"/>
        <v>691.73183554217974</v>
      </c>
      <c r="FJ57" s="62">
        <f ca="1">AVERAGE(OFFSET($FI$3,0,0,'Données projet'!$E$16+1,1))-AVERAGE(OFFSET($H$3,0,0,'Données projet'!$E$16+1,1))</f>
        <v>455.50822833641354</v>
      </c>
      <c r="FK57" s="62">
        <f t="shared" si="48"/>
        <v>261.14722581688039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16.227472527472521</v>
      </c>
      <c r="N58" s="14">
        <f>IF('Données projet'!$A$36&gt;35,N57+M58-V57,IF(A58&lt;'Données projet'!$A$36,$K$205^A58,IF(A58='Données projet'!$A$36,'Données projet'!$B$36,N57+M58-V57)))</f>
        <v>411.48021978021978</v>
      </c>
      <c r="O58" s="14">
        <f>N58*VLOOKUP('Données projet'!$B$9,Paramètres!$A$1:$I$89,3,0)*VLOOKUP('Données projet'!$B$9,Paramètres!$A$1:$I$89,5,0)</f>
        <v>230.01744285714284</v>
      </c>
      <c r="P58" s="14">
        <f t="shared" si="33"/>
        <v>56.286453068022915</v>
      </c>
      <c r="Q58" s="22">
        <f t="shared" si="53"/>
        <v>498.64595206966368</v>
      </c>
      <c r="R58" s="62">
        <f t="shared" si="0"/>
        <v>791.97928540299699</v>
      </c>
      <c r="S58" s="62">
        <f ca="1">AVERAGE(OFFSET($R$3,0,0,'Données projet'!$E$9+1,1))-AVERAGE(OFFSET($H$3,0,0,'Données projet'!$E$9+1,1))</f>
        <v>323.98185264074681</v>
      </c>
      <c r="T58" s="62">
        <f t="shared" si="34"/>
        <v>301.22207291854005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2.7198151275508273</v>
      </c>
      <c r="AA58" s="23">
        <f>EXP(-LN(2)/25)*AA57+(1-EXP(-LN(2)/25))/(LN(2)/25)*Calculateur!V58*Calculateur!X58*VLOOKUP('Données projet'!$B$9,Paramètres!$A$1:$I$89,3,0)*0.475*44/12</f>
        <v>4.1236498205408711</v>
      </c>
      <c r="AB58" s="23">
        <f>EXP(-LN(2)/2)*AB57+(1-EXP(-LN(2)/2))/(LN(2)/2)*V58*Y58*VLOOKUP('Données projet'!$B$9,Paramètres!$A$1:$I$89,3,0)*0.475*44/12</f>
        <v>1.0509594090000129E-3</v>
      </c>
      <c r="AC58" s="24">
        <f t="shared" si="3"/>
        <v>6.844515907500698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14.576923076923066</v>
      </c>
      <c r="AI58" s="14">
        <f>IF('Données projet'!$A$62&gt;35,AI57+AH58-AQ57,IF(A58&lt;'Données projet'!$A$62,$AF$205^A58,IF(A58='Données projet'!$A$62,'Données projet'!$B$62,AI57+AH58-AQ57)))</f>
        <v>319.5923076923076</v>
      </c>
      <c r="AJ58" s="14">
        <f>AI58*VLOOKUP('Données projet'!$B$10,Paramètres!$A$1:$I$89,3,0)*VLOOKUP('Données projet'!$B$10,Paramètres!$A$1:$I$89,5,0)</f>
        <v>149.56919999999997</v>
      </c>
      <c r="AK58" s="14">
        <f t="shared" si="35"/>
        <v>38.480668393304832</v>
      </c>
      <c r="AL58" s="22">
        <f t="shared" si="4"/>
        <v>327.52018745167248</v>
      </c>
      <c r="AM58" s="62">
        <f t="shared" si="5"/>
        <v>620.8535207850058</v>
      </c>
      <c r="AN58" s="62">
        <f ca="1">AVERAGE(OFFSET($AM$3,0,0,'Données projet'!$E$10+1,1))-AVERAGE(OFFSET($H$3,0,0,'Données projet'!$E$10+1,1))</f>
        <v>276.78862011733338</v>
      </c>
      <c r="AO58" s="62">
        <f t="shared" si="36"/>
        <v>202.1678469635836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178.2456</v>
      </c>
      <c r="BF58" s="14">
        <f t="shared" si="37"/>
        <v>44.931642269910427</v>
      </c>
      <c r="BG58" s="22">
        <f t="shared" si="7"/>
        <v>388.70036362009404</v>
      </c>
      <c r="BH58" s="62">
        <f t="shared" si="8"/>
        <v>682.03369695342735</v>
      </c>
      <c r="BI58" s="62">
        <f ca="1">AVERAGE(OFFSET($BH$3,0,0,'Données projet'!$E$11+1,1))-AVERAGE(OFFSET($H$3,0,0,'Données projet'!$E$11+1,1))</f>
        <v>428.8489304403459</v>
      </c>
      <c r="BJ58" s="62">
        <f t="shared" si="38"/>
        <v>247.01165577562966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10.66307692307692</v>
      </c>
      <c r="BY58" s="13">
        <f>IF('Données projet'!$A$114&gt;35,BY57+BX58-CG57,IF(A58&lt;'Données projet'!$A$114,$BV$205^A58,IF(A58='Données projet'!$A$114,'Données projet'!$B$114,BY57+BX58-CG57)))</f>
        <v>289.10769230769228</v>
      </c>
      <c r="BZ58" s="14">
        <f>BY58*VLOOKUP('Données projet'!$B$12,Paramètres!$A$1:$I$89,3,0)*VLOOKUP('Données projet'!$B$12,Paramètres!$A$1:$I$89,5,0)</f>
        <v>172.88639999999998</v>
      </c>
      <c r="CA58" s="14">
        <f t="shared" si="39"/>
        <v>43.735846359314316</v>
      </c>
      <c r="CB58" s="22">
        <f t="shared" si="10"/>
        <v>377.28374574247232</v>
      </c>
      <c r="CC58" s="62">
        <f t="shared" si="11"/>
        <v>670.61707907580558</v>
      </c>
      <c r="CD58" s="62">
        <f ca="1">AVERAGE(OFFSET($CC$3,0,0,'Données projet'!$E$12+1,1))-AVERAGE(OFFSET($H$3,0,0,'Données projet'!$E$12+1,1))</f>
        <v>289.12367833861299</v>
      </c>
      <c r="CE58" s="62">
        <f t="shared" si="40"/>
        <v>229.06617320689003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7.1588261819678742E-4</v>
      </c>
      <c r="CN58" s="24">
        <f t="shared" si="12"/>
        <v>7.1588261819678742E-4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278.60000000000002</v>
      </c>
      <c r="CR58" s="13">
        <f>VLOOKUP(A58,'Données projet'!$A$139:$I$159,9,0)</f>
        <v>7.3600000000000083</v>
      </c>
      <c r="CS58" s="13">
        <f t="array" ref="CS58">INDEX(CR:CR,MIN(IF(ISNUMBER(CR58:CR254),ROW(CR58:CR254),"")))</f>
        <v>7.3600000000000083</v>
      </c>
      <c r="CT58" s="13">
        <f>IF('Données projet'!$A$140&gt;35,CT57+CS58-DB57,IF(A58&lt;'Données projet'!$A$140,$CQ$205^A58,IF(A58='Données projet'!$A$140,'Données projet'!$B$140,CT57+CS58-DB57)))</f>
        <v>278.59999999999997</v>
      </c>
      <c r="CU58" s="18">
        <f>CT58*VLOOKUP('Données projet'!$B$13,Paramètres!$A$1:$I$89,3,0)*VLOOKUP('Données projet'!$B$13,Paramètres!$A$1:$I$89,5,0)</f>
        <v>221.65415999999999</v>
      </c>
      <c r="CV58" s="14">
        <f t="shared" si="41"/>
        <v>54.474252334510162</v>
      </c>
      <c r="CW58" s="22">
        <f t="shared" si="13"/>
        <v>480.92365148260507</v>
      </c>
      <c r="CX58" s="62">
        <f t="shared" si="14"/>
        <v>774.25698481593838</v>
      </c>
      <c r="CY58" s="62">
        <f ca="1">AVERAGE(OFFSET($CX$3,0,0,'Données projet'!$E$13+1,1))-AVERAGE(OFFSET($H$3,0,0,'Données projet'!$E$13+1,1))</f>
        <v>370.59298168107364</v>
      </c>
      <c r="CZ58" s="62">
        <f t="shared" si="42"/>
        <v>404.61777090709171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201</v>
      </c>
      <c r="DM58" s="13">
        <f>VLOOKUP(A58,'Données projet'!$A$165:$I$185,9,0)</f>
        <v>6.2</v>
      </c>
      <c r="DN58" s="13">
        <f t="array" ref="DN58">INDEX(DM:DM,MIN(IF(ISNUMBER(DM58:DM254),ROW(DM58:DM254),"")))</f>
        <v>6.2</v>
      </c>
      <c r="DO58" s="13">
        <f>IF('Données projet'!$A$166&gt;35,DO57+DN58-DW57,IF(A58&lt;'Données projet'!$A$166,$DL$205^A58,IF(A58='Données projet'!$A$166,'Données projet'!$B$166,DO57+DN58-DW57)))</f>
        <v>201</v>
      </c>
      <c r="DP58" s="18">
        <f>DO58*VLOOKUP('Données projet'!$B$14,Paramètres!$A$1:$I$89,3,0)*VLOOKUP('Données projet'!$B$14,Paramètres!$A$1:$I$89,5,0)</f>
        <v>175.59360000000004</v>
      </c>
      <c r="DQ58" s="14">
        <f t="shared" si="43"/>
        <v>44.340433728638573</v>
      </c>
      <c r="DR58" s="22">
        <f t="shared" si="16"/>
        <v>383.05177541071225</v>
      </c>
      <c r="DS58" s="62">
        <f t="shared" si="17"/>
        <v>676.38510874404551</v>
      </c>
      <c r="DT58" s="62">
        <f ca="1">AVERAGE(OFFSET($DS$3,0,0,'Données projet'!$E$14+1,1))-AVERAGE(OFFSET($H$3,0,0,'Données projet'!$E$14+1,1))</f>
        <v>341.65872153228599</v>
      </c>
      <c r="DU58" s="62">
        <f t="shared" si="44"/>
        <v>339.49697153894937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217.94871794871793</v>
      </c>
      <c r="EH58" s="13">
        <f>VLOOKUP(A58,'Données projet'!$A$191:$I$211,9,0)</f>
        <v>5.7692307692307683</v>
      </c>
      <c r="EI58" s="13">
        <f t="array" ref="EI58">INDEX(EH:EH,MIN(IF(ISNUMBER(EH58:EH254),ROW(EH58:EH254),"")))</f>
        <v>5.7692307692307683</v>
      </c>
      <c r="EJ58" s="13">
        <f>IF('Données projet'!$A$192&gt;35,EJ57+EI58-ER57,IF(A58&lt;'Données projet'!$A$192,$EG$205^A58,IF(A58='Données projet'!$A$192,'Données projet'!$B$192,EJ57+EI58-ER57)))</f>
        <v>217.94871794871796</v>
      </c>
      <c r="EK58" s="18">
        <f>EJ58*VLOOKUP('Données projet'!$B$15,Paramètres!$A$1:$I$89,3,0)*VLOOKUP('Données projet'!$B$15,Paramètres!$A$1:$I$89,5,0)</f>
        <v>146.19999999999999</v>
      </c>
      <c r="EL58" s="14">
        <f t="shared" si="45"/>
        <v>37.713736580072478</v>
      </c>
      <c r="EM58" s="22">
        <f t="shared" si="19"/>
        <v>320.31642454362617</v>
      </c>
      <c r="EN58" s="62">
        <f t="shared" si="20"/>
        <v>613.64975787695948</v>
      </c>
      <c r="EO58" s="62">
        <f ca="1">AVERAGE(OFFSET($EN$3,0,0,'Données projet'!$E$15+1,1))-AVERAGE(OFFSET($H$3,0,0,'Données projet'!$E$15+1,1))</f>
        <v>312.06797204903796</v>
      </c>
      <c r="EP58" s="62">
        <f t="shared" si="46"/>
        <v>258.20189001775151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197</v>
      </c>
      <c r="FC58" s="13">
        <f>VLOOKUP(A58,'Données projet'!$A$217:$I$237,9,0)</f>
        <v>8</v>
      </c>
      <c r="FD58" s="13">
        <f t="array" ref="FD58">INDEX(FC:FC,MIN(IF(ISNUMBER(FC58:FC254),ROW(FC58:FC254),"")))</f>
        <v>8</v>
      </c>
      <c r="FE58" s="13">
        <f>IF('Données projet'!$A$218&gt;35,FE57+FD58-FM57,IF(A58&lt;'Données projet'!$A$218,$FB$205^A58,IF(A58='Données projet'!$A$218,'Données projet'!$B$218,FE57+FD58-FM57)))</f>
        <v>197</v>
      </c>
      <c r="FF58" s="18">
        <f>FE58*VLOOKUP('Données projet'!$B$16,Paramètres!$A$1:$I$89,3,0)*VLOOKUP('Données projet'!$B$16,Paramètres!$A$1:$I$89,5,0)</f>
        <v>190.5384</v>
      </c>
      <c r="FG58" s="14">
        <f t="shared" si="47"/>
        <v>47.658965836673829</v>
      </c>
      <c r="FH58" s="22">
        <f t="shared" si="22"/>
        <v>414.86041216554025</v>
      </c>
      <c r="FI58" s="62">
        <f t="shared" si="23"/>
        <v>708.19374549887357</v>
      </c>
      <c r="FJ58" s="62">
        <f ca="1">AVERAGE(OFFSET($FI$3,0,0,'Données projet'!$E$16+1,1))-AVERAGE(OFFSET($H$3,0,0,'Données projet'!$E$16+1,1))</f>
        <v>455.50822833641354</v>
      </c>
      <c r="FK58" s="62">
        <f t="shared" si="48"/>
        <v>261.14722581688039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427.7076923076923</v>
      </c>
      <c r="L59" s="13">
        <f>VLOOKUP(A59,'Données projet'!$A$35:$I$55,9,0)</f>
        <v>16.227472527472521</v>
      </c>
      <c r="M59" s="13">
        <f t="array" ref="M59">INDEX(L:L,MIN(IF(ISNUMBER(L59:L255),ROW(L59:L255),"")))</f>
        <v>16.227472527472521</v>
      </c>
      <c r="N59" s="14">
        <f>IF('Données projet'!$A$36&gt;35,N58+M59-V58,IF(A59&lt;'Données projet'!$A$36,$K$205^A59,IF(A59='Données projet'!$A$36,'Données projet'!$B$36,N58+M59-V58)))</f>
        <v>427.7076923076923</v>
      </c>
      <c r="O59" s="14">
        <f>N59*VLOOKUP('Données projet'!$B$9,Paramètres!$A$1:$I$89,3,0)*VLOOKUP('Données projet'!$B$9,Paramètres!$A$1:$I$89,5,0)</f>
        <v>239.08860000000001</v>
      </c>
      <c r="P59" s="14">
        <f t="shared" si="33"/>
        <v>58.243394931850105</v>
      </c>
      <c r="Q59" s="22">
        <f t="shared" si="53"/>
        <v>517.85322450630554</v>
      </c>
      <c r="R59" s="62">
        <f t="shared" si="0"/>
        <v>811.18655783963891</v>
      </c>
      <c r="S59" s="62">
        <f ca="1">AVERAGE(OFFSET($R$3,0,0,'Données projet'!$E$9+1,1))-AVERAGE(OFFSET($H$3,0,0,'Données projet'!$E$9+1,1))</f>
        <v>323.98185264074681</v>
      </c>
      <c r="T59" s="62">
        <f t="shared" si="34"/>
        <v>301.22207291854005</v>
      </c>
      <c r="U59" s="16">
        <f>IF(ISNA(VLOOKUP(A59,'Données projet'!$A$35:$I$55,3,0)),0,VLOOKUP(A59,'Données projet'!$A$35:$I$55,3,0))</f>
        <v>6</v>
      </c>
      <c r="V59" s="16">
        <f>IF(ISNA(VLOOKUP(A59,'Données projet'!$A$35:$I$55,4,0)),0,VLOOKUP(A59,'Données projet'!$A$35:$I$55,4,0))</f>
        <v>75.869230769230768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2.6664812118229784</v>
      </c>
      <c r="AA59" s="23">
        <f>EXP(-LN(2)/25)*AA58+(1-EXP(-LN(2)/25))/(LN(2)/25)*Calculateur!V59*Calculateur!X59*VLOOKUP('Données projet'!$B$9,Paramètres!$A$1:$I$89,3,0)*0.475*44/12</f>
        <v>4.0108883993448616</v>
      </c>
      <c r="AB59" s="23">
        <f>EXP(-LN(2)/2)*AB58+(1-EXP(-LN(2)/2))/(LN(2)/2)*V59*Y59*VLOOKUP('Données projet'!$B$9,Paramètres!$A$1:$I$89,3,0)*0.475*44/12</f>
        <v>7.4314052485571541E-4</v>
      </c>
      <c r="AC59" s="24">
        <f t="shared" si="3"/>
        <v>6.6781127516926961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14.576923076923066</v>
      </c>
      <c r="AI59" s="14">
        <f>IF('Données projet'!$A$62&gt;35,AI58+AH59-AQ58,IF(A59&lt;'Données projet'!$A$62,$AF$205^A59,IF(A59='Données projet'!$A$62,'Données projet'!$B$62,AI58+AH59-AQ58)))</f>
        <v>334.16923076923069</v>
      </c>
      <c r="AJ59" s="14">
        <f>AI59*VLOOKUP('Données projet'!$B$10,Paramètres!$A$1:$I$89,3,0)*VLOOKUP('Données projet'!$B$10,Paramètres!$A$1:$I$89,5,0)</f>
        <v>156.39119999999997</v>
      </c>
      <c r="AK59" s="14">
        <f t="shared" si="35"/>
        <v>40.027462910624614</v>
      </c>
      <c r="AL59" s="22">
        <f t="shared" si="4"/>
        <v>342.09583790267112</v>
      </c>
      <c r="AM59" s="62">
        <f t="shared" si="5"/>
        <v>635.42917123600444</v>
      </c>
      <c r="AN59" s="62">
        <f ca="1">AVERAGE(OFFSET($AM$3,0,0,'Données projet'!$E$10+1,1))-AVERAGE(OFFSET($H$3,0,0,'Données projet'!$E$10+1,1))</f>
        <v>276.78862011733338</v>
      </c>
      <c r="AO59" s="62">
        <f t="shared" si="36"/>
        <v>202.1678469635836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185.12207999999998</v>
      </c>
      <c r="BF59" s="14">
        <f t="shared" si="37"/>
        <v>46.459887003478677</v>
      </c>
      <c r="BG59" s="22">
        <f t="shared" si="7"/>
        <v>403.33859253105862</v>
      </c>
      <c r="BH59" s="62">
        <f t="shared" si="8"/>
        <v>696.67192586439194</v>
      </c>
      <c r="BI59" s="62">
        <f ca="1">AVERAGE(OFFSET($BH$3,0,0,'Données projet'!$E$11+1,1))-AVERAGE(OFFSET($H$3,0,0,'Données projet'!$E$11+1,1))</f>
        <v>428.8489304403459</v>
      </c>
      <c r="BJ59" s="62">
        <f t="shared" si="38"/>
        <v>247.01165577562966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10.66307692307692</v>
      </c>
      <c r="BY59" s="13">
        <f>IF('Données projet'!$A$114&gt;35,BY58+BX59-CG58,IF(A59&lt;'Données projet'!$A$114,$BV$205^A59,IF(A59='Données projet'!$A$114,'Données projet'!$B$114,BY58+BX59-CG58)))</f>
        <v>299.77076923076919</v>
      </c>
      <c r="BZ59" s="14">
        <f>BY59*VLOOKUP('Données projet'!$B$12,Paramètres!$A$1:$I$89,3,0)*VLOOKUP('Données projet'!$B$12,Paramètres!$A$1:$I$89,5,0)</f>
        <v>179.26291999999998</v>
      </c>
      <c r="CA59" s="14">
        <f t="shared" si="39"/>
        <v>45.158160305042841</v>
      </c>
      <c r="CB59" s="22">
        <f t="shared" si="10"/>
        <v>390.8667148646162</v>
      </c>
      <c r="CC59" s="62">
        <f t="shared" si="11"/>
        <v>684.20004819794951</v>
      </c>
      <c r="CD59" s="62">
        <f ca="1">AVERAGE(OFFSET($CC$3,0,0,'Données projet'!$E$12+1,1))-AVERAGE(OFFSET($H$3,0,0,'Données projet'!$E$12+1,1))</f>
        <v>289.12367833861299</v>
      </c>
      <c r="CE59" s="62">
        <f t="shared" si="40"/>
        <v>229.06617320689003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5.062054538605285E-4</v>
      </c>
      <c r="CN59" s="24">
        <f t="shared" si="12"/>
        <v>5.062054538605285E-4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6.2799999999999958</v>
      </c>
      <c r="CT59" s="13">
        <f>IF('Données projet'!$A$140&gt;35,CT58+CS59-DB58,IF(A59&lt;'Données projet'!$A$140,$CQ$205^A59,IF(A59='Données projet'!$A$140,'Données projet'!$B$140,CT58+CS59-DB58)))</f>
        <v>284.87999999999994</v>
      </c>
      <c r="CU59" s="18">
        <f>CT59*VLOOKUP('Données projet'!$B$13,Paramètres!$A$1:$I$89,3,0)*VLOOKUP('Données projet'!$B$13,Paramètres!$A$1:$I$89,5,0)</f>
        <v>226.65052799999998</v>
      </c>
      <c r="CV59" s="14">
        <f t="shared" si="41"/>
        <v>55.557830188244751</v>
      </c>
      <c r="CW59" s="22">
        <f t="shared" si="13"/>
        <v>491.51289051119289</v>
      </c>
      <c r="CX59" s="62">
        <f t="shared" si="14"/>
        <v>784.84622384452621</v>
      </c>
      <c r="CY59" s="62">
        <f ca="1">AVERAGE(OFFSET($CX$3,0,0,'Données projet'!$E$13+1,1))-AVERAGE(OFFSET($H$3,0,0,'Données projet'!$E$13+1,1))</f>
        <v>370.59298168107364</v>
      </c>
      <c r="CZ59" s="62">
        <f t="shared" si="42"/>
        <v>404.61777090709171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5.2</v>
      </c>
      <c r="DO59" s="13">
        <f>IF('Données projet'!$A$166&gt;35,DO58+DN59-DW58,IF(A59&lt;'Données projet'!$A$166,$DL$205^A59,IF(A59='Données projet'!$A$166,'Données projet'!$B$166,DO58+DN59-DW58)))</f>
        <v>206.2</v>
      </c>
      <c r="DP59" s="18">
        <f>DO59*VLOOKUP('Données projet'!$B$14,Paramètres!$A$1:$I$89,3,0)*VLOOKUP('Données projet'!$B$14,Paramètres!$A$1:$I$89,5,0)</f>
        <v>180.13632000000001</v>
      </c>
      <c r="DQ59" s="14">
        <f t="shared" si="43"/>
        <v>45.352513518602102</v>
      </c>
      <c r="DR59" s="22">
        <f t="shared" si="16"/>
        <v>392.72638504489868</v>
      </c>
      <c r="DS59" s="62">
        <f t="shared" si="17"/>
        <v>686.05971837823199</v>
      </c>
      <c r="DT59" s="62">
        <f ca="1">AVERAGE(OFFSET($DS$3,0,0,'Données projet'!$E$14+1,1))-AVERAGE(OFFSET($H$3,0,0,'Données projet'!$E$14+1,1))</f>
        <v>341.65872153228599</v>
      </c>
      <c r="DU59" s="62">
        <f t="shared" si="44"/>
        <v>339.49697153894937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5.3846153846153868</v>
      </c>
      <c r="EJ59" s="13">
        <f>IF('Données projet'!$A$192&gt;35,EJ58+EI59-ER58,IF(A59&lt;'Données projet'!$A$192,$EG$205^A59,IF(A59='Données projet'!$A$192,'Données projet'!$B$192,EJ58+EI59-ER58)))</f>
        <v>223.33333333333334</v>
      </c>
      <c r="EK59" s="18">
        <f>EJ59*VLOOKUP('Données projet'!$B$15,Paramètres!$A$1:$I$89,3,0)*VLOOKUP('Données projet'!$B$15,Paramètres!$A$1:$I$89,5,0)</f>
        <v>149.81200000000001</v>
      </c>
      <c r="EL59" s="14">
        <f t="shared" si="45"/>
        <v>38.535858828351053</v>
      </c>
      <c r="EM59" s="22">
        <f t="shared" si="19"/>
        <v>328.03918745937807</v>
      </c>
      <c r="EN59" s="62">
        <f t="shared" si="20"/>
        <v>621.37252079271138</v>
      </c>
      <c r="EO59" s="62">
        <f ca="1">AVERAGE(OFFSET($EN$3,0,0,'Données projet'!$E$15+1,1))-AVERAGE(OFFSET($H$3,0,0,'Données projet'!$E$15+1,1))</f>
        <v>312.06797204903796</v>
      </c>
      <c r="EP59" s="62">
        <f t="shared" si="46"/>
        <v>258.20189001775151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7.6</v>
      </c>
      <c r="FE59" s="13">
        <f>IF('Données projet'!$A$218&gt;35,FE58+FD59-FM58,IF(A59&lt;'Données projet'!$A$218,$FB$205^A59,IF(A59='Données projet'!$A$218,'Données projet'!$B$218,FE58+FD59-FM58)))</f>
        <v>204.6</v>
      </c>
      <c r="FF59" s="18">
        <f>FE59*VLOOKUP('Données projet'!$B$16,Paramètres!$A$1:$I$89,3,0)*VLOOKUP('Données projet'!$B$16,Paramètres!$A$1:$I$89,5,0)</f>
        <v>197.88911999999999</v>
      </c>
      <c r="FG59" s="14">
        <f t="shared" si="47"/>
        <v>49.279974103179534</v>
      </c>
      <c r="FH59" s="22">
        <f t="shared" si="22"/>
        <v>430.48617222970438</v>
      </c>
      <c r="FI59" s="62">
        <f t="shared" si="23"/>
        <v>723.81950556303764</v>
      </c>
      <c r="FJ59" s="62">
        <f ca="1">AVERAGE(OFFSET($FI$3,0,0,'Données projet'!$E$16+1,1))-AVERAGE(OFFSET($H$3,0,0,'Données projet'!$E$16+1,1))</f>
        <v>455.50822833641354</v>
      </c>
      <c r="FK59" s="62">
        <f t="shared" si="48"/>
        <v>261.14722581688039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14.839560439560435</v>
      </c>
      <c r="N60" s="14">
        <f>IF('Données projet'!$A$36&gt;35,N59+M60-V59,IF(A60&lt;'Données projet'!$A$36,$K$205^A60,IF(A60='Données projet'!$A$36,'Données projet'!$B$36,N59+M60-V59)))</f>
        <v>366.678021978022</v>
      </c>
      <c r="O60" s="14">
        <f>N60*VLOOKUP('Données projet'!$B$9,Paramètres!$A$1:$I$89,3,0)*VLOOKUP('Données projet'!$B$9,Paramètres!$A$1:$I$89,5,0)</f>
        <v>204.9730142857143</v>
      </c>
      <c r="P60" s="14">
        <f t="shared" si="33"/>
        <v>50.835518579260878</v>
      </c>
      <c r="Q60" s="22">
        <f t="shared" si="53"/>
        <v>445.53319473983174</v>
      </c>
      <c r="R60" s="62">
        <f t="shared" si="0"/>
        <v>738.866528073165</v>
      </c>
      <c r="S60" s="62">
        <f ca="1">AVERAGE(OFFSET($R$3,0,0,'Données projet'!$E$9+1,1))-AVERAGE(OFFSET($H$3,0,0,'Données projet'!$E$9+1,1))</f>
        <v>323.98185264074681</v>
      </c>
      <c r="T60" s="62">
        <f t="shared" si="34"/>
        <v>301.22207291854005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2.6141931416520761</v>
      </c>
      <c r="AA60" s="23">
        <f>EXP(-LN(2)/25)*AA59+(1-EXP(-LN(2)/25))/(LN(2)/25)*Calculateur!V60*Calculateur!X60*VLOOKUP('Données projet'!$B$9,Paramètres!$A$1:$I$89,3,0)*0.475*44/12</f>
        <v>3.9012104451413223</v>
      </c>
      <c r="AB60" s="23">
        <f>EXP(-LN(2)/2)*AB59+(1-EXP(-LN(2)/2))/(LN(2)/2)*V60*Y60*VLOOKUP('Données projet'!$B$9,Paramètres!$A$1:$I$89,3,0)*0.475*44/12</f>
        <v>5.2547970450000643E-4</v>
      </c>
      <c r="AC60" s="24">
        <f t="shared" si="3"/>
        <v>6.5159290664978986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14.576923076923066</v>
      </c>
      <c r="AI60" s="14">
        <f>IF('Données projet'!$A$62&gt;35,AI59+AH60-AQ59,IF(A60&lt;'Données projet'!$A$62,$AF$205^A60,IF(A60='Données projet'!$A$62,'Données projet'!$B$62,AI59+AH60-AQ59)))</f>
        <v>348.74615384615379</v>
      </c>
      <c r="AJ60" s="14">
        <f>AI60*VLOOKUP('Données projet'!$B$10,Paramètres!$A$1:$I$89,3,0)*VLOOKUP('Données projet'!$B$10,Paramètres!$A$1:$I$89,5,0)</f>
        <v>163.21319999999997</v>
      </c>
      <c r="AK60" s="14">
        <f t="shared" si="35"/>
        <v>41.566420815466671</v>
      </c>
      <c r="AL60" s="22">
        <f t="shared" si="4"/>
        <v>356.65783958693765</v>
      </c>
      <c r="AM60" s="62">
        <f t="shared" si="5"/>
        <v>649.99117292027097</v>
      </c>
      <c r="AN60" s="62">
        <f ca="1">AVERAGE(OFFSET($AM$3,0,0,'Données projet'!$E$10+1,1))-AVERAGE(OFFSET($H$3,0,0,'Données projet'!$E$10+1,1))</f>
        <v>276.78862011733338</v>
      </c>
      <c r="AO60" s="62">
        <f t="shared" si="36"/>
        <v>202.1678469635836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191.99855999999997</v>
      </c>
      <c r="BF60" s="14">
        <f t="shared" si="37"/>
        <v>47.981536645873334</v>
      </c>
      <c r="BG60" s="22">
        <f t="shared" si="7"/>
        <v>417.96533499156266</v>
      </c>
      <c r="BH60" s="62">
        <f t="shared" si="8"/>
        <v>711.29866832489597</v>
      </c>
      <c r="BI60" s="62">
        <f ca="1">AVERAGE(OFFSET($BH$3,0,0,'Données projet'!$E$11+1,1))-AVERAGE(OFFSET($H$3,0,0,'Données projet'!$E$11+1,1))</f>
        <v>428.8489304403459</v>
      </c>
      <c r="BJ60" s="62">
        <f t="shared" si="38"/>
        <v>247.01165577562966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10.66307692307692</v>
      </c>
      <c r="BY60" s="13">
        <f>IF('Données projet'!$A$114&gt;35,BY59+BX60-CG59,IF(A60&lt;'Données projet'!$A$114,$BV$205^A60,IF(A60='Données projet'!$A$114,'Données projet'!$B$114,BY59+BX60-CG59)))</f>
        <v>310.4338461538461</v>
      </c>
      <c r="BZ60" s="14">
        <f>BY60*VLOOKUP('Données projet'!$B$12,Paramètres!$A$1:$I$89,3,0)*VLOOKUP('Données projet'!$B$12,Paramètres!$A$1:$I$89,5,0)</f>
        <v>185.63943999999998</v>
      </c>
      <c r="CA60" s="14">
        <f t="shared" si="39"/>
        <v>46.574596113982338</v>
      </c>
      <c r="CB60" s="22">
        <f t="shared" si="10"/>
        <v>404.43944623185251</v>
      </c>
      <c r="CC60" s="62">
        <f t="shared" si="11"/>
        <v>697.77277956518583</v>
      </c>
      <c r="CD60" s="62">
        <f ca="1">AVERAGE(OFFSET($CC$3,0,0,'Données projet'!$E$12+1,1))-AVERAGE(OFFSET($H$3,0,0,'Données projet'!$E$12+1,1))</f>
        <v>289.12367833861299</v>
      </c>
      <c r="CE60" s="62">
        <f t="shared" si="40"/>
        <v>229.06617320689003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3.5794130909839371E-4</v>
      </c>
      <c r="CN60" s="24">
        <f t="shared" si="12"/>
        <v>3.5794130909839371E-4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6.2799999999999958</v>
      </c>
      <c r="CT60" s="13">
        <f>IF('Données projet'!$A$140&gt;35,CT59+CS60-DB59,IF(A60&lt;'Données projet'!$A$140,$CQ$205^A60,IF(A60='Données projet'!$A$140,'Données projet'!$B$140,CT59+CS60-DB59)))</f>
        <v>291.15999999999991</v>
      </c>
      <c r="CU60" s="18">
        <f>CT60*VLOOKUP('Données projet'!$B$13,Paramètres!$A$1:$I$89,3,0)*VLOOKUP('Données projet'!$B$13,Paramètres!$A$1:$I$89,5,0)</f>
        <v>231.64689599999994</v>
      </c>
      <c r="CV60" s="14">
        <f t="shared" si="41"/>
        <v>56.63863094599396</v>
      </c>
      <c r="CW60" s="22">
        <f t="shared" si="13"/>
        <v>502.09729276427265</v>
      </c>
      <c r="CX60" s="62">
        <f t="shared" si="14"/>
        <v>795.43062609760591</v>
      </c>
      <c r="CY60" s="62">
        <f ca="1">AVERAGE(OFFSET($CX$3,0,0,'Données projet'!$E$13+1,1))-AVERAGE(OFFSET($H$3,0,0,'Données projet'!$E$13+1,1))</f>
        <v>370.59298168107364</v>
      </c>
      <c r="CZ60" s="62">
        <f t="shared" si="42"/>
        <v>404.61777090709171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5.2</v>
      </c>
      <c r="DO60" s="13">
        <f>IF('Données projet'!$A$166&gt;35,DO59+DN60-DW59,IF(A60&lt;'Données projet'!$A$166,$DL$205^A60,IF(A60='Données projet'!$A$166,'Données projet'!$B$166,DO59+DN60-DW59)))</f>
        <v>211.39999999999998</v>
      </c>
      <c r="DP60" s="18">
        <f>DO60*VLOOKUP('Données projet'!$B$14,Paramètres!$A$1:$I$89,3,0)*VLOOKUP('Données projet'!$B$14,Paramètres!$A$1:$I$89,5,0)</f>
        <v>184.67904000000001</v>
      </c>
      <c r="DQ60" s="14">
        <f t="shared" si="43"/>
        <v>46.361626470742223</v>
      </c>
      <c r="DR60" s="22">
        <f t="shared" si="16"/>
        <v>402.39582743654267</v>
      </c>
      <c r="DS60" s="62">
        <f t="shared" si="17"/>
        <v>695.72916076987599</v>
      </c>
      <c r="DT60" s="62">
        <f ca="1">AVERAGE(OFFSET($DS$3,0,0,'Données projet'!$E$14+1,1))-AVERAGE(OFFSET($H$3,0,0,'Données projet'!$E$14+1,1))</f>
        <v>341.65872153228599</v>
      </c>
      <c r="DU60" s="62">
        <f t="shared" si="44"/>
        <v>339.49697153894937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5.3846153846153868</v>
      </c>
      <c r="EJ60" s="13">
        <f>IF('Données projet'!$A$192&gt;35,EJ59+EI60-ER59,IF(A60&lt;'Données projet'!$A$192,$EG$205^A60,IF(A60='Données projet'!$A$192,'Données projet'!$B$192,EJ59+EI60-ER59)))</f>
        <v>228.71794871794873</v>
      </c>
      <c r="EK60" s="18">
        <f>EJ60*VLOOKUP('Données projet'!$B$15,Paramètres!$A$1:$I$89,3,0)*VLOOKUP('Données projet'!$B$15,Paramètres!$A$1:$I$89,5,0)</f>
        <v>153.42400000000001</v>
      </c>
      <c r="EL60" s="14">
        <f t="shared" si="45"/>
        <v>39.355676847161391</v>
      </c>
      <c r="EM60" s="22">
        <f t="shared" si="19"/>
        <v>335.75793717547276</v>
      </c>
      <c r="EN60" s="62">
        <f t="shared" si="20"/>
        <v>629.09127050880602</v>
      </c>
      <c r="EO60" s="62">
        <f ca="1">AVERAGE(OFFSET($EN$3,0,0,'Données projet'!$E$15+1,1))-AVERAGE(OFFSET($H$3,0,0,'Données projet'!$E$15+1,1))</f>
        <v>312.06797204903796</v>
      </c>
      <c r="EP60" s="62">
        <f t="shared" si="46"/>
        <v>258.20189001775151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7.6</v>
      </c>
      <c r="FE60" s="13">
        <f>IF('Données projet'!$A$218&gt;35,FE59+FD60-FM59,IF(A60&lt;'Données projet'!$A$218,$FB$205^A60,IF(A60='Données projet'!$A$218,'Données projet'!$B$218,FE59+FD60-FM59)))</f>
        <v>212.2</v>
      </c>
      <c r="FF60" s="18">
        <f>FE60*VLOOKUP('Données projet'!$B$16,Paramètres!$A$1:$I$89,3,0)*VLOOKUP('Données projet'!$B$16,Paramètres!$A$1:$I$89,5,0)</f>
        <v>205.23983999999999</v>
      </c>
      <c r="FG60" s="14">
        <f t="shared" si="47"/>
        <v>50.893986960458122</v>
      </c>
      <c r="FH60" s="22">
        <f t="shared" si="22"/>
        <v>446.0997486227979</v>
      </c>
      <c r="FI60" s="62">
        <f t="shared" si="23"/>
        <v>739.43308195613122</v>
      </c>
      <c r="FJ60" s="62">
        <f ca="1">AVERAGE(OFFSET($FI$3,0,0,'Données projet'!$E$16+1,1))-AVERAGE(OFFSET($H$3,0,0,'Données projet'!$E$16+1,1))</f>
        <v>455.50822833641354</v>
      </c>
      <c r="FK60" s="62">
        <f t="shared" si="48"/>
        <v>261.14722581688039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14.839560439560435</v>
      </c>
      <c r="N61" s="14">
        <f>IF('Données projet'!$A$36&gt;35,N60+M61-V60,IF(A61&lt;'Données projet'!$A$36,$K$205^A61,IF(A61='Données projet'!$A$36,'Données projet'!$B$36,N60+M61-V60)))</f>
        <v>381.51758241758245</v>
      </c>
      <c r="O61" s="14">
        <f>N61*VLOOKUP('Données projet'!$B$9,Paramètres!$A$1:$I$89,3,0)*VLOOKUP('Données projet'!$B$9,Paramètres!$A$1:$I$89,5,0)</f>
        <v>213.26832857142858</v>
      </c>
      <c r="P61" s="14">
        <f t="shared" si="33"/>
        <v>52.649154508451623</v>
      </c>
      <c r="Q61" s="22">
        <f t="shared" si="53"/>
        <v>463.13961636412461</v>
      </c>
      <c r="R61" s="62">
        <f t="shared" si="0"/>
        <v>756.47294969745792</v>
      </c>
      <c r="S61" s="62">
        <f ca="1">AVERAGE(OFFSET($R$3,0,0,'Données projet'!$E$9+1,1))-AVERAGE(OFFSET($H$3,0,0,'Données projet'!$E$9+1,1))</f>
        <v>323.98185264074681</v>
      </c>
      <c r="T61" s="62">
        <f t="shared" si="34"/>
        <v>301.22207291854005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2.5629304086446516</v>
      </c>
      <c r="AA61" s="23">
        <f>EXP(-LN(2)/25)*AA60+(1-EXP(-LN(2)/25))/(LN(2)/25)*Calculateur!V61*Calculateur!X61*VLOOKUP('Données projet'!$B$9,Paramètres!$A$1:$I$89,3,0)*0.475*44/12</f>
        <v>3.7945316403631919</v>
      </c>
      <c r="AB61" s="23">
        <f>EXP(-LN(2)/2)*AB60+(1-EXP(-LN(2)/2))/(LN(2)/2)*V61*Y61*VLOOKUP('Données projet'!$B$9,Paramètres!$A$1:$I$89,3,0)*0.475*44/12</f>
        <v>3.7157026242785771E-4</v>
      </c>
      <c r="AC61" s="24">
        <f t="shared" si="3"/>
        <v>6.3578336192702709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363.32307692307688</v>
      </c>
      <c r="AG61" s="13">
        <f>VLOOKUP(A61,'Données projet'!$A$61:$I$81,9,0)</f>
        <v>14.576923076923066</v>
      </c>
      <c r="AH61" s="13">
        <f t="array" ref="AH61">INDEX(AG:AG,MIN(IF(ISNUMBER(AG61:AG257),ROW(AG61:AG257),"")))</f>
        <v>14.576923076923066</v>
      </c>
      <c r="AI61" s="14">
        <f>IF('Données projet'!$A$62&gt;35,AI60+AH61-AQ60,IF(A61&lt;'Données projet'!$A$62,$AF$205^A61,IF(A61='Données projet'!$A$62,'Données projet'!$B$62,AI60+AH61-AQ60)))</f>
        <v>363.32307692307688</v>
      </c>
      <c r="AJ61" s="14">
        <f>AI61*VLOOKUP('Données projet'!$B$10,Paramètres!$A$1:$I$89,3,0)*VLOOKUP('Données projet'!$B$10,Paramètres!$A$1:$I$89,5,0)</f>
        <v>170.03519999999997</v>
      </c>
      <c r="AK61" s="14">
        <f t="shared" si="35"/>
        <v>43.097907119364415</v>
      </c>
      <c r="AL61" s="22">
        <f t="shared" si="4"/>
        <v>371.20682823289297</v>
      </c>
      <c r="AM61" s="62">
        <f t="shared" si="5"/>
        <v>664.54016156622629</v>
      </c>
      <c r="AN61" s="62">
        <f ca="1">AVERAGE(OFFSET($AM$3,0,0,'Données projet'!$E$10+1,1))-AVERAGE(OFFSET($H$3,0,0,'Données projet'!$E$10+1,1))</f>
        <v>276.78862011733338</v>
      </c>
      <c r="AO61" s="62">
        <f t="shared" si="36"/>
        <v>202.1678469635836</v>
      </c>
      <c r="AP61" s="16">
        <f>IF(ISNA(VLOOKUP(A61,'Données projet'!$A$61:$I$81,3,0)),0,VLOOKUP(A61,'Données projet'!$A$61:$I$81,3,0))</f>
        <v>3</v>
      </c>
      <c r="AQ61" s="16">
        <f>IF(ISNA(VLOOKUP(A61,'Données projet'!$A$61:$I$81,4,0)),0,VLOOKUP(A61,'Données projet'!$A$61:$I$81,4,0))</f>
        <v>80.315384615384616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198.87503999999998</v>
      </c>
      <c r="BF61" s="14">
        <f t="shared" si="37"/>
        <v>49.496854461868558</v>
      </c>
      <c r="BG61" s="22">
        <f t="shared" si="7"/>
        <v>432.58104952108766</v>
      </c>
      <c r="BH61" s="62">
        <f t="shared" si="8"/>
        <v>725.91438285442098</v>
      </c>
      <c r="BI61" s="62">
        <f ca="1">AVERAGE(OFFSET($BH$3,0,0,'Données projet'!$E$11+1,1))-AVERAGE(OFFSET($H$3,0,0,'Données projet'!$E$11+1,1))</f>
        <v>428.8489304403459</v>
      </c>
      <c r="BJ61" s="62">
        <f t="shared" si="38"/>
        <v>247.01165577562966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10.66307692307692</v>
      </c>
      <c r="BY61" s="13">
        <f>IF('Données projet'!$A$114&gt;35,BY60+BX61-CG60,IF(A61&lt;'Données projet'!$A$114,$BV$205^A61,IF(A61='Données projet'!$A$114,'Données projet'!$B$114,BY60+BX61-CG60)))</f>
        <v>321.09692307692302</v>
      </c>
      <c r="BZ61" s="14">
        <f>BY61*VLOOKUP('Données projet'!$B$12,Paramètres!$A$1:$I$89,3,0)*VLOOKUP('Données projet'!$B$12,Paramètres!$A$1:$I$89,5,0)</f>
        <v>192.01595999999998</v>
      </c>
      <c r="CA61" s="14">
        <f t="shared" si="39"/>
        <v>47.985378835949042</v>
      </c>
      <c r="CB61" s="22">
        <f t="shared" si="10"/>
        <v>418.00233180594455</v>
      </c>
      <c r="CC61" s="62">
        <f t="shared" si="11"/>
        <v>711.33566513927781</v>
      </c>
      <c r="CD61" s="62">
        <f ca="1">AVERAGE(OFFSET($CC$3,0,0,'Données projet'!$E$12+1,1))-AVERAGE(OFFSET($H$3,0,0,'Données projet'!$E$12+1,1))</f>
        <v>289.12367833861299</v>
      </c>
      <c r="CE61" s="62">
        <f t="shared" si="40"/>
        <v>229.06617320689003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2.5310272693026425E-4</v>
      </c>
      <c r="CN61" s="24">
        <f t="shared" si="12"/>
        <v>2.5310272693026425E-4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6.2799999999999958</v>
      </c>
      <c r="CT61" s="13">
        <f>IF('Données projet'!$A$140&gt;35,CT60+CS61-DB60,IF(A61&lt;'Données projet'!$A$140,$CQ$205^A61,IF(A61='Données projet'!$A$140,'Données projet'!$B$140,CT60+CS61-DB60)))</f>
        <v>297.43999999999988</v>
      </c>
      <c r="CU61" s="18">
        <f>CT61*VLOOKUP('Données projet'!$B$13,Paramètres!$A$1:$I$89,3,0)*VLOOKUP('Données projet'!$B$13,Paramètres!$A$1:$I$89,5,0)</f>
        <v>236.64326399999993</v>
      </c>
      <c r="CV61" s="14">
        <f t="shared" si="41"/>
        <v>57.716721405473052</v>
      </c>
      <c r="CW61" s="22">
        <f t="shared" si="13"/>
        <v>512.67697458119881</v>
      </c>
      <c r="CX61" s="62">
        <f t="shared" si="14"/>
        <v>806.01030791453218</v>
      </c>
      <c r="CY61" s="62">
        <f ca="1">AVERAGE(OFFSET($CX$3,0,0,'Données projet'!$E$13+1,1))-AVERAGE(OFFSET($H$3,0,0,'Données projet'!$E$13+1,1))</f>
        <v>370.59298168107364</v>
      </c>
      <c r="CZ61" s="62">
        <f t="shared" si="42"/>
        <v>404.61777090709171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5.2</v>
      </c>
      <c r="DO61" s="13">
        <f>IF('Données projet'!$A$166&gt;35,DO60+DN61-DW60,IF(A61&lt;'Données projet'!$A$166,$DL$205^A61,IF(A61='Données projet'!$A$166,'Données projet'!$B$166,DO60+DN61-DW60)))</f>
        <v>216.59999999999997</v>
      </c>
      <c r="DP61" s="18">
        <f>DO61*VLOOKUP('Données projet'!$B$14,Paramètres!$A$1:$I$89,3,0)*VLOOKUP('Données projet'!$B$14,Paramètres!$A$1:$I$89,5,0)</f>
        <v>189.22175999999999</v>
      </c>
      <c r="DQ61" s="14">
        <f t="shared" si="43"/>
        <v>47.367853957810077</v>
      </c>
      <c r="DR61" s="22">
        <f t="shared" si="16"/>
        <v>412.06024430985252</v>
      </c>
      <c r="DS61" s="62">
        <f t="shared" si="17"/>
        <v>705.39357764318584</v>
      </c>
      <c r="DT61" s="62">
        <f ca="1">AVERAGE(OFFSET($DS$3,0,0,'Données projet'!$E$14+1,1))-AVERAGE(OFFSET($H$3,0,0,'Données projet'!$E$14+1,1))</f>
        <v>341.65872153228599</v>
      </c>
      <c r="DU61" s="62">
        <f t="shared" si="44"/>
        <v>339.49697153894937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5.3846153846153868</v>
      </c>
      <c r="EJ61" s="13">
        <f>IF('Données projet'!$A$192&gt;35,EJ60+EI61-ER60,IF(A61&lt;'Données projet'!$A$192,$EG$205^A61,IF(A61='Données projet'!$A$192,'Données projet'!$B$192,EJ60+EI61-ER60)))</f>
        <v>234.10256410256412</v>
      </c>
      <c r="EK61" s="18">
        <f>EJ61*VLOOKUP('Données projet'!$B$15,Paramètres!$A$1:$I$89,3,0)*VLOOKUP('Données projet'!$B$15,Paramètres!$A$1:$I$89,5,0)</f>
        <v>157.036</v>
      </c>
      <c r="EL61" s="14">
        <f t="shared" si="45"/>
        <v>40.17325112686504</v>
      </c>
      <c r="EM61" s="22">
        <f t="shared" si="19"/>
        <v>343.47277904595654</v>
      </c>
      <c r="EN61" s="62">
        <f t="shared" si="20"/>
        <v>636.80611237928986</v>
      </c>
      <c r="EO61" s="62">
        <f ca="1">AVERAGE(OFFSET($EN$3,0,0,'Données projet'!$E$15+1,1))-AVERAGE(OFFSET($H$3,0,0,'Données projet'!$E$15+1,1))</f>
        <v>312.06797204903796</v>
      </c>
      <c r="EP61" s="62">
        <f t="shared" si="46"/>
        <v>258.20189001775151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7.6</v>
      </c>
      <c r="FE61" s="13">
        <f>IF('Données projet'!$A$218&gt;35,FE60+FD61-FM60,IF(A61&lt;'Données projet'!$A$218,$FB$205^A61,IF(A61='Données projet'!$A$218,'Données projet'!$B$218,FE60+FD61-FM60)))</f>
        <v>219.79999999999998</v>
      </c>
      <c r="FF61" s="18">
        <f>FE61*VLOOKUP('Données projet'!$B$16,Paramètres!$A$1:$I$89,3,0)*VLOOKUP('Données projet'!$B$16,Paramètres!$A$1:$I$89,5,0)</f>
        <v>212.59055999999998</v>
      </c>
      <c r="FG61" s="14">
        <f t="shared" si="47"/>
        <v>52.501283653296404</v>
      </c>
      <c r="FH61" s="22">
        <f t="shared" si="22"/>
        <v>461.70162769615786</v>
      </c>
      <c r="FI61" s="62">
        <f t="shared" si="23"/>
        <v>755.03496102949111</v>
      </c>
      <c r="FJ61" s="62">
        <f ca="1">AVERAGE(OFFSET($FI$3,0,0,'Données projet'!$E$16+1,1))-AVERAGE(OFFSET($H$3,0,0,'Données projet'!$E$16+1,1))</f>
        <v>455.50822833641354</v>
      </c>
      <c r="FK61" s="62">
        <f t="shared" si="48"/>
        <v>261.14722581688039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14.839560439560435</v>
      </c>
      <c r="N62" s="14">
        <f>IF('Données projet'!$A$36&gt;35,N61+M62-V61,IF(A62&lt;'Données projet'!$A$36,$K$205^A62,IF(A62='Données projet'!$A$36,'Données projet'!$B$36,N61+M62-V61)))</f>
        <v>396.35714285714289</v>
      </c>
      <c r="O62" s="14">
        <f>N62*VLOOKUP('Données projet'!$B$9,Paramètres!$A$1:$I$89,3,0)*VLOOKUP('Données projet'!$B$9,Paramètres!$A$1:$I$89,5,0)</f>
        <v>221.56364285714287</v>
      </c>
      <c r="P62" s="14">
        <f t="shared" si="33"/>
        <v>54.45459555983345</v>
      </c>
      <c r="Q62" s="22">
        <f t="shared" si="53"/>
        <v>480.73176524290039</v>
      </c>
      <c r="R62" s="62">
        <f t="shared" si="0"/>
        <v>774.06509857623371</v>
      </c>
      <c r="S62" s="62">
        <f ca="1">AVERAGE(OFFSET($R$3,0,0,'Données projet'!$E$9+1,1))-AVERAGE(OFFSET($H$3,0,0,'Données projet'!$E$9+1,1))</f>
        <v>323.98185264074681</v>
      </c>
      <c r="T62" s="62">
        <f t="shared" si="34"/>
        <v>301.22207291854005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2.512672906564323</v>
      </c>
      <c r="AA62" s="23">
        <f>EXP(-LN(2)/25)*AA61+(1-EXP(-LN(2)/25))/(LN(2)/25)*Calculateur!V62*Calculateur!X62*VLOOKUP('Données projet'!$B$9,Paramètres!$A$1:$I$89,3,0)*0.475*44/12</f>
        <v>3.6907699731117138</v>
      </c>
      <c r="AB62" s="23">
        <f>EXP(-LN(2)/2)*AB61+(1-EXP(-LN(2)/2))/(LN(2)/2)*V62*Y62*VLOOKUP('Données projet'!$B$9,Paramètres!$A$1:$I$89,3,0)*0.475*44/12</f>
        <v>2.6273985225000321E-4</v>
      </c>
      <c r="AC62" s="24">
        <f t="shared" si="3"/>
        <v>6.2037056195282867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13.494230769230782</v>
      </c>
      <c r="AI62" s="14">
        <f>IF('Données projet'!$A$62&gt;35,AI61+AH62-AQ61,IF(A62&lt;'Données projet'!$A$62,$AF$205^A62,IF(A62='Données projet'!$A$62,'Données projet'!$B$62,AI61+AH62-AQ61)))</f>
        <v>296.50192307692305</v>
      </c>
      <c r="AJ62" s="14">
        <f>AI62*VLOOKUP('Données projet'!$B$10,Paramètres!$A$1:$I$89,3,0)*VLOOKUP('Données projet'!$B$10,Paramètres!$A$1:$I$89,5,0)</f>
        <v>138.7629</v>
      </c>
      <c r="AK62" s="14">
        <f t="shared" si="35"/>
        <v>36.01345702727253</v>
      </c>
      <c r="AL62" s="22">
        <f t="shared" si="4"/>
        <v>304.40215515583299</v>
      </c>
      <c r="AM62" s="62">
        <f t="shared" si="5"/>
        <v>597.7354884891663</v>
      </c>
      <c r="AN62" s="62">
        <f ca="1">AVERAGE(OFFSET($AM$3,0,0,'Données projet'!$E$10+1,1))-AVERAGE(OFFSET($H$3,0,0,'Données projet'!$E$10+1,1))</f>
        <v>276.78862011733338</v>
      </c>
      <c r="AO62" s="62">
        <f t="shared" si="36"/>
        <v>202.1678469635836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205.75151999999994</v>
      </c>
      <c r="BF62" s="14">
        <f t="shared" si="37"/>
        <v>51.006084477955554</v>
      </c>
      <c r="BG62" s="22">
        <f t="shared" si="7"/>
        <v>447.18616113243911</v>
      </c>
      <c r="BH62" s="62">
        <f t="shared" si="8"/>
        <v>740.51949446577237</v>
      </c>
      <c r="BI62" s="62">
        <f ca="1">AVERAGE(OFFSET($BH$3,0,0,'Données projet'!$E$11+1,1))-AVERAGE(OFFSET($H$3,0,0,'Données projet'!$E$11+1,1))</f>
        <v>428.8489304403459</v>
      </c>
      <c r="BJ62" s="62">
        <f t="shared" si="38"/>
        <v>247.01165577562966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10.66307692307692</v>
      </c>
      <c r="BY62" s="13">
        <f>IF('Données projet'!$A$114&gt;35,BY61+BX62-CG61,IF(A62&lt;'Données projet'!$A$114,$BV$205^A62,IF(A62='Données projet'!$A$114,'Données projet'!$B$114,BY61+BX62-CG61)))</f>
        <v>331.75999999999993</v>
      </c>
      <c r="BZ62" s="14">
        <f>BY62*VLOOKUP('Données projet'!$B$12,Paramètres!$A$1:$I$89,3,0)*VLOOKUP('Données projet'!$B$12,Paramètres!$A$1:$I$89,5,0)</f>
        <v>198.39247999999998</v>
      </c>
      <c r="CA62" s="14">
        <f t="shared" si="39"/>
        <v>49.39071772551025</v>
      </c>
      <c r="CB62" s="22">
        <f t="shared" si="10"/>
        <v>431.55573603859693</v>
      </c>
      <c r="CC62" s="62">
        <f t="shared" si="11"/>
        <v>724.88906937193019</v>
      </c>
      <c r="CD62" s="62">
        <f ca="1">AVERAGE(OFFSET($CC$3,0,0,'Données projet'!$E$12+1,1))-AVERAGE(OFFSET($H$3,0,0,'Données projet'!$E$12+1,1))</f>
        <v>289.12367833861299</v>
      </c>
      <c r="CE62" s="62">
        <f t="shared" si="40"/>
        <v>229.06617320689003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1.7897065454919686E-4</v>
      </c>
      <c r="CN62" s="24">
        <f t="shared" si="12"/>
        <v>1.7897065454919686E-4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6.2799999999999958</v>
      </c>
      <c r="CT62" s="13">
        <f>IF('Données projet'!$A$140&gt;35,CT61+CS62-DB61,IF(A62&lt;'Données projet'!$A$140,$CQ$205^A62,IF(A62='Données projet'!$A$140,'Données projet'!$B$140,CT61+CS62-DB61)))</f>
        <v>303.71999999999986</v>
      </c>
      <c r="CU62" s="18">
        <f>CT62*VLOOKUP('Données projet'!$B$13,Paramètres!$A$1:$I$89,3,0)*VLOOKUP('Données projet'!$B$13,Paramètres!$A$1:$I$89,5,0)</f>
        <v>241.63963199999992</v>
      </c>
      <c r="CV62" s="14">
        <f t="shared" si="41"/>
        <v>58.792165382566672</v>
      </c>
      <c r="CW62" s="22">
        <f t="shared" si="13"/>
        <v>523.25204710797016</v>
      </c>
      <c r="CX62" s="62">
        <f t="shared" si="14"/>
        <v>816.58538044130341</v>
      </c>
      <c r="CY62" s="62">
        <f ca="1">AVERAGE(OFFSET($CX$3,0,0,'Données projet'!$E$13+1,1))-AVERAGE(OFFSET($H$3,0,0,'Données projet'!$E$13+1,1))</f>
        <v>370.59298168107364</v>
      </c>
      <c r="CZ62" s="62">
        <f t="shared" si="42"/>
        <v>404.61777090709171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5.2</v>
      </c>
      <c r="DO62" s="13">
        <f>IF('Données projet'!$A$166&gt;35,DO61+DN62-DW61,IF(A62&lt;'Données projet'!$A$166,$DL$205^A62,IF(A62='Données projet'!$A$166,'Données projet'!$B$166,DO61+DN62-DW61)))</f>
        <v>221.79999999999995</v>
      </c>
      <c r="DP62" s="18">
        <f>DO62*VLOOKUP('Données projet'!$B$14,Paramètres!$A$1:$I$89,3,0)*VLOOKUP('Données projet'!$B$14,Paramètres!$A$1:$I$89,5,0)</f>
        <v>193.76447999999999</v>
      </c>
      <c r="DQ62" s="14">
        <f t="shared" si="43"/>
        <v>48.371273222646451</v>
      </c>
      <c r="DR62" s="22">
        <f t="shared" si="16"/>
        <v>421.71977019610921</v>
      </c>
      <c r="DS62" s="62">
        <f t="shared" si="17"/>
        <v>715.05310352944252</v>
      </c>
      <c r="DT62" s="62">
        <f ca="1">AVERAGE(OFFSET($DS$3,0,0,'Données projet'!$E$14+1,1))-AVERAGE(OFFSET($H$3,0,0,'Données projet'!$E$14+1,1))</f>
        <v>341.65872153228599</v>
      </c>
      <c r="DU62" s="62">
        <f t="shared" si="44"/>
        <v>339.49697153894937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5.3846153846153868</v>
      </c>
      <c r="EJ62" s="13">
        <f>IF('Données projet'!$A$192&gt;35,EJ61+EI62-ER61,IF(A62&lt;'Données projet'!$A$192,$EG$205^A62,IF(A62='Données projet'!$A$192,'Données projet'!$B$192,EJ61+EI62-ER61)))</f>
        <v>239.4871794871795</v>
      </c>
      <c r="EK62" s="18">
        <f>EJ62*VLOOKUP('Données projet'!$B$15,Paramètres!$A$1:$I$89,3,0)*VLOOKUP('Données projet'!$B$15,Paramètres!$A$1:$I$89,5,0)</f>
        <v>160.648</v>
      </c>
      <c r="EL62" s="14">
        <f t="shared" si="45"/>
        <v>40.988639216339969</v>
      </c>
      <c r="EM62" s="22">
        <f t="shared" si="19"/>
        <v>351.1838133017921</v>
      </c>
      <c r="EN62" s="62">
        <f t="shared" si="20"/>
        <v>644.51714663512541</v>
      </c>
      <c r="EO62" s="62">
        <f ca="1">AVERAGE(OFFSET($EN$3,0,0,'Données projet'!$E$15+1,1))-AVERAGE(OFFSET($H$3,0,0,'Données projet'!$E$15+1,1))</f>
        <v>312.06797204903796</v>
      </c>
      <c r="EP62" s="62">
        <f t="shared" si="46"/>
        <v>258.20189001775151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7.6</v>
      </c>
      <c r="FE62" s="13">
        <f>IF('Données projet'!$A$218&gt;35,FE61+FD62-FM61,IF(A62&lt;'Données projet'!$A$218,$FB$205^A62,IF(A62='Données projet'!$A$218,'Données projet'!$B$218,FE61+FD62-FM61)))</f>
        <v>227.39999999999998</v>
      </c>
      <c r="FF62" s="18">
        <f>FE62*VLOOKUP('Données projet'!$B$16,Paramètres!$A$1:$I$89,3,0)*VLOOKUP('Données projet'!$B$16,Paramètres!$A$1:$I$89,5,0)</f>
        <v>219.94127999999995</v>
      </c>
      <c r="FG62" s="14">
        <f t="shared" si="47"/>
        <v>54.102123020446285</v>
      </c>
      <c r="FH62" s="22">
        <f t="shared" si="22"/>
        <v>477.29226026061059</v>
      </c>
      <c r="FI62" s="62">
        <f t="shared" si="23"/>
        <v>770.6255935939439</v>
      </c>
      <c r="FJ62" s="62">
        <f ca="1">AVERAGE(OFFSET($FI$3,0,0,'Données projet'!$E$16+1,1))-AVERAGE(OFFSET($H$3,0,0,'Données projet'!$E$16+1,1))</f>
        <v>455.50822833641354</v>
      </c>
      <c r="FK62" s="62">
        <f t="shared" si="48"/>
        <v>261.14722581688039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14.839560439560435</v>
      </c>
      <c r="N63" s="14">
        <f>IF('Données projet'!$A$36&gt;35,N62+M63-V62,IF(A63&lt;'Données projet'!$A$36,$K$205^A63,IF(A63='Données projet'!$A$36,'Données projet'!$B$36,N62+M63-V62)))</f>
        <v>411.19670329670333</v>
      </c>
      <c r="O63" s="14">
        <f>N63*VLOOKUP('Données projet'!$B$9,Paramètres!$A$1:$I$89,3,0)*VLOOKUP('Données projet'!$B$9,Paramètres!$A$1:$I$89,5,0)</f>
        <v>229.85895714285718</v>
      </c>
      <c r="P63" s="14">
        <f t="shared" si="33"/>
        <v>56.252183679167004</v>
      </c>
      <c r="Q63" s="22">
        <f t="shared" si="53"/>
        <v>498.31023693169209</v>
      </c>
      <c r="R63" s="62">
        <f t="shared" si="0"/>
        <v>791.64357026502535</v>
      </c>
      <c r="S63" s="62">
        <f ca="1">AVERAGE(OFFSET($R$3,0,0,'Données projet'!$E$9+1,1))-AVERAGE(OFFSET($H$3,0,0,'Données projet'!$E$9+1,1))</f>
        <v>323.98185264074681</v>
      </c>
      <c r="T63" s="62">
        <f t="shared" si="34"/>
        <v>301.22207291854005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2.4634009234457399</v>
      </c>
      <c r="AA63" s="23">
        <f>EXP(-LN(2)/25)*AA62+(1-EXP(-LN(2)/25))/(LN(2)/25)*Calculateur!V63*Calculateur!X63*VLOOKUP('Données projet'!$B$9,Paramètres!$A$1:$I$89,3,0)*0.475*44/12</f>
        <v>3.5898456741078166</v>
      </c>
      <c r="AB63" s="23">
        <f>EXP(-LN(2)/2)*AB62+(1-EXP(-LN(2)/2))/(LN(2)/2)*V63*Y63*VLOOKUP('Données projet'!$B$9,Paramètres!$A$1:$I$89,3,0)*0.475*44/12</f>
        <v>1.8578513121392885E-4</v>
      </c>
      <c r="AC63" s="24">
        <f t="shared" si="3"/>
        <v>6.0534323826847709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13.494230769230782</v>
      </c>
      <c r="AI63" s="14">
        <f>IF('Données projet'!$A$62&gt;35,AI62+AH63-AQ62,IF(A63&lt;'Données projet'!$A$62,$AF$205^A63,IF(A63='Données projet'!$A$62,'Données projet'!$B$62,AI62+AH63-AQ62)))</f>
        <v>309.99615384615385</v>
      </c>
      <c r="AJ63" s="14">
        <f>AI63*VLOOKUP('Données projet'!$B$10,Paramètres!$A$1:$I$89,3,0)*VLOOKUP('Données projet'!$B$10,Paramètres!$A$1:$I$89,5,0)</f>
        <v>145.07820000000001</v>
      </c>
      <c r="AK63" s="14">
        <f t="shared" si="35"/>
        <v>37.457926419899621</v>
      </c>
      <c r="AL63" s="22">
        <f t="shared" si="4"/>
        <v>317.91708684799181</v>
      </c>
      <c r="AM63" s="62">
        <f t="shared" si="5"/>
        <v>611.25042018132513</v>
      </c>
      <c r="AN63" s="62">
        <f ca="1">AVERAGE(OFFSET($AM$3,0,0,'Données projet'!$E$10+1,1))-AVERAGE(OFFSET($H$3,0,0,'Données projet'!$E$10+1,1))</f>
        <v>276.78862011733338</v>
      </c>
      <c r="AO63" s="62">
        <f t="shared" si="36"/>
        <v>202.1678469635836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212.62799999999999</v>
      </c>
      <c r="BF63" s="14">
        <f t="shared" si="37"/>
        <v>52.509453483719035</v>
      </c>
      <c r="BG63" s="22">
        <f t="shared" si="7"/>
        <v>461.78106481747727</v>
      </c>
      <c r="BH63" s="62">
        <f t="shared" si="8"/>
        <v>755.11439815081053</v>
      </c>
      <c r="BI63" s="62">
        <f ca="1">AVERAGE(OFFSET($BH$3,0,0,'Données projet'!$E$11+1,1))-AVERAGE(OFFSET($H$3,0,0,'Données projet'!$E$11+1,1))</f>
        <v>428.8489304403459</v>
      </c>
      <c r="BJ63" s="62">
        <f t="shared" si="38"/>
        <v>247.01165577562966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342.42307692307691</v>
      </c>
      <c r="BW63" s="13">
        <f>VLOOKUP(A63,'Données projet'!$A$113:$I$133,9,0)</f>
        <v>10.66307692307692</v>
      </c>
      <c r="BX63" s="13">
        <f t="array" ref="BX63">INDEX(BW:BW,MIN(IF(ISNUMBER(BW63:BW259),ROW(BW63:BW259),"")))</f>
        <v>10.66307692307692</v>
      </c>
      <c r="BY63" s="13">
        <f>IF('Données projet'!$A$114&gt;35,BY62+BX63-CG62,IF(A63&lt;'Données projet'!$A$114,$BV$205^A63,IF(A63='Données projet'!$A$114,'Données projet'!$B$114,BY62+BX63-CG62)))</f>
        <v>342.42307692307685</v>
      </c>
      <c r="BZ63" s="14">
        <f>BY63*VLOOKUP('Données projet'!$B$12,Paramètres!$A$1:$I$89,3,0)*VLOOKUP('Données projet'!$B$12,Paramètres!$A$1:$I$89,5,0)</f>
        <v>204.76899999999998</v>
      </c>
      <c r="CA63" s="14">
        <f t="shared" si="39"/>
        <v>50.790807822253974</v>
      </c>
      <c r="CB63" s="22">
        <f t="shared" si="10"/>
        <v>445.09999862375895</v>
      </c>
      <c r="CC63" s="62">
        <f t="shared" si="11"/>
        <v>738.43333195709226</v>
      </c>
      <c r="CD63" s="62">
        <f ca="1">AVERAGE(OFFSET($CC$3,0,0,'Données projet'!$E$12+1,1))-AVERAGE(OFFSET($H$3,0,0,'Données projet'!$E$12+1,1))</f>
        <v>289.12367833861299</v>
      </c>
      <c r="CE63" s="62">
        <f t="shared" si="40"/>
        <v>229.06617320689003</v>
      </c>
      <c r="CF63" s="16">
        <f>IF(ISNA(VLOOKUP(A63,'Données projet'!$A$113:$I$133,3,0)),0,VLOOKUP(A63,'Données projet'!$A$113:$I$133,3,0))</f>
        <v>6</v>
      </c>
      <c r="CG63" s="16">
        <f>IF(ISNA(VLOOKUP(A63,'Données projet'!$A$113:$I$133,4,0)),0,VLOOKUP(A63,'Données projet'!$A$113:$I$133,4,0))</f>
        <v>54.261538461538464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1.2655136346513213E-4</v>
      </c>
      <c r="CN63" s="24">
        <f t="shared" si="12"/>
        <v>1.2655136346513213E-4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310</v>
      </c>
      <c r="CR63" s="13">
        <f>VLOOKUP(A63,'Données projet'!$A$139:$I$159,9,0)</f>
        <v>6.2799999999999958</v>
      </c>
      <c r="CS63" s="13">
        <f t="array" ref="CS63">INDEX(CR:CR,MIN(IF(ISNUMBER(CR63:CR259),ROW(CR63:CR259),"")))</f>
        <v>6.2799999999999958</v>
      </c>
      <c r="CT63" s="13">
        <f>IF('Données projet'!$A$140&gt;35,CT62+CS63-DB62,IF(A63&lt;'Données projet'!$A$140,$CQ$205^A63,IF(A63='Données projet'!$A$140,'Données projet'!$B$140,CT62+CS63-DB62)))</f>
        <v>309.99999999999983</v>
      </c>
      <c r="CU63" s="18">
        <f>CT63*VLOOKUP('Données projet'!$B$13,Paramètres!$A$1:$I$89,3,0)*VLOOKUP('Données projet'!$B$13,Paramètres!$A$1:$I$89,5,0)</f>
        <v>246.63599999999985</v>
      </c>
      <c r="CV63" s="14">
        <f t="shared" si="41"/>
        <v>59.865023903294535</v>
      </c>
      <c r="CW63" s="22">
        <f t="shared" si="13"/>
        <v>533.8226166315709</v>
      </c>
      <c r="CX63" s="62">
        <f t="shared" si="14"/>
        <v>827.15594996490427</v>
      </c>
      <c r="CY63" s="62">
        <f ca="1">AVERAGE(OFFSET($CX$3,0,0,'Données projet'!$E$13+1,1))-AVERAGE(OFFSET($H$3,0,0,'Données projet'!$E$13+1,1))</f>
        <v>370.59298168107364</v>
      </c>
      <c r="CZ63" s="62">
        <f t="shared" si="42"/>
        <v>404.61777090709171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30.2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227</v>
      </c>
      <c r="DM63" s="13">
        <f>VLOOKUP(A63,'Données projet'!$A$165:$I$185,9,0)</f>
        <v>5.2</v>
      </c>
      <c r="DN63" s="13">
        <f t="array" ref="DN63">INDEX(DM:DM,MIN(IF(ISNUMBER(DM63:DM259),ROW(DM63:DM259),"")))</f>
        <v>5.2</v>
      </c>
      <c r="DO63" s="13">
        <f>IF('Données projet'!$A$166&gt;35,DO62+DN63-DW62,IF(A63&lt;'Données projet'!$A$166,$DL$205^A63,IF(A63='Données projet'!$A$166,'Données projet'!$B$166,DO62+DN63-DW62)))</f>
        <v>226.99999999999994</v>
      </c>
      <c r="DP63" s="18">
        <f>DO63*VLOOKUP('Données projet'!$B$14,Paramètres!$A$1:$I$89,3,0)*VLOOKUP('Données projet'!$B$14,Paramètres!$A$1:$I$89,5,0)</f>
        <v>198.30719999999997</v>
      </c>
      <c r="DQ63" s="14">
        <f t="shared" si="43"/>
        <v>49.371957679623371</v>
      </c>
      <c r="DR63" s="22">
        <f t="shared" si="16"/>
        <v>431.37453295867726</v>
      </c>
      <c r="DS63" s="62">
        <f t="shared" si="17"/>
        <v>724.70786629201052</v>
      </c>
      <c r="DT63" s="62">
        <f ca="1">AVERAGE(OFFSET($DS$3,0,0,'Données projet'!$E$14+1,1))-AVERAGE(OFFSET($H$3,0,0,'Données projet'!$E$14+1,1))</f>
        <v>341.65872153228599</v>
      </c>
      <c r="DU63" s="62">
        <f t="shared" si="44"/>
        <v>339.49697153894937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244.87179487179486</v>
      </c>
      <c r="EH63" s="13">
        <f>VLOOKUP(A63,'Données projet'!$A$191:$I$211,9,0)</f>
        <v>5.3846153846153868</v>
      </c>
      <c r="EI63" s="13">
        <f t="array" ref="EI63">INDEX(EH:EH,MIN(IF(ISNUMBER(EH63:EH259),ROW(EH63:EH259),"")))</f>
        <v>5.3846153846153868</v>
      </c>
      <c r="EJ63" s="13">
        <f>IF('Données projet'!$A$192&gt;35,EJ62+EI63-ER62,IF(A63&lt;'Données projet'!$A$192,$EG$205^A63,IF(A63='Données projet'!$A$192,'Données projet'!$B$192,EJ62+EI63-ER62)))</f>
        <v>244.87179487179489</v>
      </c>
      <c r="EK63" s="18">
        <f>EJ63*VLOOKUP('Données projet'!$B$15,Paramètres!$A$1:$I$89,3,0)*VLOOKUP('Données projet'!$B$15,Paramètres!$A$1:$I$89,5,0)</f>
        <v>164.26000000000002</v>
      </c>
      <c r="EL63" s="14">
        <f t="shared" si="45"/>
        <v>41.801895928887475</v>
      </c>
      <c r="EM63" s="22">
        <f t="shared" si="19"/>
        <v>358.89113540947909</v>
      </c>
      <c r="EN63" s="62">
        <f t="shared" si="20"/>
        <v>652.22446874281241</v>
      </c>
      <c r="EO63" s="62">
        <f ca="1">AVERAGE(OFFSET($EN$3,0,0,'Données projet'!$E$15+1,1))-AVERAGE(OFFSET($H$3,0,0,'Données projet'!$E$15+1,1))</f>
        <v>312.06797204903796</v>
      </c>
      <c r="EP63" s="62">
        <f t="shared" si="46"/>
        <v>258.20189001775151</v>
      </c>
      <c r="EQ63" s="16">
        <f>IF(ISNA(VLOOKUP(A63,'Données projet'!$A$191:$I$211,3,0)),0,VLOOKUP(A63,'Données projet'!$A$191:$I$211,3,0))</f>
        <v>5</v>
      </c>
      <c r="ER63" s="16">
        <f>IF(ISNA(VLOOKUP(A63,'Données projet'!$A$191:$I$211,4,0)),0,VLOOKUP(A63,'Données projet'!$A$191:$I$211,4,0))</f>
        <v>30.128205128205128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235</v>
      </c>
      <c r="FC63" s="13">
        <f>VLOOKUP(A63,'Données projet'!$A$217:$I$237,9,0)</f>
        <v>7.6</v>
      </c>
      <c r="FD63" s="13">
        <f t="array" ref="FD63">INDEX(FC:FC,MIN(IF(ISNUMBER(FC63:FC259),ROW(FC63:FC259),"")))</f>
        <v>7.6</v>
      </c>
      <c r="FE63" s="13">
        <f>IF('Données projet'!$A$218&gt;35,FE62+FD63-FM62,IF(A63&lt;'Données projet'!$A$218,$FB$205^A63,IF(A63='Données projet'!$A$218,'Données projet'!$B$218,FE62+FD63-FM62)))</f>
        <v>234.99999999999997</v>
      </c>
      <c r="FF63" s="18">
        <f>FE63*VLOOKUP('Données projet'!$B$16,Paramètres!$A$1:$I$89,3,0)*VLOOKUP('Données projet'!$B$16,Paramètres!$A$1:$I$89,5,0)</f>
        <v>227.292</v>
      </c>
      <c r="FG63" s="14">
        <f t="shared" si="47"/>
        <v>55.6967456174837</v>
      </c>
      <c r="FH63" s="22">
        <f t="shared" si="22"/>
        <v>492.87206528378402</v>
      </c>
      <c r="FI63" s="62">
        <f t="shared" si="23"/>
        <v>786.20539861711734</v>
      </c>
      <c r="FJ63" s="62">
        <f ca="1">AVERAGE(OFFSET($FI$3,0,0,'Données projet'!$E$16+1,1))-AVERAGE(OFFSET($H$3,0,0,'Données projet'!$E$16+1,1))</f>
        <v>455.50822833641354</v>
      </c>
      <c r="FK63" s="62">
        <f t="shared" si="48"/>
        <v>261.14722581688039</v>
      </c>
      <c r="FL63" s="16">
        <f>IF(ISNA(VLOOKUP(A63,'Données projet'!$A$217:$I$237,3,0)),0,VLOOKUP(A63,'Données projet'!$A$217:$I$237,3,0))</f>
        <v>4</v>
      </c>
      <c r="FM63" s="16">
        <f>IF(ISNA(VLOOKUP(A63,'Données projet'!$A$217:$I$237,4,0)),0,VLOOKUP(A63,'Données projet'!$A$217:$I$237,4,0))</f>
        <v>42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14.839560439560435</v>
      </c>
      <c r="N64" s="14">
        <f>IF('Données projet'!$A$36&gt;35,N63+M64-V63,IF(A64&lt;'Données projet'!$A$36,$K$205^A64,IF(A64='Données projet'!$A$36,'Données projet'!$B$36,N63+M64-V63)))</f>
        <v>426.03626373626378</v>
      </c>
      <c r="O64" s="14">
        <f>N64*VLOOKUP('Données projet'!$B$9,Paramètres!$A$1:$I$89,3,0)*VLOOKUP('Données projet'!$B$9,Paramètres!$A$1:$I$89,5,0)</f>
        <v>238.15427142857146</v>
      </c>
      <c r="P64" s="14">
        <f t="shared" si="33"/>
        <v>58.042234732541061</v>
      </c>
      <c r="Q64" s="22">
        <f t="shared" si="53"/>
        <v>515.87558156393777</v>
      </c>
      <c r="R64" s="62">
        <f t="shared" si="0"/>
        <v>809.20891489727114</v>
      </c>
      <c r="S64" s="62">
        <f ca="1">AVERAGE(OFFSET($R$3,0,0,'Données projet'!$E$9+1,1))-AVERAGE(OFFSET($H$3,0,0,'Données projet'!$E$9+1,1))</f>
        <v>323.98185264074681</v>
      </c>
      <c r="T64" s="62">
        <f t="shared" si="34"/>
        <v>301.22207291854005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2.4150951338631703</v>
      </c>
      <c r="AA64" s="23">
        <f>EXP(-LN(2)/25)*AA63+(1-EXP(-LN(2)/25))/(LN(2)/25)*Calculateur!V64*Calculateur!X64*VLOOKUP('Données projet'!$B$9,Paramètres!$A$1:$I$89,3,0)*0.475*44/12</f>
        <v>3.4916811553675591</v>
      </c>
      <c r="AB64" s="23">
        <f>EXP(-LN(2)/2)*AB63+(1-EXP(-LN(2)/2))/(LN(2)/2)*V64*Y64*VLOOKUP('Données projet'!$B$9,Paramètres!$A$1:$I$89,3,0)*0.475*44/12</f>
        <v>1.3136992612500161E-4</v>
      </c>
      <c r="AC64" s="24">
        <f t="shared" si="3"/>
        <v>5.9069076591568539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13.494230769230782</v>
      </c>
      <c r="AI64" s="14">
        <f>IF('Données projet'!$A$62&gt;35,AI63+AH64-AQ63,IF(A64&lt;'Données projet'!$A$62,$AF$205^A64,IF(A64='Données projet'!$A$62,'Données projet'!$B$62,AI63+AH64-AQ63)))</f>
        <v>323.49038461538464</v>
      </c>
      <c r="AJ64" s="14">
        <f>AI64*VLOOKUP('Données projet'!$B$10,Paramètres!$A$1:$I$89,3,0)*VLOOKUP('Données projet'!$B$10,Paramètres!$A$1:$I$89,5,0)</f>
        <v>151.39350000000002</v>
      </c>
      <c r="AK64" s="14">
        <f t="shared" si="35"/>
        <v>38.895092864516194</v>
      </c>
      <c r="AL64" s="22">
        <f t="shared" si="4"/>
        <v>331.4192992390324</v>
      </c>
      <c r="AM64" s="62">
        <f t="shared" si="5"/>
        <v>624.75263257236566</v>
      </c>
      <c r="AN64" s="62">
        <f ca="1">AVERAGE(OFFSET($AM$3,0,0,'Données projet'!$E$10+1,1))-AVERAGE(OFFSET($H$3,0,0,'Données projet'!$E$10+1,1))</f>
        <v>276.78862011733338</v>
      </c>
      <c r="AO64" s="62">
        <f t="shared" si="36"/>
        <v>202.1678469635836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181.14095999999995</v>
      </c>
      <c r="BF64" s="14">
        <f t="shared" si="37"/>
        <v>45.575935320610945</v>
      </c>
      <c r="BG64" s="22">
        <f t="shared" si="7"/>
        <v>394.86525935006392</v>
      </c>
      <c r="BH64" s="62">
        <f t="shared" si="8"/>
        <v>688.19859268339724</v>
      </c>
      <c r="BI64" s="62">
        <f ca="1">AVERAGE(OFFSET($BH$3,0,0,'Données projet'!$E$11+1,1))-AVERAGE(OFFSET($H$3,0,0,'Données projet'!$E$11+1,1))</f>
        <v>428.8489304403459</v>
      </c>
      <c r="BJ64" s="62">
        <f t="shared" si="38"/>
        <v>247.01165577562966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9.1830769230769249</v>
      </c>
      <c r="BY64" s="13">
        <f>IF('Données projet'!$A$114&gt;35,BY63+BX64-CG63,IF(A64&lt;'Données projet'!$A$114,$BV$205^A64,IF(A64='Données projet'!$A$114,'Données projet'!$B$114,BY63+BX64-CG63)))</f>
        <v>297.34461538461534</v>
      </c>
      <c r="BZ64" s="14">
        <f>BY64*VLOOKUP('Données projet'!$B$12,Paramètres!$A$1:$I$89,3,0)*VLOOKUP('Données projet'!$B$12,Paramètres!$A$1:$I$89,5,0)</f>
        <v>177.81207999999998</v>
      </c>
      <c r="CA64" s="14">
        <f t="shared" si="39"/>
        <v>44.835068353066951</v>
      </c>
      <c r="CB64" s="22">
        <f t="shared" si="10"/>
        <v>387.77711671492489</v>
      </c>
      <c r="CC64" s="62">
        <f t="shared" si="11"/>
        <v>681.11045004825814</v>
      </c>
      <c r="CD64" s="62">
        <f ca="1">AVERAGE(OFFSET($CC$3,0,0,'Données projet'!$E$12+1,1))-AVERAGE(OFFSET($H$3,0,0,'Données projet'!$E$12+1,1))</f>
        <v>289.12367833861299</v>
      </c>
      <c r="CE64" s="62">
        <f t="shared" si="40"/>
        <v>229.06617320689003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8.9485327274598428E-5</v>
      </c>
      <c r="CN64" s="24">
        <f t="shared" si="12"/>
        <v>8.9485327274598428E-5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5.2399999999999975</v>
      </c>
      <c r="CT64" s="13">
        <f>IF('Données projet'!$A$140&gt;35,CT63+CS64-DB63,IF(A64&lt;'Données projet'!$A$140,$CQ$205^A64,IF(A64='Données projet'!$A$140,'Données projet'!$B$140,CT63+CS64-DB63)))</f>
        <v>285.03999999999985</v>
      </c>
      <c r="CU64" s="18">
        <f>CT64*VLOOKUP('Données projet'!$B$13,Paramètres!$A$1:$I$89,3,0)*VLOOKUP('Données projet'!$B$13,Paramètres!$A$1:$I$89,5,0)</f>
        <v>226.7778239999999</v>
      </c>
      <c r="CV64" s="14">
        <f t="shared" si="41"/>
        <v>55.585400699018884</v>
      </c>
      <c r="CW64" s="22">
        <f t="shared" si="13"/>
        <v>491.78261635079099</v>
      </c>
      <c r="CX64" s="62">
        <f t="shared" si="14"/>
        <v>785.1159496841243</v>
      </c>
      <c r="CY64" s="62">
        <f ca="1">AVERAGE(OFFSET($CX$3,0,0,'Données projet'!$E$13+1,1))-AVERAGE(OFFSET($H$3,0,0,'Données projet'!$E$13+1,1))</f>
        <v>370.59298168107364</v>
      </c>
      <c r="CZ64" s="62">
        <f t="shared" si="42"/>
        <v>404.61777090709171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</v>
      </c>
      <c r="DO64" s="13">
        <f>IF('Données projet'!$A$166&gt;35,DO63+DN64-DW63,IF(A64&lt;'Données projet'!$A$166,$DL$205^A64,IF(A64='Données projet'!$A$166,'Données projet'!$B$166,DO63+DN64-DW63)))</f>
        <v>193.99999999999994</v>
      </c>
      <c r="DP64" s="18">
        <f>DO64*VLOOKUP('Données projet'!$B$14,Paramètres!$A$1:$I$89,3,0)*VLOOKUP('Données projet'!$B$14,Paramètres!$A$1:$I$89,5,0)</f>
        <v>169.47839999999997</v>
      </c>
      <c r="DQ64" s="14">
        <f t="shared" si="43"/>
        <v>42.973181651930297</v>
      </c>
      <c r="DR64" s="22">
        <f t="shared" si="16"/>
        <v>370.01983804377852</v>
      </c>
      <c r="DS64" s="62">
        <f t="shared" si="17"/>
        <v>663.35317137711183</v>
      </c>
      <c r="DT64" s="62">
        <f ca="1">AVERAGE(OFFSET($DS$3,0,0,'Données projet'!$E$14+1,1))-AVERAGE(OFFSET($H$3,0,0,'Données projet'!$E$14+1,1))</f>
        <v>341.65872153228599</v>
      </c>
      <c r="DU64" s="62">
        <f t="shared" si="44"/>
        <v>339.49697153894937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5.1282051282051331</v>
      </c>
      <c r="EJ64" s="13">
        <f>IF('Données projet'!$A$192&gt;35,EJ63+EI64-ER63,IF(A64&lt;'Données projet'!$A$192,$EG$205^A64,IF(A64='Données projet'!$A$192,'Données projet'!$B$192,EJ63+EI64-ER63)))</f>
        <v>219.87179487179489</v>
      </c>
      <c r="EK64" s="18">
        <f>EJ64*VLOOKUP('Données projet'!$B$15,Paramètres!$A$1:$I$89,3,0)*VLOOKUP('Données projet'!$B$15,Paramètres!$A$1:$I$89,5,0)</f>
        <v>147.49</v>
      </c>
      <c r="EL64" s="14">
        <f t="shared" si="45"/>
        <v>38.007620116459833</v>
      </c>
      <c r="EM64" s="22">
        <f t="shared" si="19"/>
        <v>323.07502170283419</v>
      </c>
      <c r="EN64" s="62">
        <f t="shared" si="20"/>
        <v>616.40835503616745</v>
      </c>
      <c r="EO64" s="62">
        <f ca="1">AVERAGE(OFFSET($EN$3,0,0,'Données projet'!$E$15+1,1))-AVERAGE(OFFSET($H$3,0,0,'Données projet'!$E$15+1,1))</f>
        <v>312.06797204903796</v>
      </c>
      <c r="EP64" s="62">
        <f t="shared" si="46"/>
        <v>258.20189001775151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7.2</v>
      </c>
      <c r="FE64" s="13">
        <f>IF('Données projet'!$A$218&gt;35,FE63+FD64-FM63,IF(A64&lt;'Données projet'!$A$218,$FB$205^A64,IF(A64='Données projet'!$A$218,'Données projet'!$B$218,FE63+FD64-FM63)))</f>
        <v>200.19999999999996</v>
      </c>
      <c r="FF64" s="18">
        <f>FE64*VLOOKUP('Données projet'!$B$16,Paramètres!$A$1:$I$89,3,0)*VLOOKUP('Données projet'!$B$16,Paramètres!$A$1:$I$89,5,0)</f>
        <v>193.63343999999998</v>
      </c>
      <c r="FG64" s="14">
        <f t="shared" si="47"/>
        <v>48.342367086681229</v>
      </c>
      <c r="FH64" s="22">
        <f t="shared" si="22"/>
        <v>421.44119734263637</v>
      </c>
      <c r="FI64" s="62">
        <f t="shared" si="23"/>
        <v>714.77453067596969</v>
      </c>
      <c r="FJ64" s="62">
        <f ca="1">AVERAGE(OFFSET($FI$3,0,0,'Données projet'!$E$16+1,1))-AVERAGE(OFFSET($H$3,0,0,'Données projet'!$E$16+1,1))</f>
        <v>455.50822833641354</v>
      </c>
      <c r="FK64" s="62">
        <f t="shared" si="48"/>
        <v>261.14722581688039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14.839560439560435</v>
      </c>
      <c r="N65" s="14">
        <f>IF('Données projet'!$A$36&gt;35,N64+M65-V64,IF(A65&lt;'Données projet'!$A$36,$K$205^A65,IF(A65='Données projet'!$A$36,'Données projet'!$B$36,N64+M65-V64)))</f>
        <v>440.87582417582422</v>
      </c>
      <c r="O65" s="14">
        <f>N65*VLOOKUP('Données projet'!$B$9,Paramètres!$A$1:$I$89,3,0)*VLOOKUP('Données projet'!$B$9,Paramètres!$A$1:$I$89,5,0)</f>
        <v>246.44958571428575</v>
      </c>
      <c r="P65" s="14">
        <f t="shared" si="33"/>
        <v>59.825041333918982</v>
      </c>
      <c r="Q65" s="22">
        <f t="shared" si="53"/>
        <v>533.42830877562324</v>
      </c>
      <c r="R65" s="62">
        <f t="shared" si="0"/>
        <v>826.76164210895649</v>
      </c>
      <c r="S65" s="62">
        <f ca="1">AVERAGE(OFFSET($R$3,0,0,'Données projet'!$E$9+1,1))-AVERAGE(OFFSET($H$3,0,0,'Données projet'!$E$9+1,1))</f>
        <v>323.98185264074681</v>
      </c>
      <c r="T65" s="62">
        <f t="shared" si="34"/>
        <v>301.22207291854005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2.3677365913506923</v>
      </c>
      <c r="AA65" s="23">
        <f>EXP(-LN(2)/25)*AA64+(1-EXP(-LN(2)/25))/(LN(2)/25)*Calculateur!V65*Calculateur!X65*VLOOKUP('Données projet'!$B$9,Paramètres!$A$1:$I$89,3,0)*0.475*44/12</f>
        <v>3.3962009505545017</v>
      </c>
      <c r="AB65" s="23">
        <f>EXP(-LN(2)/2)*AB64+(1-EXP(-LN(2)/2))/(LN(2)/2)*V65*Y65*VLOOKUP('Données projet'!$B$9,Paramètres!$A$1:$I$89,3,0)*0.475*44/12</f>
        <v>9.2892565606964426E-5</v>
      </c>
      <c r="AC65" s="24">
        <f t="shared" si="3"/>
        <v>5.7640304344708007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>
        <f>VLOOKUP(A65,'Données projet'!$A$61:$I$81,2,0)</f>
        <v>336.98461538461538</v>
      </c>
      <c r="AG65" s="13">
        <f>VLOOKUP(A65,'Données projet'!$A$61:$I$81,9,0)</f>
        <v>13.494230769230782</v>
      </c>
      <c r="AH65" s="13">
        <f t="array" ref="AH65">INDEX(AG:AG,MIN(IF(ISNUMBER(AG65:AG261),ROW(AG65:AG261),"")))</f>
        <v>13.494230769230782</v>
      </c>
      <c r="AI65" s="14">
        <f>IF('Données projet'!$A$62&gt;35,AI64+AH65-AQ64,IF(A65&lt;'Données projet'!$A$62,$AF$205^A65,IF(A65='Données projet'!$A$62,'Données projet'!$B$62,AI64+AH65-AQ64)))</f>
        <v>336.98461538461544</v>
      </c>
      <c r="AJ65" s="14">
        <f>AI65*VLOOKUP('Données projet'!$B$10,Paramètres!$A$1:$I$89,3,0)*VLOOKUP('Données projet'!$B$10,Paramètres!$A$1:$I$89,5,0)</f>
        <v>157.70880000000002</v>
      </c>
      <c r="AK65" s="14">
        <f t="shared" si="35"/>
        <v>40.325295836136753</v>
      </c>
      <c r="AL65" s="22">
        <f t="shared" si="4"/>
        <v>344.90938358127147</v>
      </c>
      <c r="AM65" s="62">
        <f t="shared" si="5"/>
        <v>638.24271691460478</v>
      </c>
      <c r="AN65" s="62">
        <f ca="1">AVERAGE(OFFSET($AM$3,0,0,'Données projet'!$E$10+1,1))-AVERAGE(OFFSET($H$3,0,0,'Données projet'!$E$10+1,1))</f>
        <v>276.78862011733338</v>
      </c>
      <c r="AO65" s="62">
        <f t="shared" si="36"/>
        <v>202.1678469635836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187.65551999999994</v>
      </c>
      <c r="BF65" s="14">
        <f t="shared" si="37"/>
        <v>47.021247649900147</v>
      </c>
      <c r="BG65" s="22">
        <f t="shared" si="7"/>
        <v>408.72870365690932</v>
      </c>
      <c r="BH65" s="62">
        <f t="shared" si="8"/>
        <v>702.06203699024263</v>
      </c>
      <c r="BI65" s="62">
        <f ca="1">AVERAGE(OFFSET($BH$3,0,0,'Données projet'!$E$11+1,1))-AVERAGE(OFFSET($H$3,0,0,'Données projet'!$E$11+1,1))</f>
        <v>428.8489304403459</v>
      </c>
      <c r="BJ65" s="62">
        <f t="shared" si="38"/>
        <v>247.01165577562966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9.1830769230769249</v>
      </c>
      <c r="BY65" s="13">
        <f>IF('Données projet'!$A$114&gt;35,BY64+BX65-CG64,IF(A65&lt;'Données projet'!$A$114,$BV$205^A65,IF(A65='Données projet'!$A$114,'Données projet'!$B$114,BY64+BX65-CG64)))</f>
        <v>306.52769230769229</v>
      </c>
      <c r="BZ65" s="14">
        <f>BY65*VLOOKUP('Données projet'!$B$12,Paramètres!$A$1:$I$89,3,0)*VLOOKUP('Données projet'!$B$12,Paramètres!$A$1:$I$89,5,0)</f>
        <v>183.30356</v>
      </c>
      <c r="CA65" s="14">
        <f t="shared" si="39"/>
        <v>46.056387641494027</v>
      </c>
      <c r="CB65" s="22">
        <f t="shared" si="10"/>
        <v>399.46857547560211</v>
      </c>
      <c r="CC65" s="62">
        <f t="shared" si="11"/>
        <v>692.80190880893542</v>
      </c>
      <c r="CD65" s="62">
        <f ca="1">AVERAGE(OFFSET($CC$3,0,0,'Données projet'!$E$12+1,1))-AVERAGE(OFFSET($H$3,0,0,'Données projet'!$E$12+1,1))</f>
        <v>289.12367833861299</v>
      </c>
      <c r="CE65" s="62">
        <f t="shared" si="40"/>
        <v>229.06617320689003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6.3275681732566063E-5</v>
      </c>
      <c r="CN65" s="24">
        <f t="shared" si="12"/>
        <v>6.3275681732566063E-5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5.2399999999999975</v>
      </c>
      <c r="CT65" s="13">
        <f>IF('Données projet'!$A$140&gt;35,CT64+CS65-DB64,IF(A65&lt;'Données projet'!$A$140,$CQ$205^A65,IF(A65='Données projet'!$A$140,'Données projet'!$B$140,CT64+CS65-DB64)))</f>
        <v>290.27999999999986</v>
      </c>
      <c r="CU65" s="18">
        <f>CT65*VLOOKUP('Données projet'!$B$13,Paramètres!$A$1:$I$89,3,0)*VLOOKUP('Données projet'!$B$13,Paramètres!$A$1:$I$89,5,0)</f>
        <v>230.94676799999991</v>
      </c>
      <c r="CV65" s="14">
        <f t="shared" si="41"/>
        <v>56.487345939251334</v>
      </c>
      <c r="CW65" s="22">
        <f t="shared" si="13"/>
        <v>500.61441511086258</v>
      </c>
      <c r="CX65" s="62">
        <f t="shared" si="14"/>
        <v>793.94774844419589</v>
      </c>
      <c r="CY65" s="62">
        <f ca="1">AVERAGE(OFFSET($CX$3,0,0,'Données projet'!$E$13+1,1))-AVERAGE(OFFSET($H$3,0,0,'Données projet'!$E$13+1,1))</f>
        <v>370.59298168107364</v>
      </c>
      <c r="CZ65" s="62">
        <f t="shared" si="42"/>
        <v>404.61777090709171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</v>
      </c>
      <c r="DO65" s="13">
        <f>IF('Données projet'!$A$166&gt;35,DO64+DN65-DW64,IF(A65&lt;'Données projet'!$A$166,$DL$205^A65,IF(A65='Données projet'!$A$166,'Données projet'!$B$166,DO64+DN65-DW64)))</f>
        <v>198.99999999999994</v>
      </c>
      <c r="DP65" s="18">
        <f>DO65*VLOOKUP('Données projet'!$B$14,Paramètres!$A$1:$I$89,3,0)*VLOOKUP('Données projet'!$B$14,Paramètres!$A$1:$I$89,5,0)</f>
        <v>173.84639999999999</v>
      </c>
      <c r="DQ65" s="14">
        <f t="shared" si="43"/>
        <v>43.950364270382295</v>
      </c>
      <c r="DR65" s="22">
        <f t="shared" si="16"/>
        <v>379.32936443758246</v>
      </c>
      <c r="DS65" s="62">
        <f t="shared" si="17"/>
        <v>672.66269777091577</v>
      </c>
      <c r="DT65" s="62">
        <f ca="1">AVERAGE(OFFSET($DS$3,0,0,'Données projet'!$E$14+1,1))-AVERAGE(OFFSET($H$3,0,0,'Données projet'!$E$14+1,1))</f>
        <v>341.65872153228599</v>
      </c>
      <c r="DU65" s="62">
        <f t="shared" si="44"/>
        <v>339.49697153894937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5.1282051282051331</v>
      </c>
      <c r="EJ65" s="13">
        <f>IF('Données projet'!$A$192&gt;35,EJ64+EI65-ER64,IF(A65&lt;'Données projet'!$A$192,$EG$205^A65,IF(A65='Données projet'!$A$192,'Données projet'!$B$192,EJ64+EI65-ER64)))</f>
        <v>225.00000000000003</v>
      </c>
      <c r="EK65" s="18">
        <f>EJ65*VLOOKUP('Données projet'!$B$15,Paramètres!$A$1:$I$89,3,0)*VLOOKUP('Données projet'!$B$15,Paramètres!$A$1:$I$89,5,0)</f>
        <v>150.93000000000004</v>
      </c>
      <c r="EL65" s="14">
        <f t="shared" si="45"/>
        <v>38.789855371379076</v>
      </c>
      <c r="EM65" s="22">
        <f t="shared" si="19"/>
        <v>330.42874810515195</v>
      </c>
      <c r="EN65" s="62">
        <f t="shared" si="20"/>
        <v>623.76208143848521</v>
      </c>
      <c r="EO65" s="62">
        <f ca="1">AVERAGE(OFFSET($EN$3,0,0,'Données projet'!$E$15+1,1))-AVERAGE(OFFSET($H$3,0,0,'Données projet'!$E$15+1,1))</f>
        <v>312.06797204903796</v>
      </c>
      <c r="EP65" s="62">
        <f t="shared" si="46"/>
        <v>258.20189001775151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7.2</v>
      </c>
      <c r="FE65" s="13">
        <f>IF('Données projet'!$A$218&gt;35,FE64+FD65-FM64,IF(A65&lt;'Données projet'!$A$218,$FB$205^A65,IF(A65='Données projet'!$A$218,'Données projet'!$B$218,FE64+FD65-FM64)))</f>
        <v>207.39999999999995</v>
      </c>
      <c r="FF65" s="18">
        <f>FE65*VLOOKUP('Données projet'!$B$16,Paramètres!$A$1:$I$89,3,0)*VLOOKUP('Données projet'!$B$16,Paramètres!$A$1:$I$89,5,0)</f>
        <v>200.59727999999996</v>
      </c>
      <c r="FG65" s="14">
        <f t="shared" si="47"/>
        <v>49.875409002022977</v>
      </c>
      <c r="FH65" s="22">
        <f t="shared" si="22"/>
        <v>436.23993334518991</v>
      </c>
      <c r="FI65" s="62">
        <f t="shared" si="23"/>
        <v>729.57326667852317</v>
      </c>
      <c r="FJ65" s="62">
        <f ca="1">AVERAGE(OFFSET($FI$3,0,0,'Données projet'!$E$16+1,1))-AVERAGE(OFFSET($H$3,0,0,'Données projet'!$E$16+1,1))</f>
        <v>455.50822833641354</v>
      </c>
      <c r="FK65" s="62">
        <f t="shared" si="48"/>
        <v>261.14722581688039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455.71538461538455</v>
      </c>
      <c r="L66" s="13">
        <f>VLOOKUP(A66,'Données projet'!$A$35:$I$55,9,0)</f>
        <v>14.839560439560435</v>
      </c>
      <c r="M66" s="13">
        <f t="array" ref="M66">INDEX(L:L,MIN(IF(ISNUMBER(L66:L262),ROW(L66:L262),"")))</f>
        <v>14.839560439560435</v>
      </c>
      <c r="N66" s="14">
        <f>IF('Données projet'!$A$36&gt;35,N65+M66-V65,IF(A66&lt;'Données projet'!$A$36,$K$205^A66,IF(A66='Données projet'!$A$36,'Données projet'!$B$36,N65+M66-V65)))</f>
        <v>455.71538461538466</v>
      </c>
      <c r="O66" s="14">
        <f>N66*VLOOKUP('Données projet'!$B$9,Paramètres!$A$1:$I$89,3,0)*VLOOKUP('Données projet'!$B$9,Paramètres!$A$1:$I$89,5,0)</f>
        <v>254.74490000000003</v>
      </c>
      <c r="P66" s="14">
        <f t="shared" si="33"/>
        <v>61.600875281297732</v>
      </c>
      <c r="Q66" s="22">
        <f t="shared" si="53"/>
        <v>550.96889194826019</v>
      </c>
      <c r="R66" s="62">
        <f t="shared" si="0"/>
        <v>844.30222528159356</v>
      </c>
      <c r="S66" s="62">
        <f ca="1">AVERAGE(OFFSET($R$3,0,0,'Données projet'!$E$9+1,1))-AVERAGE(OFFSET($H$3,0,0,'Données projet'!$E$9+1,1))</f>
        <v>323.98185264074681</v>
      </c>
      <c r="T66" s="62">
        <f t="shared" si="34"/>
        <v>301.22207291854005</v>
      </c>
      <c r="U66" s="16">
        <f>IF(ISNA(VLOOKUP(A66,'Données projet'!$A$35:$I$55,3,0)),0,VLOOKUP(A66,'Données projet'!$A$35:$I$55,3,0))</f>
        <v>7</v>
      </c>
      <c r="V66" s="16">
        <f>IF(ISNA(VLOOKUP(A66,'Données projet'!$A$35:$I$55,4,0)),0,VLOOKUP(A66,'Données projet'!$A$35:$I$55,4,0))</f>
        <v>79.723076923076917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2.3213067209710254</v>
      </c>
      <c r="AA66" s="23">
        <f>EXP(-LN(2)/25)*AA65+(1-EXP(-LN(2)/25))/(LN(2)/25)*Calculateur!V66*Calculateur!X66*VLOOKUP('Données projet'!$B$9,Paramètres!$A$1:$I$89,3,0)*0.475*44/12</f>
        <v>3.303331656963143</v>
      </c>
      <c r="AB66" s="23">
        <f>EXP(-LN(2)/2)*AB65+(1-EXP(-LN(2)/2))/(LN(2)/2)*V66*Y66*VLOOKUP('Données projet'!$B$9,Paramètres!$A$1:$I$89,3,0)*0.475*44/12</f>
        <v>6.5684963062500804E-5</v>
      </c>
      <c r="AC66" s="24">
        <f t="shared" si="3"/>
        <v>5.6247040628972309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13.95192307692308</v>
      </c>
      <c r="AI66" s="14">
        <f>IF('Données projet'!$A$62&gt;35,AI65+AH66-AQ65,IF(A66&lt;'Données projet'!$A$62,$AF$205^A66,IF(A66='Données projet'!$A$62,'Données projet'!$B$62,AI65+AH66-AQ65)))</f>
        <v>350.93653846153853</v>
      </c>
      <c r="AJ66" s="14">
        <f>AI66*VLOOKUP('Données projet'!$B$10,Paramètres!$A$1:$I$89,3,0)*VLOOKUP('Données projet'!$B$10,Paramètres!$A$1:$I$89,5,0)</f>
        <v>164.23830000000004</v>
      </c>
      <c r="AK66" s="14">
        <f t="shared" si="35"/>
        <v>41.797016343281456</v>
      </c>
      <c r="AL66" s="22">
        <f t="shared" si="4"/>
        <v>358.84484263121522</v>
      </c>
      <c r="AM66" s="62">
        <f t="shared" si="5"/>
        <v>652.17817596454847</v>
      </c>
      <c r="AN66" s="62">
        <f ca="1">AVERAGE(OFFSET($AM$3,0,0,'Données projet'!$E$10+1,1))-AVERAGE(OFFSET($H$3,0,0,'Données projet'!$E$10+1,1))</f>
        <v>276.78862011733338</v>
      </c>
      <c r="AO66" s="62">
        <f t="shared" si="36"/>
        <v>202.1678469635836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194.17007999999996</v>
      </c>
      <c r="BF66" s="14">
        <f t="shared" si="37"/>
        <v>48.460730182351035</v>
      </c>
      <c r="BG66" s="22">
        <f t="shared" si="7"/>
        <v>422.5819944009279</v>
      </c>
      <c r="BH66" s="62">
        <f t="shared" si="8"/>
        <v>715.91532773426115</v>
      </c>
      <c r="BI66" s="62">
        <f ca="1">AVERAGE(OFFSET($BH$3,0,0,'Données projet'!$E$11+1,1))-AVERAGE(OFFSET($H$3,0,0,'Données projet'!$E$11+1,1))</f>
        <v>428.8489304403459</v>
      </c>
      <c r="BJ66" s="62">
        <f t="shared" si="38"/>
        <v>247.01165577562966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9.1830769230769249</v>
      </c>
      <c r="BY66" s="13">
        <f>IF('Données projet'!$A$114&gt;35,BY65+BX66-CG65,IF(A66&lt;'Données projet'!$A$114,$BV$205^A66,IF(A66='Données projet'!$A$114,'Données projet'!$B$114,BY65+BX66-CG65)))</f>
        <v>315.71076923076919</v>
      </c>
      <c r="BZ66" s="14">
        <f>BY66*VLOOKUP('Données projet'!$B$12,Paramètres!$A$1:$I$89,3,0)*VLOOKUP('Données projet'!$B$12,Paramètres!$A$1:$I$89,5,0)</f>
        <v>188.79504</v>
      </c>
      <c r="CA66" s="14">
        <f t="shared" si="39"/>
        <v>47.273454743056831</v>
      </c>
      <c r="CB66" s="22">
        <f t="shared" si="10"/>
        <v>411.15262834415722</v>
      </c>
      <c r="CC66" s="62">
        <f t="shared" si="11"/>
        <v>704.48596167749054</v>
      </c>
      <c r="CD66" s="62">
        <f ca="1">AVERAGE(OFFSET($CC$3,0,0,'Données projet'!$E$12+1,1))-AVERAGE(OFFSET($H$3,0,0,'Données projet'!$E$12+1,1))</f>
        <v>289.12367833861299</v>
      </c>
      <c r="CE66" s="62">
        <f t="shared" si="40"/>
        <v>229.06617320689003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4.4742663637299214E-5</v>
      </c>
      <c r="CN66" s="24">
        <f t="shared" si="12"/>
        <v>4.4742663637299214E-5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5.2399999999999975</v>
      </c>
      <c r="CT66" s="13">
        <f>IF('Données projet'!$A$140&gt;35,CT65+CS66-DB65,IF(A66&lt;'Données projet'!$A$140,$CQ$205^A66,IF(A66='Données projet'!$A$140,'Données projet'!$B$140,CT65+CS66-DB65)))</f>
        <v>295.51999999999987</v>
      </c>
      <c r="CU66" s="18">
        <f>CT66*VLOOKUP('Données projet'!$B$13,Paramètres!$A$1:$I$89,3,0)*VLOOKUP('Données projet'!$B$13,Paramètres!$A$1:$I$89,5,0)</f>
        <v>235.11571199999989</v>
      </c>
      <c r="CV66" s="14">
        <f t="shared" si="41"/>
        <v>57.387397894153374</v>
      </c>
      <c r="CW66" s="22">
        <f t="shared" si="13"/>
        <v>509.44291639898364</v>
      </c>
      <c r="CX66" s="62">
        <f t="shared" si="14"/>
        <v>802.77624973231696</v>
      </c>
      <c r="CY66" s="62">
        <f ca="1">AVERAGE(OFFSET($CX$3,0,0,'Données projet'!$E$13+1,1))-AVERAGE(OFFSET($H$3,0,0,'Données projet'!$E$13+1,1))</f>
        <v>370.59298168107364</v>
      </c>
      <c r="CZ66" s="62">
        <f t="shared" si="42"/>
        <v>404.61777090709171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</v>
      </c>
      <c r="DO66" s="13">
        <f>IF('Données projet'!$A$166&gt;35,DO65+DN66-DW65,IF(A66&lt;'Données projet'!$A$166,$DL$205^A66,IF(A66='Données projet'!$A$166,'Données projet'!$B$166,DO65+DN66-DW65)))</f>
        <v>203.99999999999994</v>
      </c>
      <c r="DP66" s="18">
        <f>DO66*VLOOKUP('Données projet'!$B$14,Paramètres!$A$1:$I$89,3,0)*VLOOKUP('Données projet'!$B$14,Paramètres!$A$1:$I$89,5,0)</f>
        <v>178.21439999999998</v>
      </c>
      <c r="DQ66" s="14">
        <f t="shared" si="43"/>
        <v>44.924692855664368</v>
      </c>
      <c r="DR66" s="22">
        <f t="shared" si="16"/>
        <v>388.63392005694874</v>
      </c>
      <c r="DS66" s="62">
        <f t="shared" si="17"/>
        <v>681.96725339028205</v>
      </c>
      <c r="DT66" s="62">
        <f ca="1">AVERAGE(OFFSET($DS$3,0,0,'Données projet'!$E$14+1,1))-AVERAGE(OFFSET($H$3,0,0,'Données projet'!$E$14+1,1))</f>
        <v>341.65872153228599</v>
      </c>
      <c r="DU66" s="62">
        <f t="shared" si="44"/>
        <v>339.49697153894937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5.1282051282051331</v>
      </c>
      <c r="EJ66" s="13">
        <f>IF('Données projet'!$A$192&gt;35,EJ65+EI66-ER65,IF(A66&lt;'Données projet'!$A$192,$EG$205^A66,IF(A66='Données projet'!$A$192,'Données projet'!$B$192,EJ65+EI66-ER65)))</f>
        <v>230.12820512820517</v>
      </c>
      <c r="EK66" s="18">
        <f>EJ66*VLOOKUP('Données projet'!$B$15,Paramètres!$A$1:$I$89,3,0)*VLOOKUP('Données projet'!$B$15,Paramètres!$A$1:$I$89,5,0)</f>
        <v>154.37000000000003</v>
      </c>
      <c r="EL66" s="14">
        <f t="shared" si="45"/>
        <v>39.570017923578433</v>
      </c>
      <c r="EM66" s="22">
        <f t="shared" si="19"/>
        <v>337.77886455023247</v>
      </c>
      <c r="EN66" s="62">
        <f t="shared" si="20"/>
        <v>631.11219788356584</v>
      </c>
      <c r="EO66" s="62">
        <f ca="1">AVERAGE(OFFSET($EN$3,0,0,'Données projet'!$E$15+1,1))-AVERAGE(OFFSET($H$3,0,0,'Données projet'!$E$15+1,1))</f>
        <v>312.06797204903796</v>
      </c>
      <c r="EP66" s="62">
        <f t="shared" si="46"/>
        <v>258.20189001775151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7.2</v>
      </c>
      <c r="FE66" s="13">
        <f>IF('Données projet'!$A$218&gt;35,FE65+FD66-FM65,IF(A66&lt;'Données projet'!$A$218,$FB$205^A66,IF(A66='Données projet'!$A$218,'Données projet'!$B$218,FE65+FD66-FM65)))</f>
        <v>214.59999999999994</v>
      </c>
      <c r="FF66" s="18">
        <f>FE66*VLOOKUP('Données projet'!$B$16,Paramètres!$A$1:$I$89,3,0)*VLOOKUP('Données projet'!$B$16,Paramètres!$A$1:$I$89,5,0)</f>
        <v>207.56111999999996</v>
      </c>
      <c r="FG66" s="14">
        <f t="shared" si="47"/>
        <v>51.40226725537714</v>
      </c>
      <c r="FH66" s="22">
        <f t="shared" si="22"/>
        <v>451.02789946978169</v>
      </c>
      <c r="FI66" s="62">
        <f t="shared" si="23"/>
        <v>744.36123280311494</v>
      </c>
      <c r="FJ66" s="62">
        <f ca="1">AVERAGE(OFFSET($FI$3,0,0,'Données projet'!$E$16+1,1))-AVERAGE(OFFSET($H$3,0,0,'Données projet'!$E$16+1,1))</f>
        <v>455.50822833641354</v>
      </c>
      <c r="FK66" s="62">
        <f t="shared" si="48"/>
        <v>261.14722581688039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13.373076923076932</v>
      </c>
      <c r="N67" s="14">
        <f>IF('Données projet'!$A$36&gt;35,N66+M67-V66,IF(A67&lt;'Données projet'!$A$36,$K$205^A67,IF(A67='Données projet'!$A$36,'Données projet'!$B$36,N66+M67-V66)))</f>
        <v>389.3653846153847</v>
      </c>
      <c r="O67" s="14">
        <f>N67*VLOOKUP('Données projet'!$B$9,Paramètres!$A$1:$I$89,3,0)*VLOOKUP('Données projet'!$B$9,Paramètres!$A$1:$I$89,5,0)</f>
        <v>217.65525000000002</v>
      </c>
      <c r="P67" s="14">
        <f t="shared" si="33"/>
        <v>53.604948518581054</v>
      </c>
      <c r="Q67" s="22">
        <f t="shared" ref="Q67:Q98" si="54">(O67+P67)*0.475*44/12</f>
        <v>472.44484575319535</v>
      </c>
      <c r="R67" s="62">
        <f t="shared" ref="R67:R130" si="55">Q67+(I67+J67)*44/12</f>
        <v>765.77817908652867</v>
      </c>
      <c r="S67" s="62">
        <f ca="1">AVERAGE(OFFSET($R$3,0,0,'Données projet'!$E$9+1,1))-AVERAGE(OFFSET($H$3,0,0,'Données projet'!$E$9+1,1))</f>
        <v>323.98185264074681</v>
      </c>
      <c r="T67" s="62">
        <f t="shared" si="34"/>
        <v>301.22207291854005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2.2757873120300789</v>
      </c>
      <c r="AA67" s="23">
        <f>EXP(-LN(2)/25)*AA66+(1-EXP(-LN(2)/25))/(LN(2)/25)*Calculateur!V67*Calculateur!X67*VLOOKUP('Données projet'!$B$9,Paramètres!$A$1:$I$89,3,0)*0.475*44/12</f>
        <v>3.2130018790888237</v>
      </c>
      <c r="AB67" s="23">
        <f>EXP(-LN(2)/2)*AB66+(1-EXP(-LN(2)/2))/(LN(2)/2)*V67*Y67*VLOOKUP('Données projet'!$B$9,Paramètres!$A$1:$I$89,3,0)*0.475*44/12</f>
        <v>4.6446282803482213E-5</v>
      </c>
      <c r="AC67" s="24">
        <f t="shared" si="3"/>
        <v>5.4888356374017064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13.95192307692308</v>
      </c>
      <c r="AI67" s="14">
        <f>IF('Données projet'!$A$62&gt;35,AI66+AH67-AQ66,IF(A67&lt;'Données projet'!$A$62,$AF$205^A67,IF(A67='Données projet'!$A$62,'Données projet'!$B$62,AI66+AH67-AQ66)))</f>
        <v>364.88846153846163</v>
      </c>
      <c r="AJ67" s="14">
        <f>AI67*VLOOKUP('Données projet'!$B$10,Paramètres!$A$1:$I$89,3,0)*VLOOKUP('Données projet'!$B$10,Paramètres!$A$1:$I$89,5,0)</f>
        <v>170.76780000000005</v>
      </c>
      <c r="AK67" s="14">
        <f t="shared" si="35"/>
        <v>43.261940118140018</v>
      </c>
      <c r="AL67" s="22">
        <f t="shared" si="4"/>
        <v>372.76846403909394</v>
      </c>
      <c r="AM67" s="62">
        <f t="shared" si="5"/>
        <v>666.1017973724272</v>
      </c>
      <c r="AN67" s="62">
        <f ca="1">AVERAGE(OFFSET($AM$3,0,0,'Données projet'!$E$10+1,1))-AVERAGE(OFFSET($H$3,0,0,'Données projet'!$E$10+1,1))</f>
        <v>276.78862011733338</v>
      </c>
      <c r="AO67" s="62">
        <f t="shared" si="36"/>
        <v>202.1678469635836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200.68463999999992</v>
      </c>
      <c r="BF67" s="14">
        <f t="shared" si="37"/>
        <v>49.894600936700193</v>
      </c>
      <c r="BG67" s="22">
        <f t="shared" si="7"/>
        <v>436.42551129808606</v>
      </c>
      <c r="BH67" s="62">
        <f t="shared" si="8"/>
        <v>729.75884463141938</v>
      </c>
      <c r="BI67" s="62">
        <f ca="1">AVERAGE(OFFSET($BH$3,0,0,'Données projet'!$E$11+1,1))-AVERAGE(OFFSET($H$3,0,0,'Données projet'!$E$11+1,1))</f>
        <v>428.8489304403459</v>
      </c>
      <c r="BJ67" s="62">
        <f t="shared" si="38"/>
        <v>247.01165577562966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9.1830769230769249</v>
      </c>
      <c r="BY67" s="13">
        <f>IF('Données projet'!$A$114&gt;35,BY66+BX67-CG66,IF(A67&lt;'Données projet'!$A$114,$BV$205^A67,IF(A67='Données projet'!$A$114,'Données projet'!$B$114,BY66+BX67-CG66)))</f>
        <v>324.89384615384608</v>
      </c>
      <c r="BZ67" s="14">
        <f>BY67*VLOOKUP('Données projet'!$B$12,Paramètres!$A$1:$I$89,3,0)*VLOOKUP('Données projet'!$B$12,Paramètres!$A$1:$I$89,5,0)</f>
        <v>194.28651999999997</v>
      </c>
      <c r="CA67" s="14">
        <f t="shared" si="39"/>
        <v>48.486407543748122</v>
      </c>
      <c r="CB67" s="22">
        <f t="shared" si="10"/>
        <v>422.82951547202788</v>
      </c>
      <c r="CC67" s="62">
        <f t="shared" si="11"/>
        <v>716.16284880536114</v>
      </c>
      <c r="CD67" s="62">
        <f ca="1">AVERAGE(OFFSET($CC$3,0,0,'Données projet'!$E$12+1,1))-AVERAGE(OFFSET($H$3,0,0,'Données projet'!$E$12+1,1))</f>
        <v>289.12367833861299</v>
      </c>
      <c r="CE67" s="62">
        <f t="shared" si="40"/>
        <v>229.06617320689003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3.1637840866283031E-5</v>
      </c>
      <c r="CN67" s="24">
        <f t="shared" si="12"/>
        <v>3.1637840866283031E-5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5.2399999999999975</v>
      </c>
      <c r="CT67" s="13">
        <f>IF('Données projet'!$A$140&gt;35,CT66+CS67-DB66,IF(A67&lt;'Données projet'!$A$140,$CQ$205^A67,IF(A67='Données projet'!$A$140,'Données projet'!$B$140,CT66+CS67-DB66)))</f>
        <v>300.75999999999988</v>
      </c>
      <c r="CU67" s="18">
        <f>CT67*VLOOKUP('Données projet'!$B$13,Paramètres!$A$1:$I$89,3,0)*VLOOKUP('Données projet'!$B$13,Paramètres!$A$1:$I$89,5,0)</f>
        <v>239.2846559999999</v>
      </c>
      <c r="CV67" s="14">
        <f t="shared" si="41"/>
        <v>58.285594007367486</v>
      </c>
      <c r="CW67" s="22">
        <f t="shared" si="13"/>
        <v>518.2681854294982</v>
      </c>
      <c r="CX67" s="62">
        <f t="shared" si="14"/>
        <v>811.60151876283157</v>
      </c>
      <c r="CY67" s="62">
        <f ca="1">AVERAGE(OFFSET($CX$3,0,0,'Données projet'!$E$13+1,1))-AVERAGE(OFFSET($H$3,0,0,'Données projet'!$E$13+1,1))</f>
        <v>370.59298168107364</v>
      </c>
      <c r="CZ67" s="62">
        <f t="shared" si="42"/>
        <v>404.61777090709171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</v>
      </c>
      <c r="DO67" s="13">
        <f>IF('Données projet'!$A$166&gt;35,DO66+DN67-DW66,IF(A67&lt;'Données projet'!$A$166,$DL$205^A67,IF(A67='Données projet'!$A$166,'Données projet'!$B$166,DO66+DN67-DW66)))</f>
        <v>208.99999999999994</v>
      </c>
      <c r="DP67" s="18">
        <f>DO67*VLOOKUP('Données projet'!$B$14,Paramètres!$A$1:$I$89,3,0)*VLOOKUP('Données projet'!$B$14,Paramètres!$A$1:$I$89,5,0)</f>
        <v>182.58239999999998</v>
      </c>
      <c r="DQ67" s="14">
        <f t="shared" si="43"/>
        <v>45.896245406460245</v>
      </c>
      <c r="DR67" s="22">
        <f t="shared" si="16"/>
        <v>397.93364074958487</v>
      </c>
      <c r="DS67" s="62">
        <f t="shared" si="17"/>
        <v>691.26697408291818</v>
      </c>
      <c r="DT67" s="62">
        <f ca="1">AVERAGE(OFFSET($DS$3,0,0,'Données projet'!$E$14+1,1))-AVERAGE(OFFSET($H$3,0,0,'Données projet'!$E$14+1,1))</f>
        <v>341.65872153228599</v>
      </c>
      <c r="DU67" s="62">
        <f t="shared" si="44"/>
        <v>339.49697153894937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5.1282051282051331</v>
      </c>
      <c r="EJ67" s="13">
        <f>IF('Données projet'!$A$192&gt;35,EJ66+EI67-ER66,IF(A67&lt;'Données projet'!$A$192,$EG$205^A67,IF(A67='Données projet'!$A$192,'Données projet'!$B$192,EJ66+EI67-ER66)))</f>
        <v>235.25641025641031</v>
      </c>
      <c r="EK67" s="18">
        <f>EJ67*VLOOKUP('Données projet'!$B$15,Paramètres!$A$1:$I$89,3,0)*VLOOKUP('Données projet'!$B$15,Paramètres!$A$1:$I$89,5,0)</f>
        <v>157.81000000000003</v>
      </c>
      <c r="EL67" s="14">
        <f t="shared" si="45"/>
        <v>40.348159279539125</v>
      </c>
      <c r="EM67" s="22">
        <f t="shared" si="19"/>
        <v>345.12546074519736</v>
      </c>
      <c r="EN67" s="62">
        <f t="shared" si="20"/>
        <v>638.45879407853067</v>
      </c>
      <c r="EO67" s="62">
        <f ca="1">AVERAGE(OFFSET($EN$3,0,0,'Données projet'!$E$15+1,1))-AVERAGE(OFFSET($H$3,0,0,'Données projet'!$E$15+1,1))</f>
        <v>312.06797204903796</v>
      </c>
      <c r="EP67" s="62">
        <f t="shared" si="46"/>
        <v>258.20189001775151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7.2</v>
      </c>
      <c r="FE67" s="13">
        <f>IF('Données projet'!$A$218&gt;35,FE66+FD67-FM66,IF(A67&lt;'Données projet'!$A$218,$FB$205^A67,IF(A67='Données projet'!$A$218,'Données projet'!$B$218,FE66+FD67-FM66)))</f>
        <v>221.79999999999993</v>
      </c>
      <c r="FF67" s="18">
        <f>FE67*VLOOKUP('Données projet'!$B$16,Paramètres!$A$1:$I$89,3,0)*VLOOKUP('Données projet'!$B$16,Paramètres!$A$1:$I$89,5,0)</f>
        <v>214.52495999999994</v>
      </c>
      <c r="FG67" s="14">
        <f t="shared" si="47"/>
        <v>52.923173099085716</v>
      </c>
      <c r="FH67" s="22">
        <f t="shared" si="22"/>
        <v>465.80549848090754</v>
      </c>
      <c r="FI67" s="62">
        <f t="shared" si="23"/>
        <v>759.1388318142408</v>
      </c>
      <c r="FJ67" s="62">
        <f ca="1">AVERAGE(OFFSET($FI$3,0,0,'Données projet'!$E$16+1,1))-AVERAGE(OFFSET($H$3,0,0,'Données projet'!$E$16+1,1))</f>
        <v>455.50822833641354</v>
      </c>
      <c r="FK67" s="62">
        <f t="shared" si="48"/>
        <v>261.14722581688039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13.373076923076932</v>
      </c>
      <c r="N68" s="14">
        <f>IF('Données projet'!$A$36&gt;35,N67+M68-V67,IF(A68&lt;'Données projet'!$A$36,$K$205^A68,IF(A68='Données projet'!$A$36,'Données projet'!$B$36,N67+M68-V67)))</f>
        <v>402.73846153846165</v>
      </c>
      <c r="O68" s="14">
        <f>N68*VLOOKUP('Données projet'!$B$9,Paramètres!$A$1:$I$89,3,0)*VLOOKUP('Données projet'!$B$9,Paramètres!$A$1:$I$89,5,0)</f>
        <v>225.13080000000008</v>
      </c>
      <c r="P68" s="14">
        <f t="shared" si="33"/>
        <v>55.228539095259954</v>
      </c>
      <c r="Q68" s="22">
        <f t="shared" si="54"/>
        <v>488.29251559091125</v>
      </c>
      <c r="R68" s="62">
        <f t="shared" si="55"/>
        <v>781.62584892424456</v>
      </c>
      <c r="S68" s="62">
        <f ca="1">AVERAGE(OFFSET($R$3,0,0,'Données projet'!$E$9+1,1))-AVERAGE(OFFSET($H$3,0,0,'Données projet'!$E$9+1,1))</f>
        <v>323.98185264074681</v>
      </c>
      <c r="T68" s="62">
        <f t="shared" si="34"/>
        <v>301.22207291854005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2.2311605109343664</v>
      </c>
      <c r="AA68" s="23">
        <f>EXP(-LN(2)/25)*AA67+(1-EXP(-LN(2)/25))/(LN(2)/25)*Calculateur!V68*Calculateur!X68*VLOOKUP('Données projet'!$B$9,Paramètres!$A$1:$I$89,3,0)*0.475*44/12</f>
        <v>3.1251421737407146</v>
      </c>
      <c r="AB68" s="23">
        <f>EXP(-LN(2)/2)*AB67+(1-EXP(-LN(2)/2))/(LN(2)/2)*V68*Y68*VLOOKUP('Données projet'!$B$9,Paramètres!$A$1:$I$89,3,0)*0.475*44/12</f>
        <v>3.2842481531250402E-5</v>
      </c>
      <c r="AC68" s="24">
        <f t="shared" ref="AC68:AC131" si="57">SUM(Z68:AB68)</f>
        <v>5.3563355271566122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13.95192307692308</v>
      </c>
      <c r="AI68" s="14">
        <f>IF('Données projet'!$A$62&gt;35,AI67+AH68-AQ67,IF(A68&lt;'Données projet'!$A$62,$AF$205^A68,IF(A68='Données projet'!$A$62,'Données projet'!$B$62,AI67+AH68-AQ67)))</f>
        <v>378.84038461538472</v>
      </c>
      <c r="AJ68" s="14">
        <f>AI68*VLOOKUP('Données projet'!$B$10,Paramètres!$A$1:$I$89,3,0)*VLOOKUP('Données projet'!$B$10,Paramètres!$A$1:$I$89,5,0)</f>
        <v>177.29730000000006</v>
      </c>
      <c r="AK68" s="14">
        <f t="shared" si="35"/>
        <v>44.720356790586408</v>
      </c>
      <c r="AL68" s="22">
        <f t="shared" ref="AL68:AL131" si="58">(AJ68+AK68)*0.475*44/12</f>
        <v>386.68075224360473</v>
      </c>
      <c r="AM68" s="62">
        <f t="shared" ref="AM68:AM131" si="59">AL68+(AD68+AE68)*44/12</f>
        <v>680.01408557693799</v>
      </c>
      <c r="AN68" s="62">
        <f ca="1">AVERAGE(OFFSET($AM$3,0,0,'Données projet'!$E$10+1,1))-AVERAGE(OFFSET($H$3,0,0,'Données projet'!$E$10+1,1))</f>
        <v>276.78862011733338</v>
      </c>
      <c r="AO68" s="62">
        <f t="shared" si="36"/>
        <v>202.1678469635836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207.19919999999991</v>
      </c>
      <c r="BF68" s="14">
        <f t="shared" si="37"/>
        <v>51.3230629736655</v>
      </c>
      <c r="BG68" s="22">
        <f t="shared" ref="BG68:BG131" si="61">(BE68+BF68)*0.475*44/12</f>
        <v>450.25960801246725</v>
      </c>
      <c r="BH68" s="62">
        <f t="shared" ref="BH68:BH131" si="62">BG68+(AY68+AZ68)*44/12</f>
        <v>743.59294134580057</v>
      </c>
      <c r="BI68" s="62">
        <f ca="1">AVERAGE(OFFSET($BH$3,0,0,'Données projet'!$E$11+1,1))-AVERAGE(OFFSET($H$3,0,0,'Données projet'!$E$11+1,1))</f>
        <v>428.8489304403459</v>
      </c>
      <c r="BJ68" s="62">
        <f t="shared" si="38"/>
        <v>247.01165577562966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9.1830769230769249</v>
      </c>
      <c r="BY68" s="13">
        <f>IF('Données projet'!$A$114&gt;35,BY67+BX68-CG67,IF(A68&lt;'Données projet'!$A$114,$BV$205^A68,IF(A68='Données projet'!$A$114,'Données projet'!$B$114,BY67+BX68-CG67)))</f>
        <v>334.07692307692298</v>
      </c>
      <c r="BZ68" s="14">
        <f>BY68*VLOOKUP('Données projet'!$B$12,Paramètres!$A$1:$I$89,3,0)*VLOOKUP('Données projet'!$B$12,Paramètres!$A$1:$I$89,5,0)</f>
        <v>199.77799999999996</v>
      </c>
      <c r="CA68" s="14">
        <f t="shared" si="39"/>
        <v>49.695375691492842</v>
      </c>
      <c r="CB68" s="22">
        <f t="shared" ref="CB68:CB131" si="64">(BZ68+CA68)*0.475*44/12</f>
        <v>434.4994626626833</v>
      </c>
      <c r="CC68" s="62">
        <f t="shared" ref="CC68:CC131" si="65">CB68+(BT68+BU68)*44/12</f>
        <v>727.83279599601656</v>
      </c>
      <c r="CD68" s="62">
        <f ca="1">AVERAGE(OFFSET($CC$3,0,0,'Données projet'!$E$12+1,1))-AVERAGE(OFFSET($H$3,0,0,'Données projet'!$E$12+1,1))</f>
        <v>289.12367833861299</v>
      </c>
      <c r="CE68" s="62">
        <f t="shared" si="40"/>
        <v>229.06617320689003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2.2371331818649607E-5</v>
      </c>
      <c r="CN68" s="24">
        <f t="shared" ref="CN68:CN131" si="66">SUM(CK68:CM68)</f>
        <v>2.2371331818649607E-5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306</v>
      </c>
      <c r="CR68" s="13">
        <f>VLOOKUP(A68,'Données projet'!$A$139:$I$159,9,0)</f>
        <v>5.2399999999999975</v>
      </c>
      <c r="CS68" s="13">
        <f t="array" ref="CS68">INDEX(CR:CR,MIN(IF(ISNUMBER(CR68:CR264),ROW(CR68:CR264),"")))</f>
        <v>5.2399999999999975</v>
      </c>
      <c r="CT68" s="13">
        <f>IF('Données projet'!$A$140&gt;35,CT67+CS68-DB67,IF(A68&lt;'Données projet'!$A$140,$CQ$205^A68,IF(A68='Données projet'!$A$140,'Données projet'!$B$140,CT67+CS68-DB67)))</f>
        <v>305.99999999999989</v>
      </c>
      <c r="CU68" s="18">
        <f>CT68*VLOOKUP('Données projet'!$B$13,Paramètres!$A$1:$I$89,3,0)*VLOOKUP('Données projet'!$B$13,Paramètres!$A$1:$I$89,5,0)</f>
        <v>243.45359999999991</v>
      </c>
      <c r="CV68" s="14">
        <f t="shared" si="41"/>
        <v>59.181970343065267</v>
      </c>
      <c r="CW68" s="22">
        <f t="shared" ref="CW68:CW131" si="67">(CU68+CV68)*0.475*44/12</f>
        <v>527.09028501417185</v>
      </c>
      <c r="CX68" s="62">
        <f t="shared" ref="CX68:CX131" si="68">CW68+(CO68+CP68)*44/12</f>
        <v>820.42361834750523</v>
      </c>
      <c r="CY68" s="62">
        <f ca="1">AVERAGE(OFFSET($CX$3,0,0,'Données projet'!$E$13+1,1))-AVERAGE(OFFSET($H$3,0,0,'Données projet'!$E$13+1,1))</f>
        <v>370.59298168107364</v>
      </c>
      <c r="CZ68" s="62">
        <f t="shared" si="42"/>
        <v>404.61777090709171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214</v>
      </c>
      <c r="DM68" s="13">
        <f>VLOOKUP(A68,'Données projet'!$A$165:$I$185,9,0)</f>
        <v>5</v>
      </c>
      <c r="DN68" s="13">
        <f t="array" ref="DN68">INDEX(DM:DM,MIN(IF(ISNUMBER(DM68:DM264),ROW(DM68:DM264),"")))</f>
        <v>5</v>
      </c>
      <c r="DO68" s="13">
        <f>IF('Données projet'!$A$166&gt;35,DO67+DN68-DW67,IF(A68&lt;'Données projet'!$A$166,$DL$205^A68,IF(A68='Données projet'!$A$166,'Données projet'!$B$166,DO67+DN68-DW67)))</f>
        <v>213.99999999999994</v>
      </c>
      <c r="DP68" s="18">
        <f>DO68*VLOOKUP('Données projet'!$B$14,Paramètres!$A$1:$I$89,3,0)*VLOOKUP('Données projet'!$B$14,Paramètres!$A$1:$I$89,5,0)</f>
        <v>186.95039999999997</v>
      </c>
      <c r="DQ68" s="14">
        <f t="shared" si="43"/>
        <v>46.865095976617653</v>
      </c>
      <c r="DR68" s="22">
        <f t="shared" ref="DR68:DR131" si="70">(DP68+DQ68)*0.475*44/12</f>
        <v>407.22865549260905</v>
      </c>
      <c r="DS68" s="62">
        <f t="shared" ref="DS68:DS131" si="71">DR68+(DJ68+DK68)*44/12</f>
        <v>700.56198882594231</v>
      </c>
      <c r="DT68" s="62">
        <f ca="1">AVERAGE(OFFSET($DS$3,0,0,'Données projet'!$E$14+1,1))-AVERAGE(OFFSET($H$3,0,0,'Données projet'!$E$14+1,1))</f>
        <v>341.65872153228599</v>
      </c>
      <c r="DU68" s="62">
        <f t="shared" si="44"/>
        <v>339.49697153894937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240.38461538461539</v>
      </c>
      <c r="EH68" s="13">
        <f>VLOOKUP(A68,'Données projet'!$A$191:$I$211,9,0)</f>
        <v>5.1282051282051331</v>
      </c>
      <c r="EI68" s="13">
        <f t="array" ref="EI68">INDEX(EH:EH,MIN(IF(ISNUMBER(EH68:EH264),ROW(EH68:EH264),"")))</f>
        <v>5.1282051282051331</v>
      </c>
      <c r="EJ68" s="13">
        <f>IF('Données projet'!$A$192&gt;35,EJ67+EI68-ER67,IF(A68&lt;'Données projet'!$A$192,$EG$205^A68,IF(A68='Données projet'!$A$192,'Données projet'!$B$192,EJ67+EI68-ER67)))</f>
        <v>240.38461538461544</v>
      </c>
      <c r="EK68" s="18">
        <f>EJ68*VLOOKUP('Données projet'!$B$15,Paramètres!$A$1:$I$89,3,0)*VLOOKUP('Données projet'!$B$15,Paramètres!$A$1:$I$89,5,0)</f>
        <v>161.25000000000006</v>
      </c>
      <c r="EL68" s="14">
        <f t="shared" si="45"/>
        <v>41.124328571986439</v>
      </c>
      <c r="EM68" s="22">
        <f t="shared" ref="EM68:EM131" si="73">(EK68+EL68)*0.475*44/12</f>
        <v>352.46862226287652</v>
      </c>
      <c r="EN68" s="62">
        <f t="shared" ref="EN68:EN131" si="74">EM68+(EE68+EF68)*44/12</f>
        <v>645.80195559620984</v>
      </c>
      <c r="EO68" s="62">
        <f ca="1">AVERAGE(OFFSET($EN$3,0,0,'Données projet'!$E$15+1,1))-AVERAGE(OFFSET($H$3,0,0,'Données projet'!$E$15+1,1))</f>
        <v>312.06797204903796</v>
      </c>
      <c r="EP68" s="62">
        <f t="shared" si="46"/>
        <v>258.20189001775151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229</v>
      </c>
      <c r="FC68" s="13">
        <f>VLOOKUP(A68,'Données projet'!$A$217:$I$237,9,0)</f>
        <v>7.2</v>
      </c>
      <c r="FD68" s="13">
        <f t="array" ref="FD68">INDEX(FC:FC,MIN(IF(ISNUMBER(FC68:FC264),ROW(FC68:FC264),"")))</f>
        <v>7.2</v>
      </c>
      <c r="FE68" s="13">
        <f>IF('Données projet'!$A$218&gt;35,FE67+FD68-FM67,IF(A68&lt;'Données projet'!$A$218,$FB$205^A68,IF(A68='Données projet'!$A$218,'Données projet'!$B$218,FE67+FD68-FM67)))</f>
        <v>228.99999999999991</v>
      </c>
      <c r="FF68" s="18">
        <f>FE68*VLOOKUP('Données projet'!$B$16,Paramètres!$A$1:$I$89,3,0)*VLOOKUP('Données projet'!$B$16,Paramètres!$A$1:$I$89,5,0)</f>
        <v>221.48879999999991</v>
      </c>
      <c r="FG68" s="14">
        <f t="shared" si="47"/>
        <v>54.43834191952984</v>
      </c>
      <c r="FH68" s="22">
        <f t="shared" ref="FH68:FH131" si="76">(FF68+FG68)*0.475*44/12</f>
        <v>480.57310550984766</v>
      </c>
      <c r="FI68" s="62">
        <f t="shared" ref="FI68:FI131" si="77">FH68+(EZ68+FA68)*44/12</f>
        <v>773.90643884318092</v>
      </c>
      <c r="FJ68" s="62">
        <f ca="1">AVERAGE(OFFSET($FI$3,0,0,'Données projet'!$E$16+1,1))-AVERAGE(OFFSET($H$3,0,0,'Données projet'!$E$16+1,1))</f>
        <v>455.50822833641354</v>
      </c>
      <c r="FK68" s="62">
        <f t="shared" si="48"/>
        <v>261.14722581688039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13.373076923076932</v>
      </c>
      <c r="N69" s="14">
        <f>IF('Données projet'!$A$36&gt;35,N68+M69-V68,IF(A69&lt;'Données projet'!$A$36,$K$205^A69,IF(A69='Données projet'!$A$36,'Données projet'!$B$36,N68+M69-V68)))</f>
        <v>416.1115384615386</v>
      </c>
      <c r="O69" s="14">
        <f>N69*VLOOKUP('Données projet'!$B$9,Paramètres!$A$1:$I$89,3,0)*VLOOKUP('Données projet'!$B$9,Paramètres!$A$1:$I$89,5,0)</f>
        <v>232.60635000000008</v>
      </c>
      <c r="P69" s="14">
        <f t="shared" ref="P69:P132" si="87">EXP(-1.0587+0.8836*LN(O69)+0.284)</f>
        <v>56.845865220702599</v>
      </c>
      <c r="Q69" s="22">
        <f t="shared" si="54"/>
        <v>504.12927484272382</v>
      </c>
      <c r="R69" s="62">
        <f t="shared" si="55"/>
        <v>797.46260817605707</v>
      </c>
      <c r="S69" s="62">
        <f ca="1">AVERAGE(OFFSET($R$3,0,0,'Données projet'!$E$9+1,1))-AVERAGE(OFFSET($H$3,0,0,'Données projet'!$E$9+1,1))</f>
        <v>323.98185264074681</v>
      </c>
      <c r="T69" s="62">
        <f t="shared" ref="T69:T132" si="88">$T$3</f>
        <v>301.22207291854005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2.1874088141884802</v>
      </c>
      <c r="AA69" s="23">
        <f>EXP(-LN(2)/25)*AA68+(1-EXP(-LN(2)/25))/(LN(2)/25)*Calculateur!V69*Calculateur!X69*VLOOKUP('Données projet'!$B$9,Paramètres!$A$1:$I$89,3,0)*0.475*44/12</f>
        <v>3.0396849966556903</v>
      </c>
      <c r="AB69" s="23">
        <f>EXP(-LN(2)/2)*AB68+(1-EXP(-LN(2)/2))/(LN(2)/2)*V69*Y69*VLOOKUP('Données projet'!$B$9,Paramètres!$A$1:$I$89,3,0)*0.475*44/12</f>
        <v>2.3223141401741107E-5</v>
      </c>
      <c r="AC69" s="24">
        <f t="shared" si="57"/>
        <v>5.2271170339855724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392.7923076923077</v>
      </c>
      <c r="AG69" s="13">
        <f>VLOOKUP(A69,'Données projet'!$A$61:$I$81,9,0)</f>
        <v>13.95192307692308</v>
      </c>
      <c r="AH69" s="13">
        <f t="array" ref="AH69">INDEX(AG:AG,MIN(IF(ISNUMBER(AG69:AG265),ROW(AG69:AG265),"")))</f>
        <v>13.95192307692308</v>
      </c>
      <c r="AI69" s="14">
        <f>IF('Données projet'!$A$62&gt;35,AI68+AH69-AQ68,IF(A69&lt;'Données projet'!$A$62,$AF$205^A69,IF(A69='Données projet'!$A$62,'Données projet'!$B$62,AI68+AH69-AQ68)))</f>
        <v>392.79230769230782</v>
      </c>
      <c r="AJ69" s="14">
        <f>AI69*VLOOKUP('Données projet'!$B$10,Paramètres!$A$1:$I$89,3,0)*VLOOKUP('Données projet'!$B$10,Paramètres!$A$1:$I$89,5,0)</f>
        <v>183.82680000000005</v>
      </c>
      <c r="AK69" s="14">
        <f t="shared" ref="AK69:AK132" si="89">EXP(-1.0587+0.8836*LN(AJ69)+0.284)</f>
        <v>46.172533448719456</v>
      </c>
      <c r="AL69" s="22">
        <f t="shared" si="58"/>
        <v>400.58217242318642</v>
      </c>
      <c r="AM69" s="62">
        <f t="shared" si="59"/>
        <v>693.91550575651968</v>
      </c>
      <c r="AN69" s="62">
        <f ca="1">AVERAGE(OFFSET($AM$3,0,0,'Données projet'!$E$10+1,1))-AVERAGE(OFFSET($H$3,0,0,'Données projet'!$E$10+1,1))</f>
        <v>276.78862011733338</v>
      </c>
      <c r="AO69" s="62">
        <f t="shared" ref="AO69:AO132" si="90">$AO$3</f>
        <v>202.1678469635836</v>
      </c>
      <c r="AP69" s="16">
        <f>IF(ISNA(VLOOKUP(A69,'Données projet'!$A$61:$I$81,3,0)),0,VLOOKUP(A69,'Données projet'!$A$61:$I$81,3,0))</f>
        <v>4</v>
      </c>
      <c r="AQ69" s="16">
        <f>IF(ISNA(VLOOKUP(A69,'Données projet'!$A$61:$I$81,4,0)),0,VLOOKUP(A69,'Données projet'!$A$61:$I$81,4,0))</f>
        <v>79.169230769230765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213.35183999999992</v>
      </c>
      <c r="BF69" s="14">
        <f t="shared" ref="BF69:BF132" si="91">EXP(-1.0587+0.8836*LN(BE69)+0.284)</f>
        <v>52.667370665417188</v>
      </c>
      <c r="BG69" s="22">
        <f t="shared" si="61"/>
        <v>463.31679190893482</v>
      </c>
      <c r="BH69" s="62">
        <f t="shared" si="62"/>
        <v>756.65012524226813</v>
      </c>
      <c r="BI69" s="62">
        <f ca="1">AVERAGE(OFFSET($BH$3,0,0,'Données projet'!$E$11+1,1))-AVERAGE(OFFSET($H$3,0,0,'Données projet'!$E$11+1,1))</f>
        <v>428.8489304403459</v>
      </c>
      <c r="BJ69" s="62">
        <f t="shared" ref="BJ69:BJ132" si="92">$BJ$3</f>
        <v>247.01165577562966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9.1830769230769249</v>
      </c>
      <c r="BY69" s="13">
        <f>IF('Données projet'!$A$114&gt;35,BY68+BX69-CG68,IF(A69&lt;'Données projet'!$A$114,$BV$205^A69,IF(A69='Données projet'!$A$114,'Données projet'!$B$114,BY68+BX69-CG68)))</f>
        <v>343.25999999999988</v>
      </c>
      <c r="BZ69" s="14">
        <f>BY69*VLOOKUP('Données projet'!$B$12,Paramètres!$A$1:$I$89,3,0)*VLOOKUP('Données projet'!$B$12,Paramètres!$A$1:$I$89,5,0)</f>
        <v>205.26947999999996</v>
      </c>
      <c r="CA69" s="14">
        <f t="shared" ref="CA69:CA132" si="93">EXP(-1.0587+0.8836*LN(BZ69)+0.284)</f>
        <v>50.900481301079942</v>
      </c>
      <c r="CB69" s="22">
        <f t="shared" si="64"/>
        <v>446.16268259938084</v>
      </c>
      <c r="CC69" s="62">
        <f t="shared" si="65"/>
        <v>739.49601593271416</v>
      </c>
      <c r="CD69" s="62">
        <f ca="1">AVERAGE(OFFSET($CC$3,0,0,'Données projet'!$E$12+1,1))-AVERAGE(OFFSET($H$3,0,0,'Données projet'!$E$12+1,1))</f>
        <v>289.12367833861299</v>
      </c>
      <c r="CE69" s="62">
        <f t="shared" ref="CE69:CE132" si="94">$CE$3</f>
        <v>229.06617320689003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1.5818920433141516E-5</v>
      </c>
      <c r="CN69" s="24">
        <f t="shared" si="66"/>
        <v>1.5818920433141516E-5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4.5</v>
      </c>
      <c r="CT69" s="13">
        <f>IF('Données projet'!$A$140&gt;35,CT68+CS69-DB68,IF(A69&lt;'Données projet'!$A$140,$CQ$205^A69,IF(A69='Données projet'!$A$140,'Données projet'!$B$140,CT68+CS69-DB68)))</f>
        <v>310.49999999999989</v>
      </c>
      <c r="CU69" s="18">
        <f>CT69*VLOOKUP('Données projet'!$B$13,Paramètres!$A$1:$I$89,3,0)*VLOOKUP('Données projet'!$B$13,Paramètres!$A$1:$I$89,5,0)</f>
        <v>247.0337999999999</v>
      </c>
      <c r="CV69" s="14">
        <f t="shared" ref="CV69:CV132" si="95">EXP(-1.0587+0.8836*LN(CU69)+0.284)</f>
        <v>59.950333213989722</v>
      </c>
      <c r="CW69" s="22">
        <f t="shared" si="67"/>
        <v>534.66403201436515</v>
      </c>
      <c r="CX69" s="62">
        <f t="shared" si="68"/>
        <v>827.99736534769841</v>
      </c>
      <c r="CY69" s="62">
        <f ca="1">AVERAGE(OFFSET($CX$3,0,0,'Données projet'!$E$13+1,1))-AVERAGE(OFFSET($H$3,0,0,'Données projet'!$E$13+1,1))</f>
        <v>370.59298168107364</v>
      </c>
      <c r="CZ69" s="62">
        <f t="shared" ref="CZ69:CZ132" si="96">$CZ$3</f>
        <v>404.61777090709171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4.5999999999999996</v>
      </c>
      <c r="DO69" s="13">
        <f>IF('Données projet'!$A$166&gt;35,DO68+DN69-DW68,IF(A69&lt;'Données projet'!$A$166,$DL$205^A69,IF(A69='Données projet'!$A$166,'Données projet'!$B$166,DO68+DN69-DW68)))</f>
        <v>218.59999999999994</v>
      </c>
      <c r="DP69" s="18">
        <f>DO69*VLOOKUP('Données projet'!$B$14,Paramètres!$A$1:$I$89,3,0)*VLOOKUP('Données projet'!$B$14,Paramètres!$A$1:$I$89,5,0)</f>
        <v>190.96895999999998</v>
      </c>
      <c r="DQ69" s="14">
        <f t="shared" ref="DQ69:DQ132" si="97">EXP(-1.0587+0.8836*LN(DP69)+0.284)</f>
        <v>47.754112686935557</v>
      </c>
      <c r="DR69" s="22">
        <f t="shared" si="70"/>
        <v>415.77601826307938</v>
      </c>
      <c r="DS69" s="62">
        <f t="shared" si="71"/>
        <v>709.10935159641269</v>
      </c>
      <c r="DT69" s="62">
        <f ca="1">AVERAGE(OFFSET($DS$3,0,0,'Données projet'!$E$14+1,1))-AVERAGE(OFFSET($H$3,0,0,'Données projet'!$E$14+1,1))</f>
        <v>341.65872153228599</v>
      </c>
      <c r="DU69" s="62">
        <f t="shared" ref="DU69:DU132" si="98">$DU$3</f>
        <v>339.49697153894937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4.9999999999999947</v>
      </c>
      <c r="EJ69" s="13">
        <f>IF('Données projet'!$A$192&gt;35,EJ68+EI69-ER68,IF(A69&lt;'Données projet'!$A$192,$EG$205^A69,IF(A69='Données projet'!$A$192,'Données projet'!$B$192,EJ68+EI69-ER68)))</f>
        <v>245.38461538461544</v>
      </c>
      <c r="EK69" s="18">
        <f>EJ69*VLOOKUP('Données projet'!$B$15,Paramètres!$A$1:$I$89,3,0)*VLOOKUP('Données projet'!$B$15,Paramètres!$A$1:$I$89,5,0)</f>
        <v>164.60400000000004</v>
      </c>
      <c r="EL69" s="14">
        <f t="shared" ref="EL69:EL132" si="99">EXP(-1.0587+0.8836*LN(EK69)+0.284)</f>
        <v>41.879239712742802</v>
      </c>
      <c r="EM69" s="22">
        <f t="shared" si="73"/>
        <v>359.62497583302707</v>
      </c>
      <c r="EN69" s="62">
        <f t="shared" si="74"/>
        <v>652.95830916636032</v>
      </c>
      <c r="EO69" s="62">
        <f ca="1">AVERAGE(OFFSET($EN$3,0,0,'Données projet'!$E$15+1,1))-AVERAGE(OFFSET($H$3,0,0,'Données projet'!$E$15+1,1))</f>
        <v>312.06797204903796</v>
      </c>
      <c r="EP69" s="62">
        <f t="shared" ref="EP69:EP132" si="100">$EP$3</f>
        <v>258.20189001775151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6.8</v>
      </c>
      <c r="FE69" s="13">
        <f>IF('Données projet'!$A$218&gt;35,FE68+FD69-FM68,IF(A69&lt;'Données projet'!$A$218,$FB$205^A69,IF(A69='Données projet'!$A$218,'Données projet'!$B$218,FE68+FD69-FM68)))</f>
        <v>235.79999999999993</v>
      </c>
      <c r="FF69" s="18">
        <f>FE69*VLOOKUP('Données projet'!$B$16,Paramètres!$A$1:$I$89,3,0)*VLOOKUP('Données projet'!$B$16,Paramètres!$A$1:$I$89,5,0)</f>
        <v>228.06575999999993</v>
      </c>
      <c r="FG69" s="14">
        <f t="shared" ref="FG69:FG132" si="101">EXP(-1.0587+0.8836*LN(FF69)+0.284)</f>
        <v>55.864248276798108</v>
      </c>
      <c r="FH69" s="22">
        <f t="shared" si="76"/>
        <v>494.51143108208981</v>
      </c>
      <c r="FI69" s="62">
        <f t="shared" si="77"/>
        <v>787.84476441542313</v>
      </c>
      <c r="FJ69" s="62">
        <f ca="1">AVERAGE(OFFSET($FI$3,0,0,'Données projet'!$E$16+1,1))-AVERAGE(OFFSET($H$3,0,0,'Données projet'!$E$16+1,1))</f>
        <v>455.50822833641354</v>
      </c>
      <c r="FK69" s="62">
        <f t="shared" ref="FK69:FK132" si="102">$FK$3</f>
        <v>261.14722581688039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13.373076923076932</v>
      </c>
      <c r="N70" s="14">
        <f>IF('Données projet'!$A$36&gt;35,N69+M70-V69,IF(A70&lt;'Données projet'!$A$36,$K$205^A70,IF(A70='Données projet'!$A$36,'Données projet'!$B$36,N69+M70-V69)))</f>
        <v>429.48461538461555</v>
      </c>
      <c r="O70" s="14">
        <f>N70*VLOOKUP('Données projet'!$B$9,Paramètres!$A$1:$I$89,3,0)*VLOOKUP('Données projet'!$B$9,Paramètres!$A$1:$I$89,5,0)</f>
        <v>240.0819000000001</v>
      </c>
      <c r="P70" s="14">
        <f t="shared" si="87"/>
        <v>58.457151316256045</v>
      </c>
      <c r="Q70" s="22">
        <f t="shared" si="54"/>
        <v>519.95551437581287</v>
      </c>
      <c r="R70" s="62">
        <f t="shared" si="55"/>
        <v>813.28884770914624</v>
      </c>
      <c r="S70" s="62">
        <f ca="1">AVERAGE(OFFSET($R$3,0,0,'Données projet'!$E$9+1,1))-AVERAGE(OFFSET($H$3,0,0,'Données projet'!$E$9+1,1))</f>
        <v>323.98185264074681</v>
      </c>
      <c r="T70" s="62">
        <f t="shared" si="88"/>
        <v>301.22207291854005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2.1445150615298805</v>
      </c>
      <c r="AA70" s="23">
        <f>EXP(-LN(2)/25)*AA69+(1-EXP(-LN(2)/25))/(LN(2)/25)*Calculateur!V70*Calculateur!X70*VLOOKUP('Données projet'!$B$9,Paramètres!$A$1:$I$89,3,0)*0.475*44/12</f>
        <v>2.9565646505720538</v>
      </c>
      <c r="AB70" s="23">
        <f>EXP(-LN(2)/2)*AB69+(1-EXP(-LN(2)/2))/(LN(2)/2)*V70*Y70*VLOOKUP('Données projet'!$B$9,Paramètres!$A$1:$I$89,3,0)*0.475*44/12</f>
        <v>1.6421240765625201E-5</v>
      </c>
      <c r="AC70" s="24">
        <f t="shared" si="57"/>
        <v>5.1010961333426996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12.859999999999991</v>
      </c>
      <c r="AI70" s="14">
        <f>IF('Données projet'!$A$62&gt;35,AI69+AH70-AQ69,IF(A70&lt;'Données projet'!$A$62,$AF$205^A70,IF(A70='Données projet'!$A$62,'Données projet'!$B$62,AI69+AH70-AQ69)))</f>
        <v>326.48307692307708</v>
      </c>
      <c r="AJ70" s="14">
        <f>AI70*VLOOKUP('Données projet'!$B$10,Paramètres!$A$1:$I$89,3,0)*VLOOKUP('Données projet'!$B$10,Paramètres!$A$1:$I$89,5,0)</f>
        <v>152.79408000000009</v>
      </c>
      <c r="AK70" s="14">
        <f t="shared" si="89"/>
        <v>39.212866684997827</v>
      </c>
      <c r="AL70" s="22">
        <f t="shared" si="58"/>
        <v>334.41209880970473</v>
      </c>
      <c r="AM70" s="62">
        <f t="shared" si="59"/>
        <v>627.74543214303799</v>
      </c>
      <c r="AN70" s="62">
        <f ca="1">AVERAGE(OFFSET($AM$3,0,0,'Données projet'!$E$10+1,1))-AVERAGE(OFFSET($H$3,0,0,'Données projet'!$E$10+1,1))</f>
        <v>276.78862011733338</v>
      </c>
      <c r="AO70" s="62">
        <f t="shared" si="90"/>
        <v>202.1678469635836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219.50447999999992</v>
      </c>
      <c r="BF70" s="14">
        <f t="shared" si="91"/>
        <v>54.007172767040167</v>
      </c>
      <c r="BG70" s="22">
        <f t="shared" si="61"/>
        <v>476.36612856926143</v>
      </c>
      <c r="BH70" s="62">
        <f t="shared" si="62"/>
        <v>769.69946190259475</v>
      </c>
      <c r="BI70" s="62">
        <f ca="1">AVERAGE(OFFSET($BH$3,0,0,'Données projet'!$E$11+1,1))-AVERAGE(OFFSET($H$3,0,0,'Données projet'!$E$11+1,1))</f>
        <v>428.8489304403459</v>
      </c>
      <c r="BJ70" s="62">
        <f t="shared" si="92"/>
        <v>247.01165577562966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9.1830769230769249</v>
      </c>
      <c r="BY70" s="13">
        <f>IF('Données projet'!$A$114&gt;35,BY69+BX70-CG69,IF(A70&lt;'Données projet'!$A$114,$BV$205^A70,IF(A70='Données projet'!$A$114,'Données projet'!$B$114,BY69+BX70-CG69)))</f>
        <v>352.44307692307677</v>
      </c>
      <c r="BZ70" s="14">
        <f>BY70*VLOOKUP('Données projet'!$B$12,Paramètres!$A$1:$I$89,3,0)*VLOOKUP('Données projet'!$B$12,Paramètres!$A$1:$I$89,5,0)</f>
        <v>210.76095999999993</v>
      </c>
      <c r="CA70" s="14">
        <f t="shared" si="93"/>
        <v>52.101839581538208</v>
      </c>
      <c r="CB70" s="22">
        <f t="shared" si="64"/>
        <v>457.81937593784551</v>
      </c>
      <c r="CC70" s="62">
        <f t="shared" si="65"/>
        <v>751.15270927117876</v>
      </c>
      <c r="CD70" s="62">
        <f ca="1">AVERAGE(OFFSET($CC$3,0,0,'Données projet'!$E$12+1,1))-AVERAGE(OFFSET($H$3,0,0,'Données projet'!$E$12+1,1))</f>
        <v>289.12367833861299</v>
      </c>
      <c r="CE70" s="62">
        <f t="shared" si="94"/>
        <v>229.06617320689003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1.1185665909324803E-5</v>
      </c>
      <c r="CN70" s="24">
        <f t="shared" si="66"/>
        <v>1.1185665909324803E-5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4.5</v>
      </c>
      <c r="CT70" s="13">
        <f>IF('Données projet'!$A$140&gt;35,CT69+CS70-DB69,IF(A70&lt;'Données projet'!$A$140,$CQ$205^A70,IF(A70='Données projet'!$A$140,'Données projet'!$B$140,CT69+CS70-DB69)))</f>
        <v>314.99999999999989</v>
      </c>
      <c r="CU70" s="18">
        <f>CT70*VLOOKUP('Données projet'!$B$13,Paramètres!$A$1:$I$89,3,0)*VLOOKUP('Données projet'!$B$13,Paramètres!$A$1:$I$89,5,0)</f>
        <v>250.61399999999992</v>
      </c>
      <c r="CV70" s="14">
        <f t="shared" si="95"/>
        <v>60.717400934916043</v>
      </c>
      <c r="CW70" s="22">
        <f t="shared" si="67"/>
        <v>542.23552329497863</v>
      </c>
      <c r="CX70" s="62">
        <f t="shared" si="68"/>
        <v>835.56885662831201</v>
      </c>
      <c r="CY70" s="62">
        <f ca="1">AVERAGE(OFFSET($CX$3,0,0,'Données projet'!$E$13+1,1))-AVERAGE(OFFSET($H$3,0,0,'Données projet'!$E$13+1,1))</f>
        <v>370.59298168107364</v>
      </c>
      <c r="CZ70" s="62">
        <f t="shared" si="96"/>
        <v>404.61777090709171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4.5999999999999996</v>
      </c>
      <c r="DO70" s="13">
        <f>IF('Données projet'!$A$166&gt;35,DO69+DN70-DW69,IF(A70&lt;'Données projet'!$A$166,$DL$205^A70,IF(A70='Données projet'!$A$166,'Données projet'!$B$166,DO69+DN70-DW69)))</f>
        <v>223.19999999999993</v>
      </c>
      <c r="DP70" s="18">
        <f>DO70*VLOOKUP('Données projet'!$B$14,Paramètres!$A$1:$I$89,3,0)*VLOOKUP('Données projet'!$B$14,Paramètres!$A$1:$I$89,5,0)</f>
        <v>194.98751999999996</v>
      </c>
      <c r="DQ70" s="14">
        <f t="shared" si="97"/>
        <v>48.640954330020342</v>
      </c>
      <c r="DR70" s="22">
        <f t="shared" si="70"/>
        <v>424.31959279145207</v>
      </c>
      <c r="DS70" s="62">
        <f t="shared" si="71"/>
        <v>717.65292612478538</v>
      </c>
      <c r="DT70" s="62">
        <f ca="1">AVERAGE(OFFSET($DS$3,0,0,'Données projet'!$E$14+1,1))-AVERAGE(OFFSET($H$3,0,0,'Données projet'!$E$14+1,1))</f>
        <v>341.65872153228599</v>
      </c>
      <c r="DU70" s="62">
        <f t="shared" si="98"/>
        <v>339.49697153894937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4.9999999999999947</v>
      </c>
      <c r="EJ70" s="13">
        <f>IF('Données projet'!$A$192&gt;35,EJ69+EI70-ER69,IF(A70&lt;'Données projet'!$A$192,$EG$205^A70,IF(A70='Données projet'!$A$192,'Données projet'!$B$192,EJ69+EI70-ER69)))</f>
        <v>250.38461538461544</v>
      </c>
      <c r="EK70" s="18">
        <f>EJ70*VLOOKUP('Données projet'!$B$15,Paramètres!$A$1:$I$89,3,0)*VLOOKUP('Données projet'!$B$15,Paramètres!$A$1:$I$89,5,0)</f>
        <v>167.95800000000006</v>
      </c>
      <c r="EL70" s="14">
        <f t="shared" si="99"/>
        <v>42.632362356023975</v>
      </c>
      <c r="EM70" s="22">
        <f t="shared" si="73"/>
        <v>366.77821443674179</v>
      </c>
      <c r="EN70" s="62">
        <f t="shared" si="74"/>
        <v>660.11154777007505</v>
      </c>
      <c r="EO70" s="62">
        <f ca="1">AVERAGE(OFFSET($EN$3,0,0,'Données projet'!$E$15+1,1))-AVERAGE(OFFSET($H$3,0,0,'Données projet'!$E$15+1,1))</f>
        <v>312.06797204903796</v>
      </c>
      <c r="EP70" s="62">
        <f t="shared" si="100"/>
        <v>258.20189001775151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6.8</v>
      </c>
      <c r="FE70" s="13">
        <f>IF('Données projet'!$A$218&gt;35,FE69+FD70-FM69,IF(A70&lt;'Données projet'!$A$218,$FB$205^A70,IF(A70='Données projet'!$A$218,'Données projet'!$B$218,FE69+FD70-FM69)))</f>
        <v>242.59999999999994</v>
      </c>
      <c r="FF70" s="18">
        <f>FE70*VLOOKUP('Données projet'!$B$16,Paramètres!$A$1:$I$89,3,0)*VLOOKUP('Données projet'!$B$16,Paramètres!$A$1:$I$89,5,0)</f>
        <v>234.64271999999994</v>
      </c>
      <c r="FG70" s="14">
        <f t="shared" si="101"/>
        <v>57.285375557336316</v>
      </c>
      <c r="FH70" s="22">
        <f t="shared" si="76"/>
        <v>508.44143309569387</v>
      </c>
      <c r="FI70" s="62">
        <f t="shared" si="77"/>
        <v>801.77476642902718</v>
      </c>
      <c r="FJ70" s="62">
        <f ca="1">AVERAGE(OFFSET($FI$3,0,0,'Données projet'!$E$16+1,1))-AVERAGE(OFFSET($H$3,0,0,'Données projet'!$E$16+1,1))</f>
        <v>455.50822833641354</v>
      </c>
      <c r="FK70" s="62">
        <f t="shared" si="102"/>
        <v>261.14722581688039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13.373076923076932</v>
      </c>
      <c r="N71" s="14">
        <f>IF('Données projet'!$A$36&gt;35,N70+M71-V70,IF(A71&lt;'Données projet'!$A$36,$K$205^A71,IF(A71='Données projet'!$A$36,'Données projet'!$B$36,N70+M71-V70)))</f>
        <v>442.8576923076925</v>
      </c>
      <c r="O71" s="14">
        <f>N71*VLOOKUP('Données projet'!$B$9,Paramètres!$A$1:$I$89,3,0)*VLOOKUP('Données projet'!$B$9,Paramètres!$A$1:$I$89,5,0)</f>
        <v>247.5574500000001</v>
      </c>
      <c r="P71" s="14">
        <f t="shared" si="87"/>
        <v>60.062607033562486</v>
      </c>
      <c r="Q71" s="22">
        <f t="shared" si="54"/>
        <v>535.7715993334549</v>
      </c>
      <c r="R71" s="62">
        <f t="shared" si="55"/>
        <v>829.10493266678827</v>
      </c>
      <c r="S71" s="62">
        <f ca="1">AVERAGE(OFFSET($R$3,0,0,'Données projet'!$E$9+1,1))-AVERAGE(OFFSET($H$3,0,0,'Données projet'!$E$9+1,1))</f>
        <v>323.98185264074681</v>
      </c>
      <c r="T71" s="62">
        <f t="shared" si="88"/>
        <v>301.22207291854005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2.1024624291983103</v>
      </c>
      <c r="AA71" s="23">
        <f>EXP(-LN(2)/25)*AA70+(1-EXP(-LN(2)/25))/(LN(2)/25)*Calculateur!V71*Calculateur!X71*VLOOKUP('Données projet'!$B$9,Paramètres!$A$1:$I$89,3,0)*0.475*44/12</f>
        <v>2.8757172347231834</v>
      </c>
      <c r="AB71" s="23">
        <f>EXP(-LN(2)/2)*AB70+(1-EXP(-LN(2)/2))/(LN(2)/2)*V71*Y71*VLOOKUP('Données projet'!$B$9,Paramètres!$A$1:$I$89,3,0)*0.475*44/12</f>
        <v>1.1611570700870553E-5</v>
      </c>
      <c r="AC71" s="24">
        <f t="shared" si="57"/>
        <v>4.9781912754921942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12.859999999999991</v>
      </c>
      <c r="AI71" s="14">
        <f>IF('Données projet'!$A$62&gt;35,AI70+AH71-AQ70,IF(A71&lt;'Données projet'!$A$62,$AF$205^A71,IF(A71='Données projet'!$A$62,'Données projet'!$B$62,AI70+AH71-AQ70)))</f>
        <v>339.34307692307709</v>
      </c>
      <c r="AJ71" s="14">
        <f>AI71*VLOOKUP('Données projet'!$B$10,Paramètres!$A$1:$I$89,3,0)*VLOOKUP('Données projet'!$B$10,Paramètres!$A$1:$I$89,5,0)</f>
        <v>158.81256000000008</v>
      </c>
      <c r="AK71" s="14">
        <f t="shared" si="89"/>
        <v>40.574568995063167</v>
      </c>
      <c r="AL71" s="22">
        <f t="shared" si="58"/>
        <v>347.26591633306845</v>
      </c>
      <c r="AM71" s="62">
        <f t="shared" si="59"/>
        <v>640.59924966640176</v>
      </c>
      <c r="AN71" s="62">
        <f ca="1">AVERAGE(OFFSET($AM$3,0,0,'Données projet'!$E$10+1,1))-AVERAGE(OFFSET($H$3,0,0,'Données projet'!$E$10+1,1))</f>
        <v>276.78862011733338</v>
      </c>
      <c r="AO71" s="62">
        <f t="shared" si="90"/>
        <v>202.1678469635836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225.65711999999994</v>
      </c>
      <c r="BF71" s="14">
        <f t="shared" si="91"/>
        <v>55.342610076561513</v>
      </c>
      <c r="BG71" s="22">
        <f t="shared" si="61"/>
        <v>489.40786321667775</v>
      </c>
      <c r="BH71" s="62">
        <f t="shared" si="62"/>
        <v>782.74119655001107</v>
      </c>
      <c r="BI71" s="62">
        <f ca="1">AVERAGE(OFFSET($BH$3,0,0,'Données projet'!$E$11+1,1))-AVERAGE(OFFSET($H$3,0,0,'Données projet'!$E$11+1,1))</f>
        <v>428.8489304403459</v>
      </c>
      <c r="BJ71" s="62">
        <f t="shared" si="92"/>
        <v>247.01165577562966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9.1830769230769249</v>
      </c>
      <c r="BY71" s="13">
        <f>IF('Données projet'!$A$114&gt;35,BY70+BX71-CG70,IF(A71&lt;'Données projet'!$A$114,$BV$205^A71,IF(A71='Données projet'!$A$114,'Données projet'!$B$114,BY70+BX71-CG70)))</f>
        <v>361.62615384615367</v>
      </c>
      <c r="BZ71" s="14">
        <f>BY71*VLOOKUP('Données projet'!$B$12,Paramètres!$A$1:$I$89,3,0)*VLOOKUP('Données projet'!$B$12,Paramètres!$A$1:$I$89,5,0)</f>
        <v>216.25243999999989</v>
      </c>
      <c r="CA71" s="14">
        <f t="shared" si="93"/>
        <v>53.299559396285737</v>
      </c>
      <c r="CB71" s="22">
        <f t="shared" si="64"/>
        <v>469.46973228186403</v>
      </c>
      <c r="CC71" s="62">
        <f t="shared" si="65"/>
        <v>762.80306561519728</v>
      </c>
      <c r="CD71" s="62">
        <f ca="1">AVERAGE(OFFSET($CC$3,0,0,'Données projet'!$E$12+1,1))-AVERAGE(OFFSET($H$3,0,0,'Données projet'!$E$12+1,1))</f>
        <v>289.12367833861299</v>
      </c>
      <c r="CE71" s="62">
        <f t="shared" si="94"/>
        <v>229.06617320689003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7.9094602165707578E-6</v>
      </c>
      <c r="CN71" s="24">
        <f t="shared" si="66"/>
        <v>7.9094602165707578E-6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4.5</v>
      </c>
      <c r="CT71" s="13">
        <f>IF('Données projet'!$A$140&gt;35,CT70+CS71-DB70,IF(A71&lt;'Données projet'!$A$140,$CQ$205^A71,IF(A71='Données projet'!$A$140,'Données projet'!$B$140,CT70+CS71-DB70)))</f>
        <v>319.49999999999989</v>
      </c>
      <c r="CU71" s="18">
        <f>CT71*VLOOKUP('Données projet'!$B$13,Paramètres!$A$1:$I$89,3,0)*VLOOKUP('Données projet'!$B$13,Paramètres!$A$1:$I$89,5,0)</f>
        <v>254.19419999999991</v>
      </c>
      <c r="CV71" s="14">
        <f t="shared" si="95"/>
        <v>61.483194145885243</v>
      </c>
      <c r="CW71" s="22">
        <f t="shared" si="67"/>
        <v>549.80479480408326</v>
      </c>
      <c r="CX71" s="62">
        <f t="shared" si="68"/>
        <v>843.13812813741652</v>
      </c>
      <c r="CY71" s="62">
        <f ca="1">AVERAGE(OFFSET($CX$3,0,0,'Données projet'!$E$13+1,1))-AVERAGE(OFFSET($H$3,0,0,'Données projet'!$E$13+1,1))</f>
        <v>370.59298168107364</v>
      </c>
      <c r="CZ71" s="62">
        <f t="shared" si="96"/>
        <v>404.61777090709171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4.5999999999999996</v>
      </c>
      <c r="DO71" s="13">
        <f>IF('Données projet'!$A$166&gt;35,DO70+DN71-DW70,IF(A71&lt;'Données projet'!$A$166,$DL$205^A71,IF(A71='Données projet'!$A$166,'Données projet'!$B$166,DO70+DN71-DW70)))</f>
        <v>227.79999999999993</v>
      </c>
      <c r="DP71" s="18">
        <f>DO71*VLOOKUP('Données projet'!$B$14,Paramètres!$A$1:$I$89,3,0)*VLOOKUP('Données projet'!$B$14,Paramètres!$A$1:$I$89,5,0)</f>
        <v>199.00607999999997</v>
      </c>
      <c r="DQ71" s="14">
        <f t="shared" si="97"/>
        <v>49.525670897515027</v>
      </c>
      <c r="DR71" s="22">
        <f t="shared" si="70"/>
        <v>432.85946614650521</v>
      </c>
      <c r="DS71" s="62">
        <f t="shared" si="71"/>
        <v>726.19279947983853</v>
      </c>
      <c r="DT71" s="62">
        <f ca="1">AVERAGE(OFFSET($DS$3,0,0,'Données projet'!$E$14+1,1))-AVERAGE(OFFSET($H$3,0,0,'Données projet'!$E$14+1,1))</f>
        <v>341.65872153228599</v>
      </c>
      <c r="DU71" s="62">
        <f t="shared" si="98"/>
        <v>339.49697153894937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4.9999999999999947</v>
      </c>
      <c r="EJ71" s="13">
        <f>IF('Données projet'!$A$192&gt;35,EJ70+EI71-ER70,IF(A71&lt;'Données projet'!$A$192,$EG$205^A71,IF(A71='Données projet'!$A$192,'Données projet'!$B$192,EJ70+EI71-ER70)))</f>
        <v>255.38461538461544</v>
      </c>
      <c r="EK71" s="18">
        <f>EJ71*VLOOKUP('Données projet'!$B$15,Paramètres!$A$1:$I$89,3,0)*VLOOKUP('Données projet'!$B$15,Paramètres!$A$1:$I$89,5,0)</f>
        <v>171.31200000000004</v>
      </c>
      <c r="EL71" s="14">
        <f t="shared" si="99"/>
        <v>43.383736333098376</v>
      </c>
      <c r="EM71" s="22">
        <f t="shared" si="73"/>
        <v>373.92840744681308</v>
      </c>
      <c r="EN71" s="62">
        <f t="shared" si="74"/>
        <v>667.2617407801464</v>
      </c>
      <c r="EO71" s="62">
        <f ca="1">AVERAGE(OFFSET($EN$3,0,0,'Données projet'!$E$15+1,1))-AVERAGE(OFFSET($H$3,0,0,'Données projet'!$E$15+1,1))</f>
        <v>312.06797204903796</v>
      </c>
      <c r="EP71" s="62">
        <f t="shared" si="100"/>
        <v>258.20189001775151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6.8</v>
      </c>
      <c r="FE71" s="13">
        <f>IF('Données projet'!$A$218&gt;35,FE70+FD71-FM70,IF(A71&lt;'Données projet'!$A$218,$FB$205^A71,IF(A71='Données projet'!$A$218,'Données projet'!$B$218,FE70+FD71-FM70)))</f>
        <v>249.39999999999995</v>
      </c>
      <c r="FF71" s="18">
        <f>FE71*VLOOKUP('Données projet'!$B$16,Paramètres!$A$1:$I$89,3,0)*VLOOKUP('Données projet'!$B$16,Paramètres!$A$1:$I$89,5,0)</f>
        <v>241.21967999999995</v>
      </c>
      <c r="FG71" s="14">
        <f t="shared" si="101"/>
        <v>58.701873105526744</v>
      </c>
      <c r="FH71" s="22">
        <f t="shared" si="76"/>
        <v>522.36337165879229</v>
      </c>
      <c r="FI71" s="62">
        <f t="shared" si="77"/>
        <v>815.69670499212566</v>
      </c>
      <c r="FJ71" s="62">
        <f ca="1">AVERAGE(OFFSET($FI$3,0,0,'Données projet'!$E$16+1,1))-AVERAGE(OFFSET($H$3,0,0,'Données projet'!$E$16+1,1))</f>
        <v>455.50822833641354</v>
      </c>
      <c r="FK71" s="62">
        <f t="shared" si="102"/>
        <v>261.14722581688039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456.23076923076923</v>
      </c>
      <c r="L72" s="13">
        <f>VLOOKUP(A72,'Données projet'!$A$35:$I$55,9,0)</f>
        <v>13.373076923076932</v>
      </c>
      <c r="M72" s="13">
        <f t="array" ref="M72">INDEX(L:L,MIN(IF(ISNUMBER(L72:L268),ROW(L72:L268),"")))</f>
        <v>13.373076923076932</v>
      </c>
      <c r="N72" s="14">
        <f>IF('Données projet'!$A$36&gt;35,N71+M72-V71,IF(A72&lt;'Données projet'!$A$36,$K$205^A72,IF(A72='Données projet'!$A$36,'Données projet'!$B$36,N71+M72-V71)))</f>
        <v>456.23076923076945</v>
      </c>
      <c r="O72" s="14">
        <f>N72*VLOOKUP('Données projet'!$B$9,Paramètres!$A$1:$I$89,3,0)*VLOOKUP('Données projet'!$B$9,Paramètres!$A$1:$I$89,5,0)</f>
        <v>255.03300000000013</v>
      </c>
      <c r="P72" s="14">
        <f t="shared" si="87"/>
        <v>61.662428642904949</v>
      </c>
      <c r="Q72" s="22">
        <f t="shared" si="54"/>
        <v>551.57787155305971</v>
      </c>
      <c r="R72" s="62">
        <f t="shared" si="55"/>
        <v>844.91120488639308</v>
      </c>
      <c r="S72" s="62">
        <f ca="1">AVERAGE(OFFSET($R$3,0,0,'Données projet'!$E$9+1,1))-AVERAGE(OFFSET($H$3,0,0,'Données projet'!$E$9+1,1))</f>
        <v>323.98185264074681</v>
      </c>
      <c r="T72" s="62">
        <f t="shared" si="88"/>
        <v>301.22207291854005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2.0612344233371891</v>
      </c>
      <c r="AA72" s="23">
        <f>EXP(-LN(2)/25)*AA71+(1-EXP(-LN(2)/25))/(LN(2)/25)*Calculateur!V72*Calculateur!X72*VLOOKUP('Données projet'!$B$9,Paramètres!$A$1:$I$89,3,0)*0.475*44/12</f>
        <v>2.7970805957122811</v>
      </c>
      <c r="AB72" s="23">
        <f>EXP(-LN(2)/2)*AB71+(1-EXP(-LN(2)/2))/(LN(2)/2)*V72*Y72*VLOOKUP('Données projet'!$B$9,Paramètres!$A$1:$I$89,3,0)*0.475*44/12</f>
        <v>8.2106203828126005E-6</v>
      </c>
      <c r="AC72" s="24">
        <f t="shared" si="57"/>
        <v>4.8583232296698533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12.859999999999991</v>
      </c>
      <c r="AI72" s="14">
        <f>IF('Données projet'!$A$62&gt;35,AI71+AH72-AQ71,IF(A72&lt;'Données projet'!$A$62,$AF$205^A72,IF(A72='Données projet'!$A$62,'Données projet'!$B$62,AI71+AH72-AQ71)))</f>
        <v>352.20307692307711</v>
      </c>
      <c r="AJ72" s="14">
        <f>AI72*VLOOKUP('Données projet'!$B$10,Paramètres!$A$1:$I$89,3,0)*VLOOKUP('Données projet'!$B$10,Paramètres!$A$1:$I$89,5,0)</f>
        <v>164.83104000000009</v>
      </c>
      <c r="AK72" s="14">
        <f t="shared" si="89"/>
        <v>41.930276301937283</v>
      </c>
      <c r="AL72" s="22">
        <f t="shared" si="58"/>
        <v>360.10929255920752</v>
      </c>
      <c r="AM72" s="62">
        <f t="shared" si="59"/>
        <v>653.44262589254083</v>
      </c>
      <c r="AN72" s="62">
        <f ca="1">AVERAGE(OFFSET($AM$3,0,0,'Données projet'!$E$10+1,1))-AVERAGE(OFFSET($H$3,0,0,'Données projet'!$E$10+1,1))</f>
        <v>276.78862011733338</v>
      </c>
      <c r="AO72" s="62">
        <f t="shared" si="90"/>
        <v>202.1678469635836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231.80975999999993</v>
      </c>
      <c r="BF72" s="14">
        <f t="shared" si="91"/>
        <v>56.673815277159328</v>
      </c>
      <c r="BG72" s="22">
        <f t="shared" si="61"/>
        <v>502.44222694105241</v>
      </c>
      <c r="BH72" s="62">
        <f t="shared" si="62"/>
        <v>795.77556027438573</v>
      </c>
      <c r="BI72" s="62">
        <f ca="1">AVERAGE(OFFSET($BH$3,0,0,'Données projet'!$E$11+1,1))-AVERAGE(OFFSET($H$3,0,0,'Données projet'!$E$11+1,1))</f>
        <v>428.8489304403459</v>
      </c>
      <c r="BJ72" s="62">
        <f t="shared" si="92"/>
        <v>247.01165577562966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9.1830769230769249</v>
      </c>
      <c r="BY72" s="13">
        <f>IF('Données projet'!$A$114&gt;35,BY71+BX72-CG71,IF(A72&lt;'Données projet'!$A$114,$BV$205^A72,IF(A72='Données projet'!$A$114,'Données projet'!$B$114,BY71+BX72-CG71)))</f>
        <v>370.80923076923057</v>
      </c>
      <c r="BZ72" s="14">
        <f>BY72*VLOOKUP('Données projet'!$B$12,Paramètres!$A$1:$I$89,3,0)*VLOOKUP('Données projet'!$B$12,Paramètres!$A$1:$I$89,5,0)</f>
        <v>221.74391999999989</v>
      </c>
      <c r="CA72" s="14">
        <f t="shared" si="93"/>
        <v>54.493743764780973</v>
      </c>
      <c r="CB72" s="22">
        <f t="shared" si="64"/>
        <v>481.11393105699329</v>
      </c>
      <c r="CC72" s="62">
        <f t="shared" si="65"/>
        <v>774.44726439032661</v>
      </c>
      <c r="CD72" s="62">
        <f ca="1">AVERAGE(OFFSET($CC$3,0,0,'Données projet'!$E$12+1,1))-AVERAGE(OFFSET($H$3,0,0,'Données projet'!$E$12+1,1))</f>
        <v>289.12367833861299</v>
      </c>
      <c r="CE72" s="62">
        <f t="shared" si="94"/>
        <v>229.06617320689003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5.5928329546624017E-6</v>
      </c>
      <c r="CN72" s="24">
        <f t="shared" si="66"/>
        <v>5.5928329546624017E-6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4.5</v>
      </c>
      <c r="CT72" s="13">
        <f>IF('Données projet'!$A$140&gt;35,CT71+CS72-DB71,IF(A72&lt;'Données projet'!$A$140,$CQ$205^A72,IF(A72='Données projet'!$A$140,'Données projet'!$B$140,CT71+CS72-DB71)))</f>
        <v>323.99999999999989</v>
      </c>
      <c r="CU72" s="18">
        <f>CT72*VLOOKUP('Données projet'!$B$13,Paramètres!$A$1:$I$89,3,0)*VLOOKUP('Données projet'!$B$13,Paramètres!$A$1:$I$89,5,0)</f>
        <v>257.77439999999996</v>
      </c>
      <c r="CV72" s="14">
        <f t="shared" si="95"/>
        <v>62.247732872134293</v>
      </c>
      <c r="CW72" s="22">
        <f t="shared" si="67"/>
        <v>557.37188141896718</v>
      </c>
      <c r="CX72" s="62">
        <f t="shared" si="68"/>
        <v>850.70521475230044</v>
      </c>
      <c r="CY72" s="62">
        <f ca="1">AVERAGE(OFFSET($CX$3,0,0,'Données projet'!$E$13+1,1))-AVERAGE(OFFSET($H$3,0,0,'Données projet'!$E$13+1,1))</f>
        <v>370.59298168107364</v>
      </c>
      <c r="CZ72" s="62">
        <f t="shared" si="96"/>
        <v>404.61777090709171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4.5999999999999996</v>
      </c>
      <c r="DO72" s="13">
        <f>IF('Données projet'!$A$166&gt;35,DO71+DN72-DW71,IF(A72&lt;'Données projet'!$A$166,$DL$205^A72,IF(A72='Données projet'!$A$166,'Données projet'!$B$166,DO71+DN72-DW71)))</f>
        <v>232.39999999999992</v>
      </c>
      <c r="DP72" s="18">
        <f>DO72*VLOOKUP('Données projet'!$B$14,Paramètres!$A$1:$I$89,3,0)*VLOOKUP('Données projet'!$B$14,Paramètres!$A$1:$I$89,5,0)</f>
        <v>203.02463999999998</v>
      </c>
      <c r="DQ72" s="14">
        <f t="shared" si="97"/>
        <v>50.408310246654189</v>
      </c>
      <c r="DR72" s="22">
        <f t="shared" si="70"/>
        <v>441.39572167958931</v>
      </c>
      <c r="DS72" s="62">
        <f t="shared" si="71"/>
        <v>734.72905501292257</v>
      </c>
      <c r="DT72" s="62">
        <f ca="1">AVERAGE(OFFSET($DS$3,0,0,'Données projet'!$E$14+1,1))-AVERAGE(OFFSET($H$3,0,0,'Données projet'!$E$14+1,1))</f>
        <v>341.65872153228599</v>
      </c>
      <c r="DU72" s="62">
        <f t="shared" si="98"/>
        <v>339.49697153894937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4.9999999999999947</v>
      </c>
      <c r="EJ72" s="13">
        <f>IF('Données projet'!$A$192&gt;35,EJ71+EI72-ER71,IF(A72&lt;'Données projet'!$A$192,$EG$205^A72,IF(A72='Données projet'!$A$192,'Données projet'!$B$192,EJ71+EI72-ER71)))</f>
        <v>260.38461538461542</v>
      </c>
      <c r="EK72" s="18">
        <f>EJ72*VLOOKUP('Données projet'!$B$15,Paramètres!$A$1:$I$89,3,0)*VLOOKUP('Données projet'!$B$15,Paramètres!$A$1:$I$89,5,0)</f>
        <v>174.66600000000003</v>
      </c>
      <c r="EL72" s="14">
        <f t="shared" si="99"/>
        <v>44.133399826367565</v>
      </c>
      <c r="EM72" s="22">
        <f t="shared" si="73"/>
        <v>381.0756213642569</v>
      </c>
      <c r="EN72" s="62">
        <f t="shared" si="74"/>
        <v>674.40895469759016</v>
      </c>
      <c r="EO72" s="62">
        <f ca="1">AVERAGE(OFFSET($EN$3,0,0,'Données projet'!$E$15+1,1))-AVERAGE(OFFSET($H$3,0,0,'Données projet'!$E$15+1,1))</f>
        <v>312.06797204903796</v>
      </c>
      <c r="EP72" s="62">
        <f t="shared" si="100"/>
        <v>258.20189001775151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6.8</v>
      </c>
      <c r="FE72" s="13">
        <f>IF('Données projet'!$A$218&gt;35,FE71+FD72-FM71,IF(A72&lt;'Données projet'!$A$218,$FB$205^A72,IF(A72='Données projet'!$A$218,'Données projet'!$B$218,FE71+FD72-FM71)))</f>
        <v>256.19999999999993</v>
      </c>
      <c r="FF72" s="18">
        <f>FE72*VLOOKUP('Données projet'!$B$16,Paramètres!$A$1:$I$89,3,0)*VLOOKUP('Données projet'!$B$16,Paramètres!$A$1:$I$89,5,0)</f>
        <v>247.79663999999997</v>
      </c>
      <c r="FG72" s="14">
        <f t="shared" si="101"/>
        <v>60.113881658336368</v>
      </c>
      <c r="FH72" s="22">
        <f t="shared" si="76"/>
        <v>536.27749188826908</v>
      </c>
      <c r="FI72" s="62">
        <f t="shared" si="77"/>
        <v>829.61082522160245</v>
      </c>
      <c r="FJ72" s="62">
        <f ca="1">AVERAGE(OFFSET($FI$3,0,0,'Données projet'!$E$16+1,1))-AVERAGE(OFFSET($H$3,0,0,'Données projet'!$E$16+1,1))</f>
        <v>455.50822833641354</v>
      </c>
      <c r="FK72" s="62">
        <f t="shared" si="102"/>
        <v>261.14722581688039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469.06923076923073</v>
      </c>
      <c r="L73" s="13">
        <f>VLOOKUP(A73,'Données projet'!$A$35:$I$55,9,0)</f>
        <v>12.838461538461502</v>
      </c>
      <c r="M73" s="13">
        <f t="array" ref="M73">INDEX(L:L,MIN(IF(ISNUMBER(L73:L269),ROW(L73:L269),"")))</f>
        <v>12.838461538461502</v>
      </c>
      <c r="N73" s="14">
        <f>IF('Données projet'!$A$36&gt;35,N72+M73-V72,IF(A73&lt;'Données projet'!$A$36,$K$205^A73,IF(A73='Données projet'!$A$36,'Données projet'!$B$36,N72+M73-V72)))</f>
        <v>469.06923076923096</v>
      </c>
      <c r="O73" s="14">
        <f>N73*VLOOKUP('Données projet'!$B$9,Paramètres!$A$1:$I$89,3,0)*VLOOKUP('Données projet'!$B$9,Paramètres!$A$1:$I$89,5,0)</f>
        <v>262.20970000000011</v>
      </c>
      <c r="P73" s="14">
        <f t="shared" si="87"/>
        <v>63.193164452376678</v>
      </c>
      <c r="Q73" s="22">
        <f t="shared" si="54"/>
        <v>566.74332225455612</v>
      </c>
      <c r="R73" s="62">
        <f t="shared" si="55"/>
        <v>860.07665558788949</v>
      </c>
      <c r="S73" s="62">
        <f ca="1">AVERAGE(OFFSET($R$3,0,0,'Données projet'!$E$9+1,1))-AVERAGE(OFFSET($H$3,0,0,'Données projet'!$E$9+1,1))</f>
        <v>323.98185264074681</v>
      </c>
      <c r="T73" s="62">
        <f t="shared" si="88"/>
        <v>301.22207291854005</v>
      </c>
      <c r="U73" s="16">
        <f>IF(ISNA(VLOOKUP(A73,'Données projet'!$A$35:$I$55,3,0)),0,VLOOKUP(A73,'Données projet'!$A$35:$I$55,3,0))</f>
        <v>8</v>
      </c>
      <c r="V73" s="16">
        <f>IF(ISNA(VLOOKUP(A73,'Données projet'!$A$35:$I$55,4,0)),0,VLOOKUP(A73,'Données projet'!$A$35:$I$55,4,0))</f>
        <v>469.06923076923073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2.020814873524404</v>
      </c>
      <c r="AA73" s="23">
        <f>EXP(-LN(2)/25)*AA72+(1-EXP(-LN(2)/25))/(LN(2)/25)*Calculateur!V73*Calculateur!X73*VLOOKUP('Données projet'!$B$9,Paramètres!$A$1:$I$89,3,0)*0.475*44/12</f>
        <v>2.7205942797304532</v>
      </c>
      <c r="AB73" s="23">
        <f>EXP(-LN(2)/2)*AB72+(1-EXP(-LN(2)/2))/(LN(2)/2)*V73*Y73*VLOOKUP('Données projet'!$B$9,Paramètres!$A$1:$I$89,3,0)*0.475*44/12</f>
        <v>5.8057853504352766E-6</v>
      </c>
      <c r="AC73" s="24">
        <f t="shared" si="57"/>
        <v>4.741414959040207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12.859999999999991</v>
      </c>
      <c r="AI73" s="14">
        <f>IF('Données projet'!$A$62&gt;35,AI72+AH73-AQ72,IF(A73&lt;'Données projet'!$A$62,$AF$205^A73,IF(A73='Données projet'!$A$62,'Données projet'!$B$62,AI72+AH73-AQ72)))</f>
        <v>365.06307692307712</v>
      </c>
      <c r="AJ73" s="14">
        <f>AI73*VLOOKUP('Données projet'!$B$10,Paramètres!$A$1:$I$89,3,0)*VLOOKUP('Données projet'!$B$10,Paramètres!$A$1:$I$89,5,0)</f>
        <v>170.8495200000001</v>
      </c>
      <c r="AK73" s="14">
        <f t="shared" si="89"/>
        <v>43.280232572489254</v>
      </c>
      <c r="AL73" s="22">
        <f t="shared" si="58"/>
        <v>372.94265239708557</v>
      </c>
      <c r="AM73" s="62">
        <f t="shared" si="59"/>
        <v>666.27598573041882</v>
      </c>
      <c r="AN73" s="62">
        <f ca="1">AVERAGE(OFFSET($AM$3,0,0,'Données projet'!$E$10+1,1))-AVERAGE(OFFSET($H$3,0,0,'Données projet'!$E$10+1,1))</f>
        <v>276.78862011733338</v>
      </c>
      <c r="AO73" s="62">
        <f t="shared" si="90"/>
        <v>202.1678469635836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237.96239999999995</v>
      </c>
      <c r="BF73" s="14">
        <f t="shared" si="91"/>
        <v>58.00091360766335</v>
      </c>
      <c r="BG73" s="22">
        <f t="shared" si="61"/>
        <v>515.4694378666801</v>
      </c>
      <c r="BH73" s="62">
        <f t="shared" si="62"/>
        <v>808.80277120001347</v>
      </c>
      <c r="BI73" s="62">
        <f ca="1">AVERAGE(OFFSET($BH$3,0,0,'Données projet'!$E$11+1,1))-AVERAGE(OFFSET($H$3,0,0,'Données projet'!$E$11+1,1))</f>
        <v>428.8489304403459</v>
      </c>
      <c r="BJ73" s="62">
        <f t="shared" si="92"/>
        <v>247.01165577562966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379.99230769230769</v>
      </c>
      <c r="BW73" s="13">
        <f>VLOOKUP(A73,'Données projet'!$A$113:$I$133,9,0)</f>
        <v>9.1830769230769249</v>
      </c>
      <c r="BX73" s="13">
        <f t="array" ref="BX73">INDEX(BW:BW,MIN(IF(ISNUMBER(BW73:BW269),ROW(BW73:BW269),"")))</f>
        <v>9.1830769230769249</v>
      </c>
      <c r="BY73" s="13">
        <f>IF('Données projet'!$A$114&gt;35,BY72+BX73-CG72,IF(A73&lt;'Données projet'!$A$114,$BV$205^A73,IF(A73='Données projet'!$A$114,'Données projet'!$B$114,BY72+BX73-CG72)))</f>
        <v>379.99230769230746</v>
      </c>
      <c r="BZ73" s="14">
        <f>BY73*VLOOKUP('Données projet'!$B$12,Paramètres!$A$1:$I$89,3,0)*VLOOKUP('Données projet'!$B$12,Paramètres!$A$1:$I$89,5,0)</f>
        <v>227.23539999999988</v>
      </c>
      <c r="CA73" s="14">
        <f t="shared" si="93"/>
        <v>55.684490313081348</v>
      </c>
      <c r="CB73" s="22">
        <f t="shared" si="64"/>
        <v>492.75214229528314</v>
      </c>
      <c r="CC73" s="62">
        <f t="shared" si="65"/>
        <v>786.08547562861645</v>
      </c>
      <c r="CD73" s="62">
        <f ca="1">AVERAGE(OFFSET($CC$3,0,0,'Données projet'!$E$12+1,1))-AVERAGE(OFFSET($H$3,0,0,'Données projet'!$E$12+1,1))</f>
        <v>289.12367833861299</v>
      </c>
      <c r="CE73" s="62">
        <f t="shared" si="94"/>
        <v>229.06617320689003</v>
      </c>
      <c r="CF73" s="16">
        <f>IF(ISNA(VLOOKUP(A73,'Données projet'!$A$113:$I$133,3,0)),0,VLOOKUP(A73,'Données projet'!$A$113:$I$133,3,0))</f>
        <v>7</v>
      </c>
      <c r="CG73" s="16">
        <f>IF(ISNA(VLOOKUP(A73,'Données projet'!$A$113:$I$133,4,0)),0,VLOOKUP(A73,'Données projet'!$A$113:$I$133,4,0))</f>
        <v>52.669230769230765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3.9547301082853789E-6</v>
      </c>
      <c r="CN73" s="24">
        <f t="shared" si="66"/>
        <v>3.9547301082853789E-6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328.5</v>
      </c>
      <c r="CR73" s="13">
        <f>VLOOKUP(A73,'Données projet'!$A$139:$I$159,9,0)</f>
        <v>4.5</v>
      </c>
      <c r="CS73" s="13">
        <f t="array" ref="CS73">INDEX(CR:CR,MIN(IF(ISNUMBER(CR73:CR269),ROW(CR73:CR269),"")))</f>
        <v>4.5</v>
      </c>
      <c r="CT73" s="13">
        <f>IF('Données projet'!$A$140&gt;35,CT72+CS73-DB72,IF(A73&lt;'Données projet'!$A$140,$CQ$205^A73,IF(A73='Données projet'!$A$140,'Données projet'!$B$140,CT72+CS73-DB72)))</f>
        <v>328.49999999999989</v>
      </c>
      <c r="CU73" s="18">
        <f>CT73*VLOOKUP('Données projet'!$B$13,Paramètres!$A$1:$I$89,3,0)*VLOOKUP('Données projet'!$B$13,Paramètres!$A$1:$I$89,5,0)</f>
        <v>261.35459999999989</v>
      </c>
      <c r="CV73" s="14">
        <f t="shared" si="95"/>
        <v>63.01103655068848</v>
      </c>
      <c r="CW73" s="22">
        <f t="shared" si="67"/>
        <v>564.93681699244883</v>
      </c>
      <c r="CX73" s="62">
        <f t="shared" si="68"/>
        <v>858.2701503257822</v>
      </c>
      <c r="CY73" s="62">
        <f ca="1">AVERAGE(OFFSET($CX$3,0,0,'Données projet'!$E$13+1,1))-AVERAGE(OFFSET($H$3,0,0,'Données projet'!$E$13+1,1))</f>
        <v>370.59298168107364</v>
      </c>
      <c r="CZ73" s="62">
        <f t="shared" si="96"/>
        <v>404.61777090709171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25.9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237</v>
      </c>
      <c r="DM73" s="13">
        <f>VLOOKUP(A73,'Données projet'!$A$165:$I$185,9,0)</f>
        <v>4.5999999999999996</v>
      </c>
      <c r="DN73" s="13">
        <f t="array" ref="DN73">INDEX(DM:DM,MIN(IF(ISNUMBER(DM73:DM269),ROW(DM73:DM269),"")))</f>
        <v>4.5999999999999996</v>
      </c>
      <c r="DO73" s="13">
        <f>IF('Données projet'!$A$166&gt;35,DO72+DN73-DW72,IF(A73&lt;'Données projet'!$A$166,$DL$205^A73,IF(A73='Données projet'!$A$166,'Données projet'!$B$166,DO72+DN73-DW72)))</f>
        <v>236.99999999999991</v>
      </c>
      <c r="DP73" s="18">
        <f>DO73*VLOOKUP('Données projet'!$B$14,Paramètres!$A$1:$I$89,3,0)*VLOOKUP('Données projet'!$B$14,Paramètres!$A$1:$I$89,5,0)</f>
        <v>207.04319999999996</v>
      </c>
      <c r="DQ73" s="14">
        <f t="shared" si="97"/>
        <v>51.288918231806321</v>
      </c>
      <c r="DR73" s="22">
        <f t="shared" si="70"/>
        <v>449.92843925372921</v>
      </c>
      <c r="DS73" s="62">
        <f t="shared" si="71"/>
        <v>743.26177258706252</v>
      </c>
      <c r="DT73" s="62">
        <f ca="1">AVERAGE(OFFSET($DS$3,0,0,'Données projet'!$E$14+1,1))-AVERAGE(OFFSET($H$3,0,0,'Données projet'!$E$14+1,1))</f>
        <v>341.65872153228599</v>
      </c>
      <c r="DU73" s="62">
        <f t="shared" si="98"/>
        <v>339.49697153894937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33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265.38461538461536</v>
      </c>
      <c r="EH73" s="13">
        <f>VLOOKUP(A73,'Données projet'!$A$191:$I$211,9,0)</f>
        <v>4.9999999999999947</v>
      </c>
      <c r="EI73" s="13">
        <f t="array" ref="EI73">INDEX(EH:EH,MIN(IF(ISNUMBER(EH73:EH269),ROW(EH73:EH269),"")))</f>
        <v>4.9999999999999947</v>
      </c>
      <c r="EJ73" s="13">
        <f>IF('Données projet'!$A$192&gt;35,EJ72+EI73-ER72,IF(A73&lt;'Données projet'!$A$192,$EG$205^A73,IF(A73='Données projet'!$A$192,'Données projet'!$B$192,EJ72+EI73-ER72)))</f>
        <v>265.38461538461542</v>
      </c>
      <c r="EK73" s="18">
        <f>EJ73*VLOOKUP('Données projet'!$B$15,Paramètres!$A$1:$I$89,3,0)*VLOOKUP('Données projet'!$B$15,Paramètres!$A$1:$I$89,5,0)</f>
        <v>178.02000000000004</v>
      </c>
      <c r="EL73" s="14">
        <f t="shared" si="99"/>
        <v>44.881389467952083</v>
      </c>
      <c r="EM73" s="22">
        <f t="shared" si="73"/>
        <v>388.21991999001654</v>
      </c>
      <c r="EN73" s="62">
        <f t="shared" si="74"/>
        <v>681.55325332334985</v>
      </c>
      <c r="EO73" s="62">
        <f ca="1">AVERAGE(OFFSET($EN$3,0,0,'Données projet'!$E$15+1,1))-AVERAGE(OFFSET($H$3,0,0,'Données projet'!$E$15+1,1))</f>
        <v>312.06797204903796</v>
      </c>
      <c r="EP73" s="62">
        <f t="shared" si="100"/>
        <v>258.20189001775151</v>
      </c>
      <c r="EQ73" s="16">
        <f>IF(ISNA(VLOOKUP(A73,'Données projet'!$A$191:$I$211,3,0)),0,VLOOKUP(A73,'Données projet'!$A$191:$I$211,3,0))</f>
        <v>6</v>
      </c>
      <c r="ER73" s="16">
        <f>IF(ISNA(VLOOKUP(A73,'Données projet'!$A$191:$I$211,4,0)),0,VLOOKUP(A73,'Données projet'!$A$191:$I$211,4,0))</f>
        <v>27.564102564102562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263</v>
      </c>
      <c r="FC73" s="13">
        <f>VLOOKUP(A73,'Données projet'!$A$217:$I$237,9,0)</f>
        <v>6.8</v>
      </c>
      <c r="FD73" s="13">
        <f t="array" ref="FD73">INDEX(FC:FC,MIN(IF(ISNUMBER(FC73:FC269),ROW(FC73:FC269),"")))</f>
        <v>6.8</v>
      </c>
      <c r="FE73" s="13">
        <f>IF('Données projet'!$A$218&gt;35,FE72+FD73-FM72,IF(A73&lt;'Données projet'!$A$218,$FB$205^A73,IF(A73='Données projet'!$A$218,'Données projet'!$B$218,FE72+FD73-FM72)))</f>
        <v>262.99999999999994</v>
      </c>
      <c r="FF73" s="18">
        <f>FE73*VLOOKUP('Données projet'!$B$16,Paramètres!$A$1:$I$89,3,0)*VLOOKUP('Données projet'!$B$16,Paramètres!$A$1:$I$89,5,0)</f>
        <v>254.37359999999998</v>
      </c>
      <c r="FG73" s="14">
        <f t="shared" si="101"/>
        <v>61.521534056516209</v>
      </c>
      <c r="FH73" s="22">
        <f t="shared" si="76"/>
        <v>550.1840251484324</v>
      </c>
      <c r="FI73" s="62">
        <f t="shared" si="77"/>
        <v>843.51735848176577</v>
      </c>
      <c r="FJ73" s="62">
        <f ca="1">AVERAGE(OFFSET($FI$3,0,0,'Données projet'!$E$16+1,1))-AVERAGE(OFFSET($H$3,0,0,'Données projet'!$E$16+1,1))</f>
        <v>455.50822833641354</v>
      </c>
      <c r="FK73" s="62">
        <f t="shared" si="102"/>
        <v>261.14722581688039</v>
      </c>
      <c r="FL73" s="16">
        <f>IF(ISNA(VLOOKUP(A73,'Données projet'!$A$217:$I$237,3,0)),0,VLOOKUP(A73,'Données projet'!$A$217:$I$237,3,0))</f>
        <v>5</v>
      </c>
      <c r="FM73" s="16">
        <f>IF(ISNA(VLOOKUP(A73,'Données projet'!$A$217:$I$237,4,0)),0,VLOOKUP(A73,'Données projet'!$A$217:$I$237,4,0))</f>
        <v>42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2.2737367544323206E-13</v>
      </c>
      <c r="O74" s="14">
        <f>N74*VLOOKUP('Données projet'!$B$9,Paramètres!$A$1:$I$89,3,0)*VLOOKUP('Données projet'!$B$9,Paramètres!$A$1:$I$89,5,0)</f>
        <v>1.2710188457276673E-13</v>
      </c>
      <c r="P74" s="14">
        <f t="shared" si="87"/>
        <v>1.856866851063998E-12</v>
      </c>
      <c r="Q74" s="22">
        <f t="shared" si="54"/>
        <v>3.4554122145673649E-12</v>
      </c>
      <c r="R74" s="62">
        <f t="shared" si="55"/>
        <v>293.33333333333678</v>
      </c>
      <c r="S74" s="62">
        <f ca="1">AVERAGE(OFFSET($R$3,0,0,'Données projet'!$E$9+1,1))-AVERAGE(OFFSET($H$3,0,0,'Données projet'!$E$9+1,1))</f>
        <v>323.98185264074681</v>
      </c>
      <c r="T74" s="62">
        <f t="shared" si="88"/>
        <v>301.22207291854005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1.9811879264299566</v>
      </c>
      <c r="AA74" s="23">
        <f>EXP(-LN(2)/25)*AA73+(1-EXP(-LN(2)/25))/(LN(2)/25)*Calculateur!V74*Calculateur!X74*VLOOKUP('Données projet'!$B$9,Paramètres!$A$1:$I$89,3,0)*0.475*44/12</f>
        <v>2.6461994860813887</v>
      </c>
      <c r="AB74" s="23">
        <f>EXP(-LN(2)/2)*AB73+(1-EXP(-LN(2)/2))/(LN(2)/2)*V74*Y74*VLOOKUP('Données projet'!$B$9,Paramètres!$A$1:$I$89,3,0)*0.475*44/12</f>
        <v>4.1053101914063002E-6</v>
      </c>
      <c r="AC74" s="24">
        <f t="shared" si="57"/>
        <v>4.6273915178215361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>
        <f>VLOOKUP(A74,'Données projet'!$A$61:$I$81,2,0)</f>
        <v>377.92307692307691</v>
      </c>
      <c r="AG74" s="13">
        <f>VLOOKUP(A74,'Données projet'!$A$61:$I$81,9,0)</f>
        <v>12.859999999999991</v>
      </c>
      <c r="AH74" s="13">
        <f t="array" ref="AH74">INDEX(AG:AG,MIN(IF(ISNUMBER(AG74:AG270),ROW(AG74:AG270),"")))</f>
        <v>12.859999999999991</v>
      </c>
      <c r="AI74" s="14">
        <f>IF('Données projet'!$A$62&gt;35,AI73+AH74-AQ73,IF(A74&lt;'Données projet'!$A$62,$AF$205^A74,IF(A74='Données projet'!$A$62,'Données projet'!$B$62,AI73+AH74-AQ73)))</f>
        <v>377.92307692307713</v>
      </c>
      <c r="AJ74" s="14">
        <f>AI74*VLOOKUP('Données projet'!$B$10,Paramètres!$A$1:$I$89,3,0)*VLOOKUP('Données projet'!$B$10,Paramètres!$A$1:$I$89,5,0)</f>
        <v>176.86800000000008</v>
      </c>
      <c r="AK74" s="14">
        <f t="shared" si="89"/>
        <v>44.624663610682326</v>
      </c>
      <c r="AL74" s="22">
        <f t="shared" si="58"/>
        <v>385.76638912193852</v>
      </c>
      <c r="AM74" s="62">
        <f t="shared" si="59"/>
        <v>679.09972245527183</v>
      </c>
      <c r="AN74" s="62">
        <f ca="1">AVERAGE(OFFSET($AM$3,0,0,'Données projet'!$E$10+1,1))-AVERAGE(OFFSET($H$3,0,0,'Données projet'!$E$10+1,1))</f>
        <v>276.78862011733338</v>
      </c>
      <c r="AO74" s="62">
        <f t="shared" si="90"/>
        <v>202.1678469635836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205.57055999999994</v>
      </c>
      <c r="BF74" s="14">
        <f t="shared" si="91"/>
        <v>50.966443946767392</v>
      </c>
      <c r="BG74" s="22">
        <f t="shared" si="61"/>
        <v>446.80194854061978</v>
      </c>
      <c r="BH74" s="62">
        <f t="shared" si="62"/>
        <v>740.13528187395309</v>
      </c>
      <c r="BI74" s="62">
        <f ca="1">AVERAGE(OFFSET($BH$3,0,0,'Données projet'!$E$11+1,1))-AVERAGE(OFFSET($H$3,0,0,'Données projet'!$E$11+1,1))</f>
        <v>428.8489304403459</v>
      </c>
      <c r="BJ74" s="62">
        <f t="shared" si="92"/>
        <v>247.01165577562966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7.5584615384615343</v>
      </c>
      <c r="BY74" s="13">
        <f>IF('Données projet'!$A$114&gt;35,BY73+BX74-CG73,IF(A74&lt;'Données projet'!$A$114,$BV$205^A74,IF(A74='Données projet'!$A$114,'Données projet'!$B$114,BY73+BX74-CG73)))</f>
        <v>334.88153846153824</v>
      </c>
      <c r="BZ74" s="14">
        <f>BY74*VLOOKUP('Données projet'!$B$12,Paramètres!$A$1:$I$89,3,0)*VLOOKUP('Données projet'!$B$12,Paramètres!$A$1:$I$89,5,0)</f>
        <v>200.25915999999989</v>
      </c>
      <c r="CA74" s="14">
        <f t="shared" si="93"/>
        <v>49.801118956127333</v>
      </c>
      <c r="CB74" s="22">
        <f t="shared" si="64"/>
        <v>435.52165251525486</v>
      </c>
      <c r="CC74" s="62">
        <f t="shared" si="65"/>
        <v>728.85498584858817</v>
      </c>
      <c r="CD74" s="62">
        <f ca="1">AVERAGE(OFFSET($CC$3,0,0,'Données projet'!$E$12+1,1))-AVERAGE(OFFSET($H$3,0,0,'Données projet'!$E$12+1,1))</f>
        <v>289.12367833861299</v>
      </c>
      <c r="CE74" s="62">
        <f t="shared" si="94"/>
        <v>229.06617320689003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2.7964164773312009E-6</v>
      </c>
      <c r="CN74" s="24">
        <f t="shared" si="66"/>
        <v>2.7964164773312009E-6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4.1799999999999953</v>
      </c>
      <c r="CT74" s="13">
        <f>IF('Données projet'!$A$140&gt;35,CT73+CS74-DB73,IF(A74&lt;'Données projet'!$A$140,$CQ$205^A74,IF(A74='Données projet'!$A$140,'Données projet'!$B$140,CT73+CS74-DB73)))</f>
        <v>306.77999999999992</v>
      </c>
      <c r="CU74" s="18">
        <f>CT74*VLOOKUP('Données projet'!$B$13,Paramètres!$A$1:$I$89,3,0)*VLOOKUP('Données projet'!$B$13,Paramètres!$A$1:$I$89,5,0)</f>
        <v>244.07416799999996</v>
      </c>
      <c r="CV74" s="14">
        <f t="shared" si="95"/>
        <v>59.315246950995579</v>
      </c>
      <c r="CW74" s="22">
        <f t="shared" si="67"/>
        <v>528.40323103965056</v>
      </c>
      <c r="CX74" s="62">
        <f t="shared" si="68"/>
        <v>821.73656437298382</v>
      </c>
      <c r="CY74" s="62">
        <f ca="1">AVERAGE(OFFSET($CX$3,0,0,'Données projet'!$E$13+1,1))-AVERAGE(OFFSET($H$3,0,0,'Données projet'!$E$13+1,1))</f>
        <v>370.59298168107364</v>
      </c>
      <c r="CZ74" s="62">
        <f t="shared" si="96"/>
        <v>404.61777090709171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3.8</v>
      </c>
      <c r="DO74" s="13">
        <f>IF('Données projet'!$A$166&gt;35,DO73+DN74-DW73,IF(A74&lt;'Données projet'!$A$166,$DL$205^A74,IF(A74='Données projet'!$A$166,'Données projet'!$B$166,DO73+DN74-DW73)))</f>
        <v>207.79999999999993</v>
      </c>
      <c r="DP74" s="18">
        <f>DO74*VLOOKUP('Données projet'!$B$14,Paramètres!$A$1:$I$89,3,0)*VLOOKUP('Données projet'!$B$14,Paramètres!$A$1:$I$89,5,0)</f>
        <v>181.53407999999996</v>
      </c>
      <c r="DQ74" s="14">
        <f t="shared" si="97"/>
        <v>45.663321943731859</v>
      </c>
      <c r="DR74" s="22">
        <f t="shared" si="70"/>
        <v>395.70214171866616</v>
      </c>
      <c r="DS74" s="62">
        <f t="shared" si="71"/>
        <v>689.03547505199947</v>
      </c>
      <c r="DT74" s="62">
        <f ca="1">AVERAGE(OFFSET($DS$3,0,0,'Données projet'!$E$14+1,1))-AVERAGE(OFFSET($H$3,0,0,'Données projet'!$E$14+1,1))</f>
        <v>341.65872153228599</v>
      </c>
      <c r="DU74" s="62">
        <f t="shared" si="98"/>
        <v>339.49697153894937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4.6153846153846247</v>
      </c>
      <c r="EJ74" s="13">
        <f>IF('Données projet'!$A$192&gt;35,EJ73+EI74-ER73,IF(A74&lt;'Données projet'!$A$192,$EG$205^A74,IF(A74='Données projet'!$A$192,'Données projet'!$B$192,EJ73+EI74-ER73)))</f>
        <v>242.43589743589749</v>
      </c>
      <c r="EK74" s="18">
        <f>EJ74*VLOOKUP('Données projet'!$B$15,Paramètres!$A$1:$I$89,3,0)*VLOOKUP('Données projet'!$B$15,Paramètres!$A$1:$I$89,5,0)</f>
        <v>162.62600000000003</v>
      </c>
      <c r="EL74" s="14">
        <f t="shared" si="99"/>
        <v>41.43425469159893</v>
      </c>
      <c r="EM74" s="22">
        <f t="shared" si="73"/>
        <v>355.40494358786822</v>
      </c>
      <c r="EN74" s="62">
        <f t="shared" si="74"/>
        <v>648.73827692120153</v>
      </c>
      <c r="EO74" s="62">
        <f ca="1">AVERAGE(OFFSET($EN$3,0,0,'Données projet'!$E$15+1,1))-AVERAGE(OFFSET($H$3,0,0,'Données projet'!$E$15+1,1))</f>
        <v>312.06797204903796</v>
      </c>
      <c r="EP74" s="62">
        <f t="shared" si="100"/>
        <v>258.20189001775151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6.2</v>
      </c>
      <c r="FE74" s="13">
        <f>IF('Données projet'!$A$218&gt;35,FE73+FD74-FM73,IF(A74&lt;'Données projet'!$A$218,$FB$205^A74,IF(A74='Données projet'!$A$218,'Données projet'!$B$218,FE73+FD74-FM73)))</f>
        <v>227.19999999999993</v>
      </c>
      <c r="FF74" s="18">
        <f>FE74*VLOOKUP('Données projet'!$B$16,Paramètres!$A$1:$I$89,3,0)*VLOOKUP('Données projet'!$B$16,Paramètres!$A$1:$I$89,5,0)</f>
        <v>219.74783999999994</v>
      </c>
      <c r="FG74" s="14">
        <f t="shared" si="101"/>
        <v>54.060076332940561</v>
      </c>
      <c r="FH74" s="22">
        <f t="shared" si="76"/>
        <v>476.88212094653812</v>
      </c>
      <c r="FI74" s="62">
        <f t="shared" si="77"/>
        <v>770.21545427987144</v>
      </c>
      <c r="FJ74" s="62">
        <f ca="1">AVERAGE(OFFSET($FI$3,0,0,'Données projet'!$E$16+1,1))-AVERAGE(OFFSET($H$3,0,0,'Données projet'!$E$16+1,1))</f>
        <v>455.50822833641354</v>
      </c>
      <c r="FK74" s="62">
        <f t="shared" si="102"/>
        <v>261.14722581688039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2.2737367544323206E-13</v>
      </c>
      <c r="O75" s="14">
        <f>N75*VLOOKUP('Données projet'!$B$9,Paramètres!$A$1:$I$89,3,0)*VLOOKUP('Données projet'!$B$9,Paramètres!$A$1:$I$89,5,0)</f>
        <v>1.2710188457276673E-13</v>
      </c>
      <c r="P75" s="14">
        <f t="shared" si="87"/>
        <v>1.856866851063998E-12</v>
      </c>
      <c r="Q75" s="22">
        <f t="shared" si="54"/>
        <v>3.4554122145673649E-12</v>
      </c>
      <c r="R75" s="62">
        <f t="shared" si="55"/>
        <v>293.33333333333678</v>
      </c>
      <c r="S75" s="62">
        <f ca="1">AVERAGE(OFFSET($R$3,0,0,'Données projet'!$E$9+1,1))-AVERAGE(OFFSET($H$3,0,0,'Données projet'!$E$9+1,1))</f>
        <v>323.98185264074681</v>
      </c>
      <c r="T75" s="62">
        <f t="shared" si="88"/>
        <v>301.22207291854005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1.9423380395979801</v>
      </c>
      <c r="AA75" s="23">
        <f>EXP(-LN(2)/25)*AA74+(1-EXP(-LN(2)/25))/(LN(2)/25)*Calculateur!V75*Calculateur!X75*VLOOKUP('Données projet'!$B$9,Paramètres!$A$1:$I$89,3,0)*0.475*44/12</f>
        <v>2.5738390219769101</v>
      </c>
      <c r="AB75" s="23">
        <f>EXP(-LN(2)/2)*AB74+(1-EXP(-LN(2)/2))/(LN(2)/2)*V75*Y75*VLOOKUP('Données projet'!$B$9,Paramètres!$A$1:$I$89,3,0)*0.475*44/12</f>
        <v>2.9028926752176383E-6</v>
      </c>
      <c r="AC75" s="24">
        <f t="shared" si="57"/>
        <v>4.5161799644675655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13.236538461538458</v>
      </c>
      <c r="AI75" s="14">
        <f>IF('Données projet'!$A$62&gt;35,AI74+AH75-AQ74,IF(A75&lt;'Données projet'!$A$62,$AF$205^A75,IF(A75='Données projet'!$A$62,'Données projet'!$B$62,AI74+AH75-AQ74)))</f>
        <v>391.15961538461556</v>
      </c>
      <c r="AJ75" s="14">
        <f>AI75*VLOOKUP('Données projet'!$B$10,Paramètres!$A$1:$I$89,3,0)*VLOOKUP('Données projet'!$B$10,Paramètres!$A$1:$I$89,5,0)</f>
        <v>183.06270000000009</v>
      </c>
      <c r="AK75" s="14">
        <f t="shared" si="89"/>
        <v>46.00290995772216</v>
      </c>
      <c r="AL75" s="22">
        <f t="shared" si="58"/>
        <v>398.95593734303293</v>
      </c>
      <c r="AM75" s="62">
        <f t="shared" si="59"/>
        <v>692.28927067636619</v>
      </c>
      <c r="AN75" s="62">
        <f ca="1">AVERAGE(OFFSET($AM$3,0,0,'Données projet'!$E$10+1,1))-AVERAGE(OFFSET($H$3,0,0,'Données projet'!$E$10+1,1))</f>
        <v>276.78862011733338</v>
      </c>
      <c r="AO75" s="62">
        <f t="shared" si="90"/>
        <v>202.1678469635836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211.18031999999994</v>
      </c>
      <c r="BF75" s="14">
        <f t="shared" si="91"/>
        <v>52.193431117443019</v>
      </c>
      <c r="BG75" s="22">
        <f t="shared" si="61"/>
        <v>458.70928319621316</v>
      </c>
      <c r="BH75" s="62">
        <f t="shared" si="62"/>
        <v>752.04261652954642</v>
      </c>
      <c r="BI75" s="62">
        <f ca="1">AVERAGE(OFFSET($BH$3,0,0,'Données projet'!$E$11+1,1))-AVERAGE(OFFSET($H$3,0,0,'Données projet'!$E$11+1,1))</f>
        <v>428.8489304403459</v>
      </c>
      <c r="BJ75" s="62">
        <f t="shared" si="92"/>
        <v>247.01165577562966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7.5584615384615343</v>
      </c>
      <c r="BY75" s="13">
        <f>IF('Données projet'!$A$114&gt;35,BY74+BX75-CG74,IF(A75&lt;'Données projet'!$A$114,$BV$205^A75,IF(A75='Données projet'!$A$114,'Données projet'!$B$114,BY74+BX75-CG74)))</f>
        <v>342.43999999999977</v>
      </c>
      <c r="BZ75" s="14">
        <f>BY75*VLOOKUP('Données projet'!$B$12,Paramètres!$A$1:$I$89,3,0)*VLOOKUP('Données projet'!$B$12,Paramètres!$A$1:$I$89,5,0)</f>
        <v>204.77911999999986</v>
      </c>
      <c r="CA75" s="14">
        <f t="shared" si="93"/>
        <v>50.79302579334589</v>
      </c>
      <c r="CB75" s="22">
        <f t="shared" si="64"/>
        <v>445.12148725674388</v>
      </c>
      <c r="CC75" s="62">
        <f t="shared" si="65"/>
        <v>738.45482059007713</v>
      </c>
      <c r="CD75" s="62">
        <f ca="1">AVERAGE(OFFSET($CC$3,0,0,'Données projet'!$E$12+1,1))-AVERAGE(OFFSET($H$3,0,0,'Données projet'!$E$12+1,1))</f>
        <v>289.12367833861299</v>
      </c>
      <c r="CE75" s="62">
        <f t="shared" si="94"/>
        <v>229.06617320689003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1.9773650541426895E-6</v>
      </c>
      <c r="CN75" s="24">
        <f t="shared" si="66"/>
        <v>1.9773650541426895E-6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4.1799999999999953</v>
      </c>
      <c r="CT75" s="13">
        <f>IF('Données projet'!$A$140&gt;35,CT74+CS75-DB74,IF(A75&lt;'Données projet'!$A$140,$CQ$205^A75,IF(A75='Données projet'!$A$140,'Données projet'!$B$140,CT74+CS75-DB74)))</f>
        <v>310.95999999999992</v>
      </c>
      <c r="CU75" s="18">
        <f>CT75*VLOOKUP('Données projet'!$B$13,Paramètres!$A$1:$I$89,3,0)*VLOOKUP('Données projet'!$B$13,Paramètres!$A$1:$I$89,5,0)</f>
        <v>247.39977599999995</v>
      </c>
      <c r="CV75" s="14">
        <f t="shared" si="95"/>
        <v>60.028803657797908</v>
      </c>
      <c r="CW75" s="22">
        <f t="shared" si="67"/>
        <v>535.43810957066455</v>
      </c>
      <c r="CX75" s="62">
        <f t="shared" si="68"/>
        <v>828.77144290399792</v>
      </c>
      <c r="CY75" s="62">
        <f ca="1">AVERAGE(OFFSET($CX$3,0,0,'Données projet'!$E$13+1,1))-AVERAGE(OFFSET($H$3,0,0,'Données projet'!$E$13+1,1))</f>
        <v>370.59298168107364</v>
      </c>
      <c r="CZ75" s="62">
        <f t="shared" si="96"/>
        <v>404.61777090709171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3.8</v>
      </c>
      <c r="DO75" s="13">
        <f>IF('Données projet'!$A$166&gt;35,DO74+DN75-DW74,IF(A75&lt;'Données projet'!$A$166,$DL$205^A75,IF(A75='Données projet'!$A$166,'Données projet'!$B$166,DO74+DN75-DW74)))</f>
        <v>211.59999999999994</v>
      </c>
      <c r="DP75" s="18">
        <f>DO75*VLOOKUP('Données projet'!$B$14,Paramètres!$A$1:$I$89,3,0)*VLOOKUP('Données projet'!$B$14,Paramètres!$A$1:$I$89,5,0)</f>
        <v>184.85375999999997</v>
      </c>
      <c r="DQ75" s="14">
        <f t="shared" si="97"/>
        <v>46.400380376458166</v>
      </c>
      <c r="DR75" s="22">
        <f t="shared" si="70"/>
        <v>402.76762782233124</v>
      </c>
      <c r="DS75" s="62">
        <f t="shared" si="71"/>
        <v>696.10096115566455</v>
      </c>
      <c r="DT75" s="62">
        <f ca="1">AVERAGE(OFFSET($DS$3,0,0,'Données projet'!$E$14+1,1))-AVERAGE(OFFSET($H$3,0,0,'Données projet'!$E$14+1,1))</f>
        <v>341.65872153228599</v>
      </c>
      <c r="DU75" s="62">
        <f t="shared" si="98"/>
        <v>339.49697153894937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4.6153846153846247</v>
      </c>
      <c r="EJ75" s="13">
        <f>IF('Données projet'!$A$192&gt;35,EJ74+EI75-ER74,IF(A75&lt;'Données projet'!$A$192,$EG$205^A75,IF(A75='Données projet'!$A$192,'Données projet'!$B$192,EJ74+EI75-ER74)))</f>
        <v>247.0512820512821</v>
      </c>
      <c r="EK75" s="18">
        <f>EJ75*VLOOKUP('Données projet'!$B$15,Paramètres!$A$1:$I$89,3,0)*VLOOKUP('Données projet'!$B$15,Paramètres!$A$1:$I$89,5,0)</f>
        <v>165.72200000000004</v>
      </c>
      <c r="EL75" s="14">
        <f t="shared" si="99"/>
        <v>42.130477313738041</v>
      </c>
      <c r="EM75" s="22">
        <f t="shared" si="73"/>
        <v>362.00973132142713</v>
      </c>
      <c r="EN75" s="62">
        <f t="shared" si="74"/>
        <v>655.34306465476038</v>
      </c>
      <c r="EO75" s="62">
        <f ca="1">AVERAGE(OFFSET($EN$3,0,0,'Données projet'!$E$15+1,1))-AVERAGE(OFFSET($H$3,0,0,'Données projet'!$E$15+1,1))</f>
        <v>312.06797204903796</v>
      </c>
      <c r="EP75" s="62">
        <f t="shared" si="100"/>
        <v>258.20189001775151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6.2</v>
      </c>
      <c r="FE75" s="13">
        <f>IF('Données projet'!$A$218&gt;35,FE74+FD75-FM74,IF(A75&lt;'Données projet'!$A$218,$FB$205^A75,IF(A75='Données projet'!$A$218,'Données projet'!$B$218,FE74+FD75-FM74)))</f>
        <v>233.39999999999992</v>
      </c>
      <c r="FF75" s="18">
        <f>FE75*VLOOKUP('Données projet'!$B$16,Paramètres!$A$1:$I$89,3,0)*VLOOKUP('Données projet'!$B$16,Paramètres!$A$1:$I$89,5,0)</f>
        <v>225.74447999999992</v>
      </c>
      <c r="FG75" s="14">
        <f t="shared" si="101"/>
        <v>55.36154088431374</v>
      </c>
      <c r="FH75" s="22">
        <f t="shared" si="76"/>
        <v>489.59298637351299</v>
      </c>
      <c r="FI75" s="62">
        <f t="shared" si="77"/>
        <v>782.92631970684624</v>
      </c>
      <c r="FJ75" s="62">
        <f ca="1">AVERAGE(OFFSET($FI$3,0,0,'Données projet'!$E$16+1,1))-AVERAGE(OFFSET($H$3,0,0,'Données projet'!$E$16+1,1))</f>
        <v>455.50822833641354</v>
      </c>
      <c r="FK75" s="62">
        <f t="shared" si="102"/>
        <v>261.14722581688039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2.2737367544323206E-13</v>
      </c>
      <c r="O76" s="14">
        <f>N76*VLOOKUP('Données projet'!$B$9,Paramètres!$A$1:$I$89,3,0)*VLOOKUP('Données projet'!$B$9,Paramètres!$A$1:$I$89,5,0)</f>
        <v>1.2710188457276673E-13</v>
      </c>
      <c r="P76" s="14">
        <f t="shared" si="87"/>
        <v>1.856866851063998E-12</v>
      </c>
      <c r="Q76" s="22">
        <f t="shared" si="54"/>
        <v>3.4554122145673649E-12</v>
      </c>
      <c r="R76" s="62">
        <f t="shared" si="55"/>
        <v>293.33333333333678</v>
      </c>
      <c r="S76" s="62">
        <f ca="1">AVERAGE(OFFSET($R$3,0,0,'Données projet'!$E$9+1,1))-AVERAGE(OFFSET($H$3,0,0,'Données projet'!$E$9+1,1))</f>
        <v>323.98185264074681</v>
      </c>
      <c r="T76" s="62">
        <f t="shared" si="88"/>
        <v>301.22207291854005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1.9042499753506876</v>
      </c>
      <c r="AA76" s="23">
        <f>EXP(-LN(2)/25)*AA75+(1-EXP(-LN(2)/25))/(LN(2)/25)*Calculateur!V76*Calculateur!X76*VLOOKUP('Données projet'!$B$9,Paramètres!$A$1:$I$89,3,0)*0.475*44/12</f>
        <v>2.5034572585686399</v>
      </c>
      <c r="AB76" s="23">
        <f>EXP(-LN(2)/2)*AB75+(1-EXP(-LN(2)/2))/(LN(2)/2)*V76*Y76*VLOOKUP('Données projet'!$B$9,Paramètres!$A$1:$I$89,3,0)*0.475*44/12</f>
        <v>2.0526550957031501E-6</v>
      </c>
      <c r="AC76" s="24">
        <f t="shared" si="57"/>
        <v>4.4077092865744234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13.236538461538458</v>
      </c>
      <c r="AI76" s="14">
        <f>IF('Données projet'!$A$62&gt;35,AI75+AH76-AQ75,IF(A76&lt;'Données projet'!$A$62,$AF$205^A76,IF(A76='Données projet'!$A$62,'Données projet'!$B$62,AI75+AH76-AQ75)))</f>
        <v>404.39615384615399</v>
      </c>
      <c r="AJ76" s="14">
        <f>AI76*VLOOKUP('Données projet'!$B$10,Paramètres!$A$1:$I$89,3,0)*VLOOKUP('Données projet'!$B$10,Paramètres!$A$1:$I$89,5,0)</f>
        <v>189.25740000000005</v>
      </c>
      <c r="AK76" s="14">
        <f t="shared" si="89"/>
        <v>47.375737134732681</v>
      </c>
      <c r="AL76" s="22">
        <f t="shared" si="58"/>
        <v>412.13604717632614</v>
      </c>
      <c r="AM76" s="62">
        <f t="shared" si="59"/>
        <v>705.46938050965946</v>
      </c>
      <c r="AN76" s="62">
        <f ca="1">AVERAGE(OFFSET($AM$3,0,0,'Données projet'!$E$10+1,1))-AVERAGE(OFFSET($H$3,0,0,'Données projet'!$E$10+1,1))</f>
        <v>276.78862011733338</v>
      </c>
      <c r="AO76" s="62">
        <f t="shared" si="90"/>
        <v>202.1678469635836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216.7900799999999</v>
      </c>
      <c r="BF76" s="14">
        <f t="shared" si="91"/>
        <v>53.416629794462551</v>
      </c>
      <c r="BG76" s="22">
        <f t="shared" si="61"/>
        <v>470.61001955868869</v>
      </c>
      <c r="BH76" s="62">
        <f t="shared" si="62"/>
        <v>763.94335289202195</v>
      </c>
      <c r="BI76" s="62">
        <f ca="1">AVERAGE(OFFSET($BH$3,0,0,'Données projet'!$E$11+1,1))-AVERAGE(OFFSET($H$3,0,0,'Données projet'!$E$11+1,1))</f>
        <v>428.8489304403459</v>
      </c>
      <c r="BJ76" s="62">
        <f t="shared" si="92"/>
        <v>247.01165577562966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7.5584615384615343</v>
      </c>
      <c r="BY76" s="13">
        <f>IF('Données projet'!$A$114&gt;35,BY75+BX76-CG75,IF(A76&lt;'Données projet'!$A$114,$BV$205^A76,IF(A76='Données projet'!$A$114,'Données projet'!$B$114,BY75+BX76-CG75)))</f>
        <v>349.9984615384613</v>
      </c>
      <c r="BZ76" s="14">
        <f>BY76*VLOOKUP('Données projet'!$B$12,Paramètres!$A$1:$I$89,3,0)*VLOOKUP('Données projet'!$B$12,Paramètres!$A$1:$I$89,5,0)</f>
        <v>209.29907999999986</v>
      </c>
      <c r="CA76" s="14">
        <f t="shared" si="93"/>
        <v>51.782387252616175</v>
      </c>
      <c r="CB76" s="22">
        <f t="shared" si="64"/>
        <v>454.71688879830623</v>
      </c>
      <c r="CC76" s="62">
        <f t="shared" si="65"/>
        <v>748.05022213163954</v>
      </c>
      <c r="CD76" s="62">
        <f ca="1">AVERAGE(OFFSET($CC$3,0,0,'Données projet'!$E$12+1,1))-AVERAGE(OFFSET($H$3,0,0,'Données projet'!$E$12+1,1))</f>
        <v>289.12367833861299</v>
      </c>
      <c r="CE76" s="62">
        <f t="shared" si="94"/>
        <v>229.06617320689003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1.3982082386656004E-6</v>
      </c>
      <c r="CN76" s="24">
        <f t="shared" si="66"/>
        <v>1.3982082386656004E-6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4.1799999999999953</v>
      </c>
      <c r="CT76" s="13">
        <f>IF('Données projet'!$A$140&gt;35,CT75+CS76-DB75,IF(A76&lt;'Données projet'!$A$140,$CQ$205^A76,IF(A76='Données projet'!$A$140,'Données projet'!$B$140,CT75+CS76-DB75)))</f>
        <v>315.13999999999993</v>
      </c>
      <c r="CU76" s="18">
        <f>CT76*VLOOKUP('Données projet'!$B$13,Paramètres!$A$1:$I$89,3,0)*VLOOKUP('Données projet'!$B$13,Paramètres!$A$1:$I$89,5,0)</f>
        <v>250.72538399999993</v>
      </c>
      <c r="CV76" s="14">
        <f t="shared" si="95"/>
        <v>60.741244716227833</v>
      </c>
      <c r="CW76" s="22">
        <f t="shared" si="67"/>
        <v>542.47104501409672</v>
      </c>
      <c r="CX76" s="62">
        <f t="shared" si="68"/>
        <v>835.80437834742997</v>
      </c>
      <c r="CY76" s="62">
        <f ca="1">AVERAGE(OFFSET($CX$3,0,0,'Données projet'!$E$13+1,1))-AVERAGE(OFFSET($H$3,0,0,'Données projet'!$E$13+1,1))</f>
        <v>370.59298168107364</v>
      </c>
      <c r="CZ76" s="62">
        <f t="shared" si="96"/>
        <v>404.61777090709171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3.8</v>
      </c>
      <c r="DO76" s="13">
        <f>IF('Données projet'!$A$166&gt;35,DO75+DN76-DW75,IF(A76&lt;'Données projet'!$A$166,$DL$205^A76,IF(A76='Données projet'!$A$166,'Données projet'!$B$166,DO75+DN76-DW75)))</f>
        <v>215.39999999999995</v>
      </c>
      <c r="DP76" s="18">
        <f>DO76*VLOOKUP('Données projet'!$B$14,Paramètres!$A$1:$I$89,3,0)*VLOOKUP('Données projet'!$B$14,Paramètres!$A$1:$I$89,5,0)</f>
        <v>188.17343999999997</v>
      </c>
      <c r="DQ76" s="14">
        <f t="shared" si="97"/>
        <v>47.135899614073118</v>
      </c>
      <c r="DR76" s="22">
        <f t="shared" si="70"/>
        <v>409.83043316117727</v>
      </c>
      <c r="DS76" s="62">
        <f t="shared" si="71"/>
        <v>703.16376649451058</v>
      </c>
      <c r="DT76" s="62">
        <f ca="1">AVERAGE(OFFSET($DS$3,0,0,'Données projet'!$E$14+1,1))-AVERAGE(OFFSET($H$3,0,0,'Données projet'!$E$14+1,1))</f>
        <v>341.65872153228599</v>
      </c>
      <c r="DU76" s="62">
        <f t="shared" si="98"/>
        <v>339.49697153894937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4.6153846153846247</v>
      </c>
      <c r="EJ76" s="13">
        <f>IF('Données projet'!$A$192&gt;35,EJ75+EI76-ER75,IF(A76&lt;'Données projet'!$A$192,$EG$205^A76,IF(A76='Données projet'!$A$192,'Données projet'!$B$192,EJ75+EI76-ER75)))</f>
        <v>251.66666666666671</v>
      </c>
      <c r="EK76" s="18">
        <f>EJ76*VLOOKUP('Données projet'!$B$15,Paramètres!$A$1:$I$89,3,0)*VLOOKUP('Données projet'!$B$15,Paramètres!$A$1:$I$89,5,0)</f>
        <v>168.81800000000004</v>
      </c>
      <c r="EL76" s="14">
        <f t="shared" si="99"/>
        <v>42.825187501685285</v>
      </c>
      <c r="EM76" s="22">
        <f t="shared" si="73"/>
        <v>368.61188489876866</v>
      </c>
      <c r="EN76" s="62">
        <f t="shared" si="74"/>
        <v>661.94521823210198</v>
      </c>
      <c r="EO76" s="62">
        <f ca="1">AVERAGE(OFFSET($EN$3,0,0,'Données projet'!$E$15+1,1))-AVERAGE(OFFSET($H$3,0,0,'Données projet'!$E$15+1,1))</f>
        <v>312.06797204903796</v>
      </c>
      <c r="EP76" s="62">
        <f t="shared" si="100"/>
        <v>258.20189001775151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6.2</v>
      </c>
      <c r="FE76" s="13">
        <f>IF('Données projet'!$A$218&gt;35,FE75+FD76-FM75,IF(A76&lt;'Données projet'!$A$218,$FB$205^A76,IF(A76='Données projet'!$A$218,'Données projet'!$B$218,FE75+FD76-FM75)))</f>
        <v>239.59999999999991</v>
      </c>
      <c r="FF76" s="18">
        <f>FE76*VLOOKUP('Données projet'!$B$16,Paramètres!$A$1:$I$89,3,0)*VLOOKUP('Données projet'!$B$16,Paramètres!$A$1:$I$89,5,0)</f>
        <v>231.74111999999991</v>
      </c>
      <c r="FG76" s="14">
        <f t="shared" si="101"/>
        <v>56.658986982752438</v>
      </c>
      <c r="FH76" s="22">
        <f t="shared" si="76"/>
        <v>502.29685299496032</v>
      </c>
      <c r="FI76" s="62">
        <f t="shared" si="77"/>
        <v>795.63018632829358</v>
      </c>
      <c r="FJ76" s="62">
        <f ca="1">AVERAGE(OFFSET($FI$3,0,0,'Données projet'!$E$16+1,1))-AVERAGE(OFFSET($H$3,0,0,'Données projet'!$E$16+1,1))</f>
        <v>455.50822833641354</v>
      </c>
      <c r="FK76" s="62">
        <f t="shared" si="102"/>
        <v>261.14722581688039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2.2737367544323206E-13</v>
      </c>
      <c r="O77" s="14">
        <f>N77*VLOOKUP('Données projet'!$B$9,Paramètres!$A$1:$I$89,3,0)*VLOOKUP('Données projet'!$B$9,Paramètres!$A$1:$I$89,5,0)</f>
        <v>1.2710188457276673E-13</v>
      </c>
      <c r="P77" s="14">
        <f t="shared" si="87"/>
        <v>1.856866851063998E-12</v>
      </c>
      <c r="Q77" s="22">
        <f t="shared" si="54"/>
        <v>3.4554122145673649E-12</v>
      </c>
      <c r="R77" s="62">
        <f t="shared" si="55"/>
        <v>293.33333333333678</v>
      </c>
      <c r="S77" s="62">
        <f ca="1">AVERAGE(OFFSET($R$3,0,0,'Données projet'!$E$9+1,1))-AVERAGE(OFFSET($H$3,0,0,'Données projet'!$E$9+1,1))</f>
        <v>323.98185264074681</v>
      </c>
      <c r="T77" s="62">
        <f t="shared" si="88"/>
        <v>301.22207291854005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1.8669087948118592</v>
      </c>
      <c r="AA77" s="23">
        <f>EXP(-LN(2)/25)*AA76+(1-EXP(-LN(2)/25))/(LN(2)/25)*Calculateur!V77*Calculateur!X77*VLOOKUP('Données projet'!$B$9,Paramètres!$A$1:$I$89,3,0)*0.475*44/12</f>
        <v>2.4350000881819849</v>
      </c>
      <c r="AB77" s="23">
        <f>EXP(-LN(2)/2)*AB76+(1-EXP(-LN(2)/2))/(LN(2)/2)*V77*Y77*VLOOKUP('Données projet'!$B$9,Paramètres!$A$1:$I$89,3,0)*0.475*44/12</f>
        <v>1.4514463376088192E-6</v>
      </c>
      <c r="AC77" s="24">
        <f t="shared" si="57"/>
        <v>4.3019103344401817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13.236538461538458</v>
      </c>
      <c r="AI77" s="14">
        <f>IF('Données projet'!$A$62&gt;35,AI76+AH77-AQ76,IF(A77&lt;'Données projet'!$A$62,$AF$205^A77,IF(A77='Données projet'!$A$62,'Données projet'!$B$62,AI76+AH77-AQ76)))</f>
        <v>417.63269230769242</v>
      </c>
      <c r="AJ77" s="14">
        <f>AI77*VLOOKUP('Données projet'!$B$10,Paramètres!$A$1:$I$89,3,0)*VLOOKUP('Données projet'!$B$10,Paramètres!$A$1:$I$89,5,0)</f>
        <v>195.45210000000006</v>
      </c>
      <c r="AK77" s="14">
        <f t="shared" si="89"/>
        <v>48.743342861644244</v>
      </c>
      <c r="AL77" s="22">
        <f t="shared" si="58"/>
        <v>425.30706298403044</v>
      </c>
      <c r="AM77" s="62">
        <f t="shared" si="59"/>
        <v>718.64039631736375</v>
      </c>
      <c r="AN77" s="62">
        <f ca="1">AVERAGE(OFFSET($AM$3,0,0,'Données projet'!$E$10+1,1))-AVERAGE(OFFSET($H$3,0,0,'Données projet'!$E$10+1,1))</f>
        <v>276.78862011733338</v>
      </c>
      <c r="AO77" s="62">
        <f t="shared" si="90"/>
        <v>202.1678469635836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222.3998399999999</v>
      </c>
      <c r="BF77" s="14">
        <f t="shared" si="91"/>
        <v>54.636149281681448</v>
      </c>
      <c r="BG77" s="22">
        <f t="shared" si="61"/>
        <v>482.50434799892832</v>
      </c>
      <c r="BH77" s="62">
        <f t="shared" si="62"/>
        <v>775.83768133226158</v>
      </c>
      <c r="BI77" s="62">
        <f ca="1">AVERAGE(OFFSET($BH$3,0,0,'Données projet'!$E$11+1,1))-AVERAGE(OFFSET($H$3,0,0,'Données projet'!$E$11+1,1))</f>
        <v>428.8489304403459</v>
      </c>
      <c r="BJ77" s="62">
        <f t="shared" si="92"/>
        <v>247.01165577562966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7.5584615384615343</v>
      </c>
      <c r="BY77" s="13">
        <f>IF('Données projet'!$A$114&gt;35,BY76+BX77-CG76,IF(A77&lt;'Données projet'!$A$114,$BV$205^A77,IF(A77='Données projet'!$A$114,'Données projet'!$B$114,BY76+BX77-CG76)))</f>
        <v>357.55692307692283</v>
      </c>
      <c r="BZ77" s="14">
        <f>BY77*VLOOKUP('Données projet'!$B$12,Paramètres!$A$1:$I$89,3,0)*VLOOKUP('Données projet'!$B$12,Paramètres!$A$1:$I$89,5,0)</f>
        <v>213.81903999999986</v>
      </c>
      <c r="CA77" s="14">
        <f t="shared" si="93"/>
        <v>52.769264634128973</v>
      </c>
      <c r="CB77" s="22">
        <f t="shared" si="64"/>
        <v>464.30796390444101</v>
      </c>
      <c r="CC77" s="62">
        <f t="shared" si="65"/>
        <v>757.64129723777432</v>
      </c>
      <c r="CD77" s="62">
        <f ca="1">AVERAGE(OFFSET($CC$3,0,0,'Données projet'!$E$12+1,1))-AVERAGE(OFFSET($H$3,0,0,'Données projet'!$E$12+1,1))</f>
        <v>289.12367833861299</v>
      </c>
      <c r="CE77" s="62">
        <f t="shared" si="94"/>
        <v>229.06617320689003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9.8868252707134473E-7</v>
      </c>
      <c r="CN77" s="24">
        <f t="shared" si="66"/>
        <v>9.8868252707134473E-7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4.1799999999999953</v>
      </c>
      <c r="CT77" s="13">
        <f>IF('Données projet'!$A$140&gt;35,CT76+CS77-DB76,IF(A77&lt;'Données projet'!$A$140,$CQ$205^A77,IF(A77='Données projet'!$A$140,'Données projet'!$B$140,CT76+CS77-DB76)))</f>
        <v>319.31999999999994</v>
      </c>
      <c r="CU77" s="18">
        <f>CT77*VLOOKUP('Données projet'!$B$13,Paramètres!$A$1:$I$89,3,0)*VLOOKUP('Données projet'!$B$13,Paramètres!$A$1:$I$89,5,0)</f>
        <v>254.05099199999995</v>
      </c>
      <c r="CV77" s="14">
        <f t="shared" si="95"/>
        <v>61.45258663488832</v>
      </c>
      <c r="CW77" s="22">
        <f t="shared" si="67"/>
        <v>549.50206612243039</v>
      </c>
      <c r="CX77" s="62">
        <f t="shared" si="68"/>
        <v>842.83539945576376</v>
      </c>
      <c r="CY77" s="62">
        <f ca="1">AVERAGE(OFFSET($CX$3,0,0,'Données projet'!$E$13+1,1))-AVERAGE(OFFSET($H$3,0,0,'Données projet'!$E$13+1,1))</f>
        <v>370.59298168107364</v>
      </c>
      <c r="CZ77" s="62">
        <f t="shared" si="96"/>
        <v>404.61777090709171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3.8</v>
      </c>
      <c r="DO77" s="13">
        <f>IF('Données projet'!$A$166&gt;35,DO76+DN77-DW76,IF(A77&lt;'Données projet'!$A$166,$DL$205^A77,IF(A77='Données projet'!$A$166,'Données projet'!$B$166,DO76+DN77-DW76)))</f>
        <v>219.19999999999996</v>
      </c>
      <c r="DP77" s="18">
        <f>DO77*VLOOKUP('Données projet'!$B$14,Paramètres!$A$1:$I$89,3,0)*VLOOKUP('Données projet'!$B$14,Paramètres!$A$1:$I$89,5,0)</f>
        <v>191.49312</v>
      </c>
      <c r="DQ77" s="14">
        <f t="shared" si="97"/>
        <v>47.86990994320918</v>
      </c>
      <c r="DR77" s="22">
        <f t="shared" si="70"/>
        <v>416.89061048442267</v>
      </c>
      <c r="DS77" s="62">
        <f t="shared" si="71"/>
        <v>710.22394381775598</v>
      </c>
      <c r="DT77" s="62">
        <f ca="1">AVERAGE(OFFSET($DS$3,0,0,'Données projet'!$E$14+1,1))-AVERAGE(OFFSET($H$3,0,0,'Données projet'!$E$14+1,1))</f>
        <v>341.65872153228599</v>
      </c>
      <c r="DU77" s="62">
        <f t="shared" si="98"/>
        <v>339.49697153894937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4.6153846153846247</v>
      </c>
      <c r="EJ77" s="13">
        <f>IF('Données projet'!$A$192&gt;35,EJ76+EI77-ER76,IF(A77&lt;'Données projet'!$A$192,$EG$205^A77,IF(A77='Données projet'!$A$192,'Données projet'!$B$192,EJ76+EI77-ER76)))</f>
        <v>256.28205128205133</v>
      </c>
      <c r="EK77" s="18">
        <f>EJ77*VLOOKUP('Données projet'!$B$15,Paramètres!$A$1:$I$89,3,0)*VLOOKUP('Données projet'!$B$15,Paramètres!$A$1:$I$89,5,0)</f>
        <v>171.91400000000002</v>
      </c>
      <c r="EL77" s="14">
        <f t="shared" si="99"/>
        <v>43.518416191440224</v>
      </c>
      <c r="EM77" s="22">
        <f t="shared" si="73"/>
        <v>375.21145820009173</v>
      </c>
      <c r="EN77" s="62">
        <f t="shared" si="74"/>
        <v>668.54479153342504</v>
      </c>
      <c r="EO77" s="62">
        <f ca="1">AVERAGE(OFFSET($EN$3,0,0,'Données projet'!$E$15+1,1))-AVERAGE(OFFSET($H$3,0,0,'Données projet'!$E$15+1,1))</f>
        <v>312.06797204903796</v>
      </c>
      <c r="EP77" s="62">
        <f t="shared" si="100"/>
        <v>258.20189001775151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6.2</v>
      </c>
      <c r="FE77" s="13">
        <f>IF('Données projet'!$A$218&gt;35,FE76+FD77-FM76,IF(A77&lt;'Données projet'!$A$218,$FB$205^A77,IF(A77='Données projet'!$A$218,'Données projet'!$B$218,FE76+FD77-FM76)))</f>
        <v>245.7999999999999</v>
      </c>
      <c r="FF77" s="18">
        <f>FE77*VLOOKUP('Données projet'!$B$16,Paramètres!$A$1:$I$89,3,0)*VLOOKUP('Données projet'!$B$16,Paramètres!$A$1:$I$89,5,0)</f>
        <v>237.73775999999989</v>
      </c>
      <c r="FG77" s="14">
        <f t="shared" si="101"/>
        <v>57.952530566790166</v>
      </c>
      <c r="FH77" s="22">
        <f t="shared" si="76"/>
        <v>514.99392273715932</v>
      </c>
      <c r="FI77" s="62">
        <f t="shared" si="77"/>
        <v>808.32725607049269</v>
      </c>
      <c r="FJ77" s="62">
        <f ca="1">AVERAGE(OFFSET($FI$3,0,0,'Données projet'!$E$16+1,1))-AVERAGE(OFFSET($H$3,0,0,'Données projet'!$E$16+1,1))</f>
        <v>455.50822833641354</v>
      </c>
      <c r="FK77" s="62">
        <f t="shared" si="102"/>
        <v>261.14722581688039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2.2737367544323206E-13</v>
      </c>
      <c r="O78" s="14">
        <f>N78*VLOOKUP('Données projet'!$B$9,Paramètres!$A$1:$I$89,3,0)*VLOOKUP('Données projet'!$B$9,Paramètres!$A$1:$I$89,5,0)</f>
        <v>1.2710188457276673E-13</v>
      </c>
      <c r="P78" s="14">
        <f t="shared" si="87"/>
        <v>1.856866851063998E-12</v>
      </c>
      <c r="Q78" s="22">
        <f t="shared" si="54"/>
        <v>3.4554122145673649E-12</v>
      </c>
      <c r="R78" s="62">
        <f t="shared" si="55"/>
        <v>293.33333333333678</v>
      </c>
      <c r="S78" s="62">
        <f ca="1">AVERAGE(OFFSET($R$3,0,0,'Données projet'!$E$9+1,1))-AVERAGE(OFFSET($H$3,0,0,'Données projet'!$E$9+1,1))</f>
        <v>323.98185264074681</v>
      </c>
      <c r="T78" s="62">
        <f t="shared" si="88"/>
        <v>301.22207291854005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1.830299852047526</v>
      </c>
      <c r="AA78" s="23">
        <f>EXP(-LN(2)/25)*AA77+(1-EXP(-LN(2)/25))/(LN(2)/25)*Calculateur!V78*Calculateur!X78*VLOOKUP('Données projet'!$B$9,Paramètres!$A$1:$I$89,3,0)*0.475*44/12</f>
        <v>2.3684148827195592</v>
      </c>
      <c r="AB78" s="23">
        <f>EXP(-LN(2)/2)*AB77+(1-EXP(-LN(2)/2))/(LN(2)/2)*V78*Y78*VLOOKUP('Données projet'!$B$9,Paramètres!$A$1:$I$89,3,0)*0.475*44/12</f>
        <v>1.0263275478515751E-6</v>
      </c>
      <c r="AC78" s="24">
        <f t="shared" si="57"/>
        <v>4.1987157610946335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430.86923076923074</v>
      </c>
      <c r="AG78" s="13">
        <f>VLOOKUP(A78,'Données projet'!$A$61:$I$81,9,0)</f>
        <v>13.236538461538458</v>
      </c>
      <c r="AH78" s="13">
        <f t="array" ref="AH78">INDEX(AG:AG,MIN(IF(ISNUMBER(AG78:AG274),ROW(AG78:AG274),"")))</f>
        <v>13.236538461538458</v>
      </c>
      <c r="AI78" s="14">
        <f>IF('Données projet'!$A$62&gt;35,AI77+AH78-AQ77,IF(A78&lt;'Données projet'!$A$62,$AF$205^A78,IF(A78='Données projet'!$A$62,'Données projet'!$B$62,AI77+AH78-AQ77)))</f>
        <v>430.86923076923085</v>
      </c>
      <c r="AJ78" s="14">
        <f>AI78*VLOOKUP('Données projet'!$B$10,Paramètres!$A$1:$I$89,3,0)*VLOOKUP('Données projet'!$B$10,Paramètres!$A$1:$I$89,5,0)</f>
        <v>201.64680000000004</v>
      </c>
      <c r="AK78" s="14">
        <f t="shared" si="89"/>
        <v>50.105911613506244</v>
      </c>
      <c r="AL78" s="22">
        <f t="shared" si="58"/>
        <v>438.46930606019009</v>
      </c>
      <c r="AM78" s="62">
        <f t="shared" si="59"/>
        <v>731.80263939352335</v>
      </c>
      <c r="AN78" s="62">
        <f ca="1">AVERAGE(OFFSET($AM$3,0,0,'Données projet'!$E$10+1,1))-AVERAGE(OFFSET($H$3,0,0,'Données projet'!$E$10+1,1))</f>
        <v>276.78862011733338</v>
      </c>
      <c r="AO78" s="62">
        <f t="shared" si="90"/>
        <v>202.1678469635836</v>
      </c>
      <c r="AP78" s="16">
        <f>IF(ISNA(VLOOKUP(A78,'Données projet'!$A$61:$I$81,3,0)),0,VLOOKUP(A78,'Données projet'!$A$61:$I$81,3,0))</f>
        <v>5</v>
      </c>
      <c r="AQ78" s="16">
        <f>IF(ISNA(VLOOKUP(A78,'Données projet'!$A$61:$I$81,4,0)),0,VLOOKUP(A78,'Données projet'!$A$61:$I$81,4,0))</f>
        <v>78.307692307692307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228.00959999999986</v>
      </c>
      <c r="BF78" s="14">
        <f t="shared" si="91"/>
        <v>55.852093054619779</v>
      </c>
      <c r="BG78" s="22">
        <f t="shared" si="61"/>
        <v>494.39244873679587</v>
      </c>
      <c r="BH78" s="62">
        <f t="shared" si="62"/>
        <v>787.72578207012918</v>
      </c>
      <c r="BI78" s="62">
        <f ca="1">AVERAGE(OFFSET($BH$3,0,0,'Données projet'!$E$11+1,1))-AVERAGE(OFFSET($H$3,0,0,'Données projet'!$E$11+1,1))</f>
        <v>428.8489304403459</v>
      </c>
      <c r="BJ78" s="62">
        <f t="shared" si="92"/>
        <v>247.01165577562966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7.5584615384615343</v>
      </c>
      <c r="BY78" s="13">
        <f>IF('Données projet'!$A$114&gt;35,BY77+BX78-CG77,IF(A78&lt;'Données projet'!$A$114,$BV$205^A78,IF(A78='Données projet'!$A$114,'Données projet'!$B$114,BY77+BX78-CG77)))</f>
        <v>365.11538461538436</v>
      </c>
      <c r="BZ78" s="14">
        <f>BY78*VLOOKUP('Données projet'!$B$12,Paramètres!$A$1:$I$89,3,0)*VLOOKUP('Données projet'!$B$12,Paramètres!$A$1:$I$89,5,0)</f>
        <v>218.33899999999988</v>
      </c>
      <c r="CA78" s="14">
        <f t="shared" si="93"/>
        <v>53.753716498326504</v>
      </c>
      <c r="CB78" s="22">
        <f t="shared" si="64"/>
        <v>473.8948145679185</v>
      </c>
      <c r="CC78" s="62">
        <f t="shared" si="65"/>
        <v>767.22814790125176</v>
      </c>
      <c r="CD78" s="62">
        <f ca="1">AVERAGE(OFFSET($CC$3,0,0,'Données projet'!$E$12+1,1))-AVERAGE(OFFSET($H$3,0,0,'Données projet'!$E$12+1,1))</f>
        <v>289.12367833861299</v>
      </c>
      <c r="CE78" s="62">
        <f t="shared" si="94"/>
        <v>229.06617320689003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6.9910411933280022E-7</v>
      </c>
      <c r="CN78" s="24">
        <f t="shared" si="66"/>
        <v>6.9910411933280022E-7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323.5</v>
      </c>
      <c r="CR78" s="13">
        <f>VLOOKUP(A78,'Données projet'!$A$139:$I$159,9,0)</f>
        <v>4.1799999999999953</v>
      </c>
      <c r="CS78" s="13">
        <f t="array" ref="CS78">INDEX(CR:CR,MIN(IF(ISNUMBER(CR78:CR274),ROW(CR78:CR274),"")))</f>
        <v>4.1799999999999953</v>
      </c>
      <c r="CT78" s="13">
        <f>IF('Données projet'!$A$140&gt;35,CT77+CS78-DB77,IF(A78&lt;'Données projet'!$A$140,$CQ$205^A78,IF(A78='Données projet'!$A$140,'Données projet'!$B$140,CT77+CS78-DB77)))</f>
        <v>323.49999999999994</v>
      </c>
      <c r="CU78" s="18">
        <f>CT78*VLOOKUP('Données projet'!$B$13,Paramètres!$A$1:$I$89,3,0)*VLOOKUP('Données projet'!$B$13,Paramètres!$A$1:$I$89,5,0)</f>
        <v>257.3766</v>
      </c>
      <c r="CV78" s="14">
        <f t="shared" si="95"/>
        <v>62.162845465331493</v>
      </c>
      <c r="CW78" s="22">
        <f t="shared" si="67"/>
        <v>556.53120085211901</v>
      </c>
      <c r="CX78" s="62">
        <f t="shared" si="68"/>
        <v>849.86453418545238</v>
      </c>
      <c r="CY78" s="62">
        <f ca="1">AVERAGE(OFFSET($CX$3,0,0,'Données projet'!$E$13+1,1))-AVERAGE(OFFSET($H$3,0,0,'Données projet'!$E$13+1,1))</f>
        <v>370.59298168107364</v>
      </c>
      <c r="CZ78" s="62">
        <f t="shared" si="96"/>
        <v>404.61777090709171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223</v>
      </c>
      <c r="DM78" s="13">
        <f>VLOOKUP(A78,'Données projet'!$A$165:$I$185,9,0)</f>
        <v>3.8</v>
      </c>
      <c r="DN78" s="13">
        <f t="array" ref="DN78">INDEX(DM:DM,MIN(IF(ISNUMBER(DM78:DM274),ROW(DM78:DM274),"")))</f>
        <v>3.8</v>
      </c>
      <c r="DO78" s="13">
        <f>IF('Données projet'!$A$166&gt;35,DO77+DN78-DW77,IF(A78&lt;'Données projet'!$A$166,$DL$205^A78,IF(A78='Données projet'!$A$166,'Données projet'!$B$166,DO77+DN78-DW77)))</f>
        <v>222.99999999999997</v>
      </c>
      <c r="DP78" s="18">
        <f>DO78*VLOOKUP('Données projet'!$B$14,Paramètres!$A$1:$I$89,3,0)*VLOOKUP('Données projet'!$B$14,Paramètres!$A$1:$I$89,5,0)</f>
        <v>194.81280000000001</v>
      </c>
      <c r="DQ78" s="14">
        <f t="shared" si="97"/>
        <v>48.602440540253859</v>
      </c>
      <c r="DR78" s="22">
        <f t="shared" si="70"/>
        <v>423.94821060760881</v>
      </c>
      <c r="DS78" s="62">
        <f t="shared" si="71"/>
        <v>717.28154394094213</v>
      </c>
      <c r="DT78" s="62">
        <f ca="1">AVERAGE(OFFSET($DS$3,0,0,'Données projet'!$E$14+1,1))-AVERAGE(OFFSET($H$3,0,0,'Données projet'!$E$14+1,1))</f>
        <v>341.65872153228599</v>
      </c>
      <c r="DU78" s="62">
        <f t="shared" si="98"/>
        <v>339.49697153894937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260.89743589743591</v>
      </c>
      <c r="EH78" s="13">
        <f>VLOOKUP(A78,'Données projet'!$A$191:$I$211,9,0)</f>
        <v>4.6153846153846247</v>
      </c>
      <c r="EI78" s="13">
        <f t="array" ref="EI78">INDEX(EH:EH,MIN(IF(ISNUMBER(EH78:EH274),ROW(EH78:EH274),"")))</f>
        <v>4.6153846153846247</v>
      </c>
      <c r="EJ78" s="13">
        <f>IF('Données projet'!$A$192&gt;35,EJ77+EI78-ER77,IF(A78&lt;'Données projet'!$A$192,$EG$205^A78,IF(A78='Données projet'!$A$192,'Données projet'!$B$192,EJ77+EI78-ER77)))</f>
        <v>260.89743589743597</v>
      </c>
      <c r="EK78" s="18">
        <f>EJ78*VLOOKUP('Données projet'!$B$15,Paramètres!$A$1:$I$89,3,0)*VLOOKUP('Données projet'!$B$15,Paramètres!$A$1:$I$89,5,0)</f>
        <v>175.01000000000005</v>
      </c>
      <c r="EL78" s="14">
        <f t="shared" si="99"/>
        <v>44.210193140944192</v>
      </c>
      <c r="EM78" s="22">
        <f t="shared" si="73"/>
        <v>381.80850305381119</v>
      </c>
      <c r="EN78" s="62">
        <f t="shared" si="74"/>
        <v>675.14183638714451</v>
      </c>
      <c r="EO78" s="62">
        <f ca="1">AVERAGE(OFFSET($EN$3,0,0,'Données projet'!$E$15+1,1))-AVERAGE(OFFSET($H$3,0,0,'Données projet'!$E$15+1,1))</f>
        <v>312.06797204903796</v>
      </c>
      <c r="EP78" s="62">
        <f t="shared" si="100"/>
        <v>258.20189001775151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252</v>
      </c>
      <c r="FC78" s="13">
        <f>VLOOKUP(A78,'Données projet'!$A$217:$I$237,9,0)</f>
        <v>6.2</v>
      </c>
      <c r="FD78" s="13">
        <f t="array" ref="FD78">INDEX(FC:FC,MIN(IF(ISNUMBER(FC78:FC274),ROW(FC78:FC274),"")))</f>
        <v>6.2</v>
      </c>
      <c r="FE78" s="13">
        <f>IF('Données projet'!$A$218&gt;35,FE77+FD78-FM77,IF(A78&lt;'Données projet'!$A$218,$FB$205^A78,IF(A78='Données projet'!$A$218,'Données projet'!$B$218,FE77+FD78-FM77)))</f>
        <v>251.99999999999989</v>
      </c>
      <c r="FF78" s="18">
        <f>FE78*VLOOKUP('Données projet'!$B$16,Paramètres!$A$1:$I$89,3,0)*VLOOKUP('Données projet'!$B$16,Paramètres!$A$1:$I$89,5,0)</f>
        <v>243.73439999999988</v>
      </c>
      <c r="FG78" s="14">
        <f t="shared" si="101"/>
        <v>59.242281392848767</v>
      </c>
      <c r="FH78" s="22">
        <f t="shared" si="76"/>
        <v>527.68438675921141</v>
      </c>
      <c r="FI78" s="62">
        <f t="shared" si="77"/>
        <v>821.01772009254478</v>
      </c>
      <c r="FJ78" s="62">
        <f ca="1">AVERAGE(OFFSET($FI$3,0,0,'Données projet'!$E$16+1,1))-AVERAGE(OFFSET($H$3,0,0,'Données projet'!$E$16+1,1))</f>
        <v>455.50822833641354</v>
      </c>
      <c r="FK78" s="62">
        <f t="shared" si="102"/>
        <v>261.14722581688039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2.2737367544323206E-13</v>
      </c>
      <c r="O79" s="14">
        <f>N79*VLOOKUP('Données projet'!$B$9,Paramètres!$A$1:$I$89,3,0)*VLOOKUP('Données projet'!$B$9,Paramètres!$A$1:$I$89,5,0)</f>
        <v>1.2710188457276673E-13</v>
      </c>
      <c r="P79" s="14">
        <f t="shared" si="87"/>
        <v>1.856866851063998E-12</v>
      </c>
      <c r="Q79" s="22">
        <f t="shared" si="54"/>
        <v>3.4554122145673649E-12</v>
      </c>
      <c r="R79" s="62">
        <f t="shared" si="55"/>
        <v>293.33333333333678</v>
      </c>
      <c r="S79" s="62">
        <f ca="1">AVERAGE(OFFSET($R$3,0,0,'Données projet'!$E$9+1,1))-AVERAGE(OFFSET($H$3,0,0,'Données projet'!$E$9+1,1))</f>
        <v>323.98185264074681</v>
      </c>
      <c r="T79" s="62">
        <f t="shared" si="88"/>
        <v>301.22207291854005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1.7944087883215512</v>
      </c>
      <c r="AA79" s="23">
        <f>EXP(-LN(2)/25)*AA78+(1-EXP(-LN(2)/25))/(LN(2)/25)*Calculateur!V79*Calculateur!X79*VLOOKUP('Données projet'!$B$9,Paramètres!$A$1:$I$89,3,0)*0.475*44/12</f>
        <v>2.3036504532020672</v>
      </c>
      <c r="AB79" s="23">
        <f>EXP(-LN(2)/2)*AB78+(1-EXP(-LN(2)/2))/(LN(2)/2)*V79*Y79*VLOOKUP('Données projet'!$B$9,Paramètres!$A$1:$I$89,3,0)*0.475*44/12</f>
        <v>7.2572316880440958E-7</v>
      </c>
      <c r="AC79" s="24">
        <f t="shared" si="57"/>
        <v>4.0980599672467868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12.173076923076934</v>
      </c>
      <c r="AI79" s="14">
        <f>IF('Données projet'!$A$62&gt;35,AI78+AH79-AQ78,IF(A79&lt;'Données projet'!$A$62,$AF$205^A79,IF(A79='Données projet'!$A$62,'Données projet'!$B$62,AI78+AH79-AQ78)))</f>
        <v>364.73461538461544</v>
      </c>
      <c r="AJ79" s="14">
        <f>AI79*VLOOKUP('Données projet'!$B$10,Paramètres!$A$1:$I$89,3,0)*VLOOKUP('Données projet'!$B$10,Paramètres!$A$1:$I$89,5,0)</f>
        <v>170.69580000000005</v>
      </c>
      <c r="AK79" s="14">
        <f t="shared" si="89"/>
        <v>43.245822573915277</v>
      </c>
      <c r="AL79" s="22">
        <f t="shared" si="58"/>
        <v>372.61499264956916</v>
      </c>
      <c r="AM79" s="62">
        <f t="shared" si="59"/>
        <v>665.94832598290247</v>
      </c>
      <c r="AN79" s="62">
        <f ca="1">AVERAGE(OFFSET($AM$3,0,0,'Données projet'!$E$10+1,1))-AVERAGE(OFFSET($H$3,0,0,'Données projet'!$E$10+1,1))</f>
        <v>276.78862011733338</v>
      </c>
      <c r="AO79" s="62">
        <f t="shared" si="90"/>
        <v>202.1678469635836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233.43839999999989</v>
      </c>
      <c r="BF79" s="14">
        <f t="shared" si="91"/>
        <v>57.025500710931624</v>
      </c>
      <c r="BG79" s="22">
        <f t="shared" si="61"/>
        <v>505.89129373820577</v>
      </c>
      <c r="BH79" s="62">
        <f t="shared" si="62"/>
        <v>799.22462707153909</v>
      </c>
      <c r="BI79" s="62">
        <f ca="1">AVERAGE(OFFSET($BH$3,0,0,'Données projet'!$E$11+1,1))-AVERAGE(OFFSET($H$3,0,0,'Données projet'!$E$11+1,1))</f>
        <v>428.8489304403459</v>
      </c>
      <c r="BJ79" s="62">
        <f t="shared" si="92"/>
        <v>247.01165577562966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7.5584615384615343</v>
      </c>
      <c r="BY79" s="13">
        <f>IF('Données projet'!$A$114&gt;35,BY78+BX79-CG78,IF(A79&lt;'Données projet'!$A$114,$BV$205^A79,IF(A79='Données projet'!$A$114,'Données projet'!$B$114,BY78+BX79-CG78)))</f>
        <v>372.67384615384589</v>
      </c>
      <c r="BZ79" s="14">
        <f>BY79*VLOOKUP('Données projet'!$B$12,Paramètres!$A$1:$I$89,3,0)*VLOOKUP('Données projet'!$B$12,Paramètres!$A$1:$I$89,5,0)</f>
        <v>222.85895999999985</v>
      </c>
      <c r="CA79" s="14">
        <f t="shared" si="93"/>
        <v>54.735798842493168</v>
      </c>
      <c r="CB79" s="22">
        <f t="shared" si="64"/>
        <v>483.47753831734195</v>
      </c>
      <c r="CC79" s="62">
        <f t="shared" si="65"/>
        <v>776.81087165067527</v>
      </c>
      <c r="CD79" s="62">
        <f ca="1">AVERAGE(OFFSET($CC$3,0,0,'Données projet'!$E$12+1,1))-AVERAGE(OFFSET($H$3,0,0,'Données projet'!$E$12+1,1))</f>
        <v>289.12367833861299</v>
      </c>
      <c r="CE79" s="62">
        <f t="shared" si="94"/>
        <v>229.06617320689003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4.9434126353567236E-7</v>
      </c>
      <c r="CN79" s="24">
        <f t="shared" si="66"/>
        <v>4.9434126353567236E-7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3.5600000000000023</v>
      </c>
      <c r="CT79" s="13">
        <f>IF('Données projet'!$A$140&gt;35,CT78+CS79-DB78,IF(A79&lt;'Données projet'!$A$140,$CQ$205^A79,IF(A79='Données projet'!$A$140,'Données projet'!$B$140,CT78+CS79-DB78)))</f>
        <v>327.05999999999995</v>
      </c>
      <c r="CU79" s="18">
        <f>CT79*VLOOKUP('Données projet'!$B$13,Paramètres!$A$1:$I$89,3,0)*VLOOKUP('Données projet'!$B$13,Paramètres!$A$1:$I$89,5,0)</f>
        <v>260.20893599999999</v>
      </c>
      <c r="CV79" s="14">
        <f t="shared" si="95"/>
        <v>62.766912585729685</v>
      </c>
      <c r="CW79" s="22">
        <f t="shared" si="67"/>
        <v>562.51626962014586</v>
      </c>
      <c r="CX79" s="62">
        <f t="shared" si="68"/>
        <v>855.84960295347923</v>
      </c>
      <c r="CY79" s="62">
        <f ca="1">AVERAGE(OFFSET($CX$3,0,0,'Données projet'!$E$13+1,1))-AVERAGE(OFFSET($H$3,0,0,'Données projet'!$E$13+1,1))</f>
        <v>370.59298168107364</v>
      </c>
      <c r="CZ79" s="62">
        <f t="shared" si="96"/>
        <v>404.61777090709171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3.6</v>
      </c>
      <c r="DO79" s="13">
        <f>IF('Données projet'!$A$166&gt;35,DO78+DN79-DW78,IF(A79&lt;'Données projet'!$A$166,$DL$205^A79,IF(A79='Données projet'!$A$166,'Données projet'!$B$166,DO78+DN79-DW78)))</f>
        <v>226.59999999999997</v>
      </c>
      <c r="DP79" s="18">
        <f>DO79*VLOOKUP('Données projet'!$B$14,Paramètres!$A$1:$I$89,3,0)*VLOOKUP('Données projet'!$B$14,Paramètres!$A$1:$I$89,5,0)</f>
        <v>197.95775999999998</v>
      </c>
      <c r="DQ79" s="14">
        <f t="shared" si="97"/>
        <v>49.295077435194607</v>
      </c>
      <c r="DR79" s="22">
        <f t="shared" si="70"/>
        <v>430.63202519963056</v>
      </c>
      <c r="DS79" s="62">
        <f t="shared" si="71"/>
        <v>723.96535853296382</v>
      </c>
      <c r="DT79" s="62">
        <f ca="1">AVERAGE(OFFSET($DS$3,0,0,'Données projet'!$E$14+1,1))-AVERAGE(OFFSET($H$3,0,0,'Données projet'!$E$14+1,1))</f>
        <v>341.65872153228599</v>
      </c>
      <c r="DU79" s="62">
        <f t="shared" si="98"/>
        <v>339.49697153894937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4.2307692307692264</v>
      </c>
      <c r="EJ79" s="13">
        <f>IF('Données projet'!$A$192&gt;35,EJ78+EI79-ER78,IF(A79&lt;'Données projet'!$A$192,$EG$205^A79,IF(A79='Données projet'!$A$192,'Données projet'!$B$192,EJ78+EI79-ER78)))</f>
        <v>265.1282051282052</v>
      </c>
      <c r="EK79" s="18">
        <f>EJ79*VLOOKUP('Données projet'!$B$15,Paramètres!$A$1:$I$89,3,0)*VLOOKUP('Données projet'!$B$15,Paramètres!$A$1:$I$89,5,0)</f>
        <v>177.84800000000004</v>
      </c>
      <c r="EL79" s="14">
        <f t="shared" si="99"/>
        <v>44.84307118144492</v>
      </c>
      <c r="EM79" s="22">
        <f t="shared" si="73"/>
        <v>387.85361564101663</v>
      </c>
      <c r="EN79" s="62">
        <f t="shared" si="74"/>
        <v>681.18694897434989</v>
      </c>
      <c r="EO79" s="62">
        <f ca="1">AVERAGE(OFFSET($EN$3,0,0,'Données projet'!$E$15+1,1))-AVERAGE(OFFSET($H$3,0,0,'Données projet'!$E$15+1,1))</f>
        <v>312.06797204903796</v>
      </c>
      <c r="EP79" s="62">
        <f t="shared" si="100"/>
        <v>258.20189001775151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6</v>
      </c>
      <c r="FE79" s="13">
        <f>IF('Données projet'!$A$218&gt;35,FE78+FD79-FM78,IF(A79&lt;'Données projet'!$A$218,$FB$205^A79,IF(A79='Données projet'!$A$218,'Données projet'!$B$218,FE78+FD79-FM78)))</f>
        <v>257.99999999999989</v>
      </c>
      <c r="FF79" s="18">
        <f>FE79*VLOOKUP('Données projet'!$B$16,Paramètres!$A$1:$I$89,3,0)*VLOOKUP('Données projet'!$B$16,Paramètres!$A$1:$I$89,5,0)</f>
        <v>249.53759999999988</v>
      </c>
      <c r="FG79" s="14">
        <f t="shared" si="101"/>
        <v>60.486914185674671</v>
      </c>
      <c r="FH79" s="22">
        <f t="shared" si="76"/>
        <v>539.95936220671649</v>
      </c>
      <c r="FI79" s="62">
        <f t="shared" si="77"/>
        <v>833.29269554004986</v>
      </c>
      <c r="FJ79" s="62">
        <f ca="1">AVERAGE(OFFSET($FI$3,0,0,'Données projet'!$E$16+1,1))-AVERAGE(OFFSET($H$3,0,0,'Données projet'!$E$16+1,1))</f>
        <v>455.50822833641354</v>
      </c>
      <c r="FK79" s="62">
        <f t="shared" si="102"/>
        <v>261.14722581688039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2.2737367544323206E-13</v>
      </c>
      <c r="O80" s="14">
        <f>N80*VLOOKUP('Données projet'!$B$9,Paramètres!$A$1:$I$89,3,0)*VLOOKUP('Données projet'!$B$9,Paramètres!$A$1:$I$89,5,0)</f>
        <v>1.2710188457276673E-13</v>
      </c>
      <c r="P80" s="14">
        <f t="shared" si="87"/>
        <v>1.856866851063998E-12</v>
      </c>
      <c r="Q80" s="22">
        <f t="shared" si="54"/>
        <v>3.4554122145673649E-12</v>
      </c>
      <c r="R80" s="62">
        <f t="shared" si="55"/>
        <v>293.33333333333678</v>
      </c>
      <c r="S80" s="62">
        <f ca="1">AVERAGE(OFFSET($R$3,0,0,'Données projet'!$E$9+1,1))-AVERAGE(OFFSET($H$3,0,0,'Données projet'!$E$9+1,1))</f>
        <v>323.98185264074681</v>
      </c>
      <c r="T80" s="62">
        <f t="shared" si="88"/>
        <v>301.22207291854005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1.7592215264638553</v>
      </c>
      <c r="AA80" s="23">
        <f>EXP(-LN(2)/25)*AA79+(1-EXP(-LN(2)/25))/(LN(2)/25)*Calculateur!V80*Calculateur!X80*VLOOKUP('Données projet'!$B$9,Paramètres!$A$1:$I$89,3,0)*0.475*44/12</f>
        <v>2.2406570104155445</v>
      </c>
      <c r="AB80" s="23">
        <f>EXP(-LN(2)/2)*AB79+(1-EXP(-LN(2)/2))/(LN(2)/2)*V80*Y80*VLOOKUP('Données projet'!$B$9,Paramètres!$A$1:$I$89,3,0)*0.475*44/12</f>
        <v>5.1316377392578753E-7</v>
      </c>
      <c r="AC80" s="24">
        <f t="shared" si="57"/>
        <v>3.999879050043174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12.173076923076934</v>
      </c>
      <c r="AI80" s="14">
        <f>IF('Données projet'!$A$62&gt;35,AI79+AH80-AQ79,IF(A80&lt;'Données projet'!$A$62,$AF$205^A80,IF(A80='Données projet'!$A$62,'Données projet'!$B$62,AI79+AH80-AQ79)))</f>
        <v>376.9076923076924</v>
      </c>
      <c r="AJ80" s="14">
        <f>AI80*VLOOKUP('Données projet'!$B$10,Paramètres!$A$1:$I$89,3,0)*VLOOKUP('Données projet'!$B$10,Paramètres!$A$1:$I$89,5,0)</f>
        <v>176.39280000000005</v>
      </c>
      <c r="AK80" s="14">
        <f t="shared" si="89"/>
        <v>44.518707550240585</v>
      </c>
      <c r="AL80" s="22">
        <f t="shared" si="58"/>
        <v>384.75420898333573</v>
      </c>
      <c r="AM80" s="62">
        <f t="shared" si="59"/>
        <v>678.08754231666899</v>
      </c>
      <c r="AN80" s="62">
        <f ca="1">AVERAGE(OFFSET($AM$3,0,0,'Données projet'!$E$10+1,1))-AVERAGE(OFFSET($H$3,0,0,'Données projet'!$E$10+1,1))</f>
        <v>276.78862011733338</v>
      </c>
      <c r="AO80" s="62">
        <f t="shared" si="90"/>
        <v>202.1678469635836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238.86719999999988</v>
      </c>
      <c r="BF80" s="14">
        <f t="shared" si="91"/>
        <v>58.195735973104156</v>
      </c>
      <c r="BG80" s="22">
        <f t="shared" si="61"/>
        <v>517.38461348648957</v>
      </c>
      <c r="BH80" s="62">
        <f t="shared" si="62"/>
        <v>810.71794681982283</v>
      </c>
      <c r="BI80" s="62">
        <f ca="1">AVERAGE(OFFSET($BH$3,0,0,'Données projet'!$E$11+1,1))-AVERAGE(OFFSET($H$3,0,0,'Données projet'!$E$11+1,1))</f>
        <v>428.8489304403459</v>
      </c>
      <c r="BJ80" s="62">
        <f t="shared" si="92"/>
        <v>247.01165577562966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7.5584615384615343</v>
      </c>
      <c r="BY80" s="13">
        <f>IF('Données projet'!$A$114&gt;35,BY79+BX80-CG79,IF(A80&lt;'Données projet'!$A$114,$BV$205^A80,IF(A80='Données projet'!$A$114,'Données projet'!$B$114,BY79+BX80-CG79)))</f>
        <v>380.23230769230742</v>
      </c>
      <c r="BZ80" s="14">
        <f>BY80*VLOOKUP('Données projet'!$B$12,Paramètres!$A$1:$I$89,3,0)*VLOOKUP('Données projet'!$B$12,Paramètres!$A$1:$I$89,5,0)</f>
        <v>227.37891999999985</v>
      </c>
      <c r="CA80" s="14">
        <f t="shared" si="93"/>
        <v>55.715565262615499</v>
      </c>
      <c r="CB80" s="22">
        <f t="shared" si="64"/>
        <v>493.05622849905507</v>
      </c>
      <c r="CC80" s="62">
        <f t="shared" si="65"/>
        <v>786.38956183238838</v>
      </c>
      <c r="CD80" s="62">
        <f ca="1">AVERAGE(OFFSET($CC$3,0,0,'Données projet'!$E$12+1,1))-AVERAGE(OFFSET($H$3,0,0,'Données projet'!$E$12+1,1))</f>
        <v>289.12367833861299</v>
      </c>
      <c r="CE80" s="62">
        <f t="shared" si="94"/>
        <v>229.06617320689003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3.4955205966640011E-7</v>
      </c>
      <c r="CN80" s="24">
        <f t="shared" si="66"/>
        <v>3.4955205966640011E-7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3.5600000000000023</v>
      </c>
      <c r="CT80" s="13">
        <f>IF('Données projet'!$A$140&gt;35,CT79+CS80-DB79,IF(A80&lt;'Données projet'!$A$140,$CQ$205^A80,IF(A80='Données projet'!$A$140,'Données projet'!$B$140,CT79+CS80-DB79)))</f>
        <v>330.61999999999995</v>
      </c>
      <c r="CU80" s="18">
        <f>CT80*VLOOKUP('Données projet'!$B$13,Paramètres!$A$1:$I$89,3,0)*VLOOKUP('Données projet'!$B$13,Paramètres!$A$1:$I$89,5,0)</f>
        <v>263.04127199999994</v>
      </c>
      <c r="CV80" s="14">
        <f t="shared" si="95"/>
        <v>63.370214823641057</v>
      </c>
      <c r="CW80" s="22">
        <f t="shared" si="67"/>
        <v>568.50000621784136</v>
      </c>
      <c r="CX80" s="62">
        <f t="shared" si="68"/>
        <v>861.83333955117473</v>
      </c>
      <c r="CY80" s="62">
        <f ca="1">AVERAGE(OFFSET($CX$3,0,0,'Données projet'!$E$13+1,1))-AVERAGE(OFFSET($H$3,0,0,'Données projet'!$E$13+1,1))</f>
        <v>370.59298168107364</v>
      </c>
      <c r="CZ80" s="62">
        <f t="shared" si="96"/>
        <v>404.61777090709171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3.6</v>
      </c>
      <c r="DO80" s="13">
        <f>IF('Données projet'!$A$166&gt;35,DO79+DN80-DW79,IF(A80&lt;'Données projet'!$A$166,$DL$205^A80,IF(A80='Données projet'!$A$166,'Données projet'!$B$166,DO79+DN80-DW79)))</f>
        <v>230.19999999999996</v>
      </c>
      <c r="DP80" s="18">
        <f>DO80*VLOOKUP('Données projet'!$B$14,Paramètres!$A$1:$I$89,3,0)*VLOOKUP('Données projet'!$B$14,Paramètres!$A$1:$I$89,5,0)</f>
        <v>201.10271999999998</v>
      </c>
      <c r="DQ80" s="14">
        <f t="shared" si="97"/>
        <v>49.986434598176757</v>
      </c>
      <c r="DR80" s="22">
        <f t="shared" si="70"/>
        <v>437.31361092515778</v>
      </c>
      <c r="DS80" s="62">
        <f t="shared" si="71"/>
        <v>730.64694425849109</v>
      </c>
      <c r="DT80" s="62">
        <f ca="1">AVERAGE(OFFSET($DS$3,0,0,'Données projet'!$E$14+1,1))-AVERAGE(OFFSET($H$3,0,0,'Données projet'!$E$14+1,1))</f>
        <v>341.65872153228599</v>
      </c>
      <c r="DU80" s="62">
        <f t="shared" si="98"/>
        <v>339.49697153894937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4.2307692307692264</v>
      </c>
      <c r="EJ80" s="13">
        <f>IF('Données projet'!$A$192&gt;35,EJ79+EI80-ER79,IF(A80&lt;'Données projet'!$A$192,$EG$205^A80,IF(A80='Données projet'!$A$192,'Données projet'!$B$192,EJ79+EI80-ER79)))</f>
        <v>269.35897435897442</v>
      </c>
      <c r="EK80" s="18">
        <f>EJ80*VLOOKUP('Données projet'!$B$15,Paramètres!$A$1:$I$89,3,0)*VLOOKUP('Données projet'!$B$15,Paramètres!$A$1:$I$89,5,0)</f>
        <v>180.68600000000004</v>
      </c>
      <c r="EL80" s="14">
        <f t="shared" si="99"/>
        <v>45.474774723021419</v>
      </c>
      <c r="EM80" s="22">
        <f t="shared" si="73"/>
        <v>393.89668264259575</v>
      </c>
      <c r="EN80" s="62">
        <f t="shared" si="74"/>
        <v>687.23001597592906</v>
      </c>
      <c r="EO80" s="62">
        <f ca="1">AVERAGE(OFFSET($EN$3,0,0,'Données projet'!$E$15+1,1))-AVERAGE(OFFSET($H$3,0,0,'Données projet'!$E$15+1,1))</f>
        <v>312.06797204903796</v>
      </c>
      <c r="EP80" s="62">
        <f t="shared" si="100"/>
        <v>258.20189001775151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6</v>
      </c>
      <c r="FE80" s="13">
        <f>IF('Données projet'!$A$218&gt;35,FE79+FD80-FM79,IF(A80&lt;'Données projet'!$A$218,$FB$205^A80,IF(A80='Données projet'!$A$218,'Données projet'!$B$218,FE79+FD80-FM79)))</f>
        <v>263.99999999999989</v>
      </c>
      <c r="FF80" s="18">
        <f>FE80*VLOOKUP('Données projet'!$B$16,Paramètres!$A$1:$I$89,3,0)*VLOOKUP('Données projet'!$B$16,Paramètres!$A$1:$I$89,5,0)</f>
        <v>255.34079999999989</v>
      </c>
      <c r="FG80" s="14">
        <f t="shared" si="101"/>
        <v>61.728182021951895</v>
      </c>
      <c r="FH80" s="22">
        <f t="shared" si="76"/>
        <v>552.22847702156594</v>
      </c>
      <c r="FI80" s="62">
        <f t="shared" si="77"/>
        <v>845.56181035489931</v>
      </c>
      <c r="FJ80" s="62">
        <f ca="1">AVERAGE(OFFSET($FI$3,0,0,'Données projet'!$E$16+1,1))-AVERAGE(OFFSET($H$3,0,0,'Données projet'!$E$16+1,1))</f>
        <v>455.50822833641354</v>
      </c>
      <c r="FK80" s="62">
        <f t="shared" si="102"/>
        <v>261.14722581688039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2.2737367544323206E-13</v>
      </c>
      <c r="O81" s="14">
        <f>N81*VLOOKUP('Données projet'!$B$9,Paramètres!$A$1:$I$89,3,0)*VLOOKUP('Données projet'!$B$9,Paramètres!$A$1:$I$89,5,0)</f>
        <v>1.2710188457276673E-13</v>
      </c>
      <c r="P81" s="14">
        <f t="shared" si="87"/>
        <v>1.856866851063998E-12</v>
      </c>
      <c r="Q81" s="22">
        <f t="shared" si="54"/>
        <v>3.4554122145673649E-12</v>
      </c>
      <c r="R81" s="62">
        <f t="shared" si="55"/>
        <v>293.33333333333678</v>
      </c>
      <c r="S81" s="62">
        <f ca="1">AVERAGE(OFFSET($R$3,0,0,'Données projet'!$E$9+1,1))-AVERAGE(OFFSET($H$3,0,0,'Données projet'!$E$9+1,1))</f>
        <v>323.98185264074681</v>
      </c>
      <c r="T81" s="62">
        <f t="shared" si="88"/>
        <v>301.22207291854005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1.7247242653490784</v>
      </c>
      <c r="AA81" s="23">
        <f>EXP(-LN(2)/25)*AA80+(1-EXP(-LN(2)/25))/(LN(2)/25)*Calculateur!V81*Calculateur!X81*VLOOKUP('Données projet'!$B$9,Paramètres!$A$1:$I$89,3,0)*0.475*44/12</f>
        <v>2.1793861266347005</v>
      </c>
      <c r="AB81" s="23">
        <f>EXP(-LN(2)/2)*AB80+(1-EXP(-LN(2)/2))/(LN(2)/2)*V81*Y81*VLOOKUP('Données projet'!$B$9,Paramètres!$A$1:$I$89,3,0)*0.475*44/12</f>
        <v>3.6286158440220479E-7</v>
      </c>
      <c r="AC81" s="24">
        <f t="shared" si="57"/>
        <v>3.9041107548453633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12.173076923076934</v>
      </c>
      <c r="AI81" s="14">
        <f>IF('Données projet'!$A$62&gt;35,AI80+AH81-AQ80,IF(A81&lt;'Données projet'!$A$62,$AF$205^A81,IF(A81='Données projet'!$A$62,'Données projet'!$B$62,AI80+AH81-AQ80)))</f>
        <v>389.08076923076931</v>
      </c>
      <c r="AJ81" s="14">
        <f>AI81*VLOOKUP('Données projet'!$B$10,Paramètres!$A$1:$I$89,3,0)*VLOOKUP('Données projet'!$B$10,Paramètres!$A$1:$I$89,5,0)</f>
        <v>182.08980000000005</v>
      </c>
      <c r="AK81" s="14">
        <f t="shared" si="89"/>
        <v>45.786815351095733</v>
      </c>
      <c r="AL81" s="22">
        <f t="shared" si="58"/>
        <v>396.88510506982516</v>
      </c>
      <c r="AM81" s="62">
        <f t="shared" si="59"/>
        <v>690.21843840315842</v>
      </c>
      <c r="AN81" s="62">
        <f ca="1">AVERAGE(OFFSET($AM$3,0,0,'Données projet'!$E$10+1,1))-AVERAGE(OFFSET($H$3,0,0,'Données projet'!$E$10+1,1))</f>
        <v>276.78862011733338</v>
      </c>
      <c r="AO81" s="62">
        <f t="shared" si="90"/>
        <v>202.1678469635836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244.29599999999991</v>
      </c>
      <c r="BF81" s="14">
        <f t="shared" si="91"/>
        <v>59.362879241040318</v>
      </c>
      <c r="BG81" s="22">
        <f t="shared" si="61"/>
        <v>528.87254801147833</v>
      </c>
      <c r="BH81" s="62">
        <f t="shared" si="62"/>
        <v>822.20588134481159</v>
      </c>
      <c r="BI81" s="62">
        <f ca="1">AVERAGE(OFFSET($BH$3,0,0,'Données projet'!$E$11+1,1))-AVERAGE(OFFSET($H$3,0,0,'Données projet'!$E$11+1,1))</f>
        <v>428.8489304403459</v>
      </c>
      <c r="BJ81" s="62">
        <f t="shared" si="92"/>
        <v>247.01165577562966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7.5584615384615343</v>
      </c>
      <c r="BY81" s="13">
        <f>IF('Données projet'!$A$114&gt;35,BY80+BX81-CG80,IF(A81&lt;'Données projet'!$A$114,$BV$205^A81,IF(A81='Données projet'!$A$114,'Données projet'!$B$114,BY80+BX81-CG80)))</f>
        <v>387.79076923076894</v>
      </c>
      <c r="BZ81" s="14">
        <f>BY81*VLOOKUP('Données projet'!$B$12,Paramètres!$A$1:$I$89,3,0)*VLOOKUP('Données projet'!$B$12,Paramètres!$A$1:$I$89,5,0)</f>
        <v>231.89887999999985</v>
      </c>
      <c r="CA81" s="14">
        <f t="shared" si="93"/>
        <v>56.693067102008712</v>
      </c>
      <c r="CB81" s="22">
        <f t="shared" si="64"/>
        <v>502.63097453599829</v>
      </c>
      <c r="CC81" s="62">
        <f t="shared" si="65"/>
        <v>795.96430786933161</v>
      </c>
      <c r="CD81" s="62">
        <f ca="1">AVERAGE(OFFSET($CC$3,0,0,'Données projet'!$E$12+1,1))-AVERAGE(OFFSET($H$3,0,0,'Données projet'!$E$12+1,1))</f>
        <v>289.12367833861299</v>
      </c>
      <c r="CE81" s="62">
        <f t="shared" si="94"/>
        <v>229.06617320689003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2.4717063176783618E-7</v>
      </c>
      <c r="CN81" s="24">
        <f t="shared" si="66"/>
        <v>2.4717063176783618E-7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3.5600000000000023</v>
      </c>
      <c r="CT81" s="13">
        <f>IF('Données projet'!$A$140&gt;35,CT80+CS81-DB80,IF(A81&lt;'Données projet'!$A$140,$CQ$205^A81,IF(A81='Données projet'!$A$140,'Données projet'!$B$140,CT80+CS81-DB80)))</f>
        <v>334.17999999999995</v>
      </c>
      <c r="CU81" s="18">
        <f>CT81*VLOOKUP('Données projet'!$B$13,Paramètres!$A$1:$I$89,3,0)*VLOOKUP('Données projet'!$B$13,Paramètres!$A$1:$I$89,5,0)</f>
        <v>265.87360799999999</v>
      </c>
      <c r="CV81" s="14">
        <f t="shared" si="95"/>
        <v>63.972761368317435</v>
      </c>
      <c r="CW81" s="22">
        <f t="shared" si="67"/>
        <v>574.48242664981956</v>
      </c>
      <c r="CX81" s="62">
        <f t="shared" si="68"/>
        <v>867.81575998315293</v>
      </c>
      <c r="CY81" s="62">
        <f ca="1">AVERAGE(OFFSET($CX$3,0,0,'Données projet'!$E$13+1,1))-AVERAGE(OFFSET($H$3,0,0,'Données projet'!$E$13+1,1))</f>
        <v>370.59298168107364</v>
      </c>
      <c r="CZ81" s="62">
        <f t="shared" si="96"/>
        <v>404.61777090709171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3.6</v>
      </c>
      <c r="DO81" s="13">
        <f>IF('Données projet'!$A$166&gt;35,DO80+DN81-DW80,IF(A81&lt;'Données projet'!$A$166,$DL$205^A81,IF(A81='Données projet'!$A$166,'Données projet'!$B$166,DO80+DN81-DW80)))</f>
        <v>233.79999999999995</v>
      </c>
      <c r="DP81" s="18">
        <f>DO81*VLOOKUP('Données projet'!$B$14,Paramètres!$A$1:$I$89,3,0)*VLOOKUP('Données projet'!$B$14,Paramètres!$A$1:$I$89,5,0)</f>
        <v>204.24768</v>
      </c>
      <c r="DQ81" s="14">
        <f t="shared" si="97"/>
        <v>50.676534353429041</v>
      </c>
      <c r="DR81" s="22">
        <f t="shared" si="70"/>
        <v>443.99300666555558</v>
      </c>
      <c r="DS81" s="62">
        <f t="shared" si="71"/>
        <v>737.3263399988889</v>
      </c>
      <c r="DT81" s="62">
        <f ca="1">AVERAGE(OFFSET($DS$3,0,0,'Données projet'!$E$14+1,1))-AVERAGE(OFFSET($H$3,0,0,'Données projet'!$E$14+1,1))</f>
        <v>341.65872153228599</v>
      </c>
      <c r="DU81" s="62">
        <f t="shared" si="98"/>
        <v>339.49697153894937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4.2307692307692264</v>
      </c>
      <c r="EJ81" s="13">
        <f>IF('Données projet'!$A$192&gt;35,EJ80+EI81-ER80,IF(A81&lt;'Données projet'!$A$192,$EG$205^A81,IF(A81='Données projet'!$A$192,'Données projet'!$B$192,EJ80+EI81-ER80)))</f>
        <v>273.58974358974365</v>
      </c>
      <c r="EK81" s="18">
        <f>EJ81*VLOOKUP('Données projet'!$B$15,Paramètres!$A$1:$I$89,3,0)*VLOOKUP('Données projet'!$B$15,Paramètres!$A$1:$I$89,5,0)</f>
        <v>183.52400000000006</v>
      </c>
      <c r="EL81" s="14">
        <f t="shared" si="99"/>
        <v>46.10532434349372</v>
      </c>
      <c r="EM81" s="22">
        <f t="shared" si="73"/>
        <v>399.93773989825166</v>
      </c>
      <c r="EN81" s="62">
        <f t="shared" si="74"/>
        <v>693.27107323158498</v>
      </c>
      <c r="EO81" s="62">
        <f ca="1">AVERAGE(OFFSET($EN$3,0,0,'Données projet'!$E$15+1,1))-AVERAGE(OFFSET($H$3,0,0,'Données projet'!$E$15+1,1))</f>
        <v>312.06797204903796</v>
      </c>
      <c r="EP81" s="62">
        <f t="shared" si="100"/>
        <v>258.20189001775151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6</v>
      </c>
      <c r="FE81" s="13">
        <f>IF('Données projet'!$A$218&gt;35,FE80+FD81-FM80,IF(A81&lt;'Données projet'!$A$218,$FB$205^A81,IF(A81='Données projet'!$A$218,'Données projet'!$B$218,FE80+FD81-FM80)))</f>
        <v>269.99999999999989</v>
      </c>
      <c r="FF81" s="18">
        <f>FE81*VLOOKUP('Données projet'!$B$16,Paramètres!$A$1:$I$89,3,0)*VLOOKUP('Données projet'!$B$16,Paramètres!$A$1:$I$89,5,0)</f>
        <v>261.14399999999989</v>
      </c>
      <c r="FG81" s="14">
        <f t="shared" si="101"/>
        <v>62.966170181808813</v>
      </c>
      <c r="FH81" s="22">
        <f t="shared" si="76"/>
        <v>564.49187973331675</v>
      </c>
      <c r="FI81" s="62">
        <f t="shared" si="77"/>
        <v>857.82521306665012</v>
      </c>
      <c r="FJ81" s="62">
        <f ca="1">AVERAGE(OFFSET($FI$3,0,0,'Données projet'!$E$16+1,1))-AVERAGE(OFFSET($H$3,0,0,'Données projet'!$E$16+1,1))</f>
        <v>455.50822833641354</v>
      </c>
      <c r="FK81" s="62">
        <f t="shared" si="102"/>
        <v>261.14722581688039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2.2737367544323206E-13</v>
      </c>
      <c r="O82" s="14">
        <f>N82*VLOOKUP('Données projet'!$B$9,Paramètres!$A$1:$I$89,3,0)*VLOOKUP('Données projet'!$B$9,Paramètres!$A$1:$I$89,5,0)</f>
        <v>1.2710188457276673E-13</v>
      </c>
      <c r="P82" s="14">
        <f t="shared" si="87"/>
        <v>1.856866851063998E-12</v>
      </c>
      <c r="Q82" s="22">
        <f t="shared" si="54"/>
        <v>3.4554122145673649E-12</v>
      </c>
      <c r="R82" s="62">
        <f t="shared" si="55"/>
        <v>293.33333333333678</v>
      </c>
      <c r="S82" s="62">
        <f ca="1">AVERAGE(OFFSET($R$3,0,0,'Données projet'!$E$9+1,1))-AVERAGE(OFFSET($H$3,0,0,'Données projet'!$E$9+1,1))</f>
        <v>323.98185264074681</v>
      </c>
      <c r="T82" s="62">
        <f t="shared" si="88"/>
        <v>301.22207291854005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1.6909034744835107</v>
      </c>
      <c r="AA82" s="23">
        <f>EXP(-LN(2)/25)*AA81+(1-EXP(-LN(2)/25))/(LN(2)/25)*Calculateur!V82*Calculateur!X82*VLOOKUP('Données projet'!$B$9,Paramètres!$A$1:$I$89,3,0)*0.475*44/12</f>
        <v>2.1197906983929391</v>
      </c>
      <c r="AB82" s="23">
        <f>EXP(-LN(2)/2)*AB81+(1-EXP(-LN(2)/2))/(LN(2)/2)*V82*Y82*VLOOKUP('Données projet'!$B$9,Paramètres!$A$1:$I$89,3,0)*0.475*44/12</f>
        <v>2.5658188696289376E-7</v>
      </c>
      <c r="AC82" s="24">
        <f t="shared" si="57"/>
        <v>3.8106944294583367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>
        <f>VLOOKUP(A82,'Données projet'!$A$61:$I$81,2,0)</f>
        <v>401.25384615384615</v>
      </c>
      <c r="AG82" s="13">
        <f>VLOOKUP(A82,'Données projet'!$A$61:$I$81,9,0)</f>
        <v>12.173076923076934</v>
      </c>
      <c r="AH82" s="13">
        <f t="array" ref="AH82">INDEX(AG:AG,MIN(IF(ISNUMBER(AG82:AG278),ROW(AG82:AG278),"")))</f>
        <v>12.173076923076934</v>
      </c>
      <c r="AI82" s="14">
        <f>IF('Données projet'!$A$62&gt;35,AI81+AH82-AQ81,IF(A82&lt;'Données projet'!$A$62,$AF$205^A82,IF(A82='Données projet'!$A$62,'Données projet'!$B$62,AI81+AH82-AQ81)))</f>
        <v>401.25384615384621</v>
      </c>
      <c r="AJ82" s="14">
        <f>AI82*VLOOKUP('Données projet'!$B$10,Paramètres!$A$1:$I$89,3,0)*VLOOKUP('Données projet'!$B$10,Paramètres!$A$1:$I$89,5,0)</f>
        <v>187.78680000000003</v>
      </c>
      <c r="AK82" s="14">
        <f t="shared" si="89"/>
        <v>47.050312587934037</v>
      </c>
      <c r="AL82" s="22">
        <f t="shared" si="58"/>
        <v>409.00797109065178</v>
      </c>
      <c r="AM82" s="62">
        <f t="shared" si="59"/>
        <v>702.34130442398509</v>
      </c>
      <c r="AN82" s="62">
        <f ca="1">AVERAGE(OFFSET($AM$3,0,0,'Données projet'!$E$10+1,1))-AVERAGE(OFFSET($H$3,0,0,'Données projet'!$E$10+1,1))</f>
        <v>276.78862011733338</v>
      </c>
      <c r="AO82" s="62">
        <f t="shared" si="90"/>
        <v>202.1678469635836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249.7247999999999</v>
      </c>
      <c r="BF82" s="14">
        <f t="shared" si="91"/>
        <v>60.527007137298092</v>
      </c>
      <c r="BG82" s="22">
        <f t="shared" si="61"/>
        <v>540.35523076412733</v>
      </c>
      <c r="BH82" s="62">
        <f t="shared" si="62"/>
        <v>833.68856409746058</v>
      </c>
      <c r="BI82" s="62">
        <f ca="1">AVERAGE(OFFSET($BH$3,0,0,'Données projet'!$E$11+1,1))-AVERAGE(OFFSET($H$3,0,0,'Données projet'!$E$11+1,1))</f>
        <v>428.8489304403459</v>
      </c>
      <c r="BJ82" s="62">
        <f t="shared" si="92"/>
        <v>247.01165577562966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7.5584615384615343</v>
      </c>
      <c r="BY82" s="13">
        <f>IF('Données projet'!$A$114&gt;35,BY81+BX82-CG81,IF(A82&lt;'Données projet'!$A$114,$BV$205^A82,IF(A82='Données projet'!$A$114,'Données projet'!$B$114,BY81+BX82-CG81)))</f>
        <v>395.34923076923047</v>
      </c>
      <c r="BZ82" s="14">
        <f>BY82*VLOOKUP('Données projet'!$B$12,Paramètres!$A$1:$I$89,3,0)*VLOOKUP('Données projet'!$B$12,Paramètres!$A$1:$I$89,5,0)</f>
        <v>236.41883999999985</v>
      </c>
      <c r="CA82" s="14">
        <f t="shared" si="93"/>
        <v>57.668353588027863</v>
      </c>
      <c r="CB82" s="22">
        <f t="shared" si="64"/>
        <v>512.20186216581487</v>
      </c>
      <c r="CC82" s="62">
        <f t="shared" si="65"/>
        <v>805.53519549914813</v>
      </c>
      <c r="CD82" s="62">
        <f ca="1">AVERAGE(OFFSET($CC$3,0,0,'Données projet'!$E$12+1,1))-AVERAGE(OFFSET($H$3,0,0,'Données projet'!$E$12+1,1))</f>
        <v>289.12367833861299</v>
      </c>
      <c r="CE82" s="62">
        <f t="shared" si="94"/>
        <v>229.06617320689003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1.7477602983320005E-7</v>
      </c>
      <c r="CN82" s="24">
        <f t="shared" si="66"/>
        <v>1.7477602983320005E-7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3.5600000000000023</v>
      </c>
      <c r="CT82" s="13">
        <f>IF('Données projet'!$A$140&gt;35,CT81+CS82-DB81,IF(A82&lt;'Données projet'!$A$140,$CQ$205^A82,IF(A82='Données projet'!$A$140,'Données projet'!$B$140,CT81+CS82-DB81)))</f>
        <v>337.73999999999995</v>
      </c>
      <c r="CU82" s="18">
        <f>CT82*VLOOKUP('Données projet'!$B$13,Paramètres!$A$1:$I$89,3,0)*VLOOKUP('Données projet'!$B$13,Paramètres!$A$1:$I$89,5,0)</f>
        <v>268.70594399999999</v>
      </c>
      <c r="CV82" s="14">
        <f t="shared" si="95"/>
        <v>64.574561201947517</v>
      </c>
      <c r="CW82" s="22">
        <f t="shared" si="67"/>
        <v>580.46354656005849</v>
      </c>
      <c r="CX82" s="62">
        <f t="shared" si="68"/>
        <v>873.79687989339186</v>
      </c>
      <c r="CY82" s="62">
        <f ca="1">AVERAGE(OFFSET($CX$3,0,0,'Données projet'!$E$13+1,1))-AVERAGE(OFFSET($H$3,0,0,'Données projet'!$E$13+1,1))</f>
        <v>370.59298168107364</v>
      </c>
      <c r="CZ82" s="62">
        <f t="shared" si="96"/>
        <v>404.61777090709171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3.6</v>
      </c>
      <c r="DO82" s="13">
        <f>IF('Données projet'!$A$166&gt;35,DO81+DN82-DW81,IF(A82&lt;'Données projet'!$A$166,$DL$205^A82,IF(A82='Données projet'!$A$166,'Données projet'!$B$166,DO81+DN82-DW81)))</f>
        <v>237.39999999999995</v>
      </c>
      <c r="DP82" s="18">
        <f>DO82*VLOOKUP('Données projet'!$B$14,Paramètres!$A$1:$I$89,3,0)*VLOOKUP('Données projet'!$B$14,Paramètres!$A$1:$I$89,5,0)</f>
        <v>207.39264</v>
      </c>
      <c r="DQ82" s="14">
        <f t="shared" si="97"/>
        <v>51.365398298247158</v>
      </c>
      <c r="DR82" s="22">
        <f t="shared" si="70"/>
        <v>450.67025003611371</v>
      </c>
      <c r="DS82" s="62">
        <f t="shared" si="71"/>
        <v>744.00358336944703</v>
      </c>
      <c r="DT82" s="62">
        <f ca="1">AVERAGE(OFFSET($DS$3,0,0,'Données projet'!$E$14+1,1))-AVERAGE(OFFSET($H$3,0,0,'Données projet'!$E$14+1,1))</f>
        <v>341.65872153228599</v>
      </c>
      <c r="DU82" s="62">
        <f t="shared" si="98"/>
        <v>339.49697153894937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4.2307692307692264</v>
      </c>
      <c r="EJ82" s="13">
        <f>IF('Données projet'!$A$192&gt;35,EJ81+EI82-ER81,IF(A82&lt;'Données projet'!$A$192,$EG$205^A82,IF(A82='Données projet'!$A$192,'Données projet'!$B$192,EJ81+EI82-ER81)))</f>
        <v>277.82051282051287</v>
      </c>
      <c r="EK82" s="18">
        <f>EJ82*VLOOKUP('Données projet'!$B$15,Paramètres!$A$1:$I$89,3,0)*VLOOKUP('Données projet'!$B$15,Paramètres!$A$1:$I$89,5,0)</f>
        <v>186.36200000000002</v>
      </c>
      <c r="EL82" s="14">
        <f t="shared" si="99"/>
        <v>46.734739947740024</v>
      </c>
      <c r="EM82" s="22">
        <f t="shared" si="73"/>
        <v>405.97682207564725</v>
      </c>
      <c r="EN82" s="62">
        <f t="shared" si="74"/>
        <v>699.31015540898056</v>
      </c>
      <c r="EO82" s="62">
        <f ca="1">AVERAGE(OFFSET($EN$3,0,0,'Données projet'!$E$15+1,1))-AVERAGE(OFFSET($H$3,0,0,'Données projet'!$E$15+1,1))</f>
        <v>312.06797204903796</v>
      </c>
      <c r="EP82" s="62">
        <f t="shared" si="100"/>
        <v>258.20189001775151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6</v>
      </c>
      <c r="FE82" s="13">
        <f>IF('Données projet'!$A$218&gt;35,FE81+FD82-FM81,IF(A82&lt;'Données projet'!$A$218,$FB$205^A82,IF(A82='Données projet'!$A$218,'Données projet'!$B$218,FE81+FD82-FM81)))</f>
        <v>275.99999999999989</v>
      </c>
      <c r="FF82" s="18">
        <f>FE82*VLOOKUP('Données projet'!$B$16,Paramètres!$A$1:$I$89,3,0)*VLOOKUP('Données projet'!$B$16,Paramètres!$A$1:$I$89,5,0)</f>
        <v>266.9471999999999</v>
      </c>
      <c r="FG82" s="14">
        <f t="shared" si="101"/>
        <v>64.200959938746379</v>
      </c>
      <c r="FH82" s="22">
        <f t="shared" si="76"/>
        <v>576.74971189331643</v>
      </c>
      <c r="FI82" s="62">
        <f t="shared" si="77"/>
        <v>870.0830452266498</v>
      </c>
      <c r="FJ82" s="62">
        <f ca="1">AVERAGE(OFFSET($FI$3,0,0,'Données projet'!$E$16+1,1))-AVERAGE(OFFSET($H$3,0,0,'Données projet'!$E$16+1,1))</f>
        <v>455.50822833641354</v>
      </c>
      <c r="FK82" s="62">
        <f t="shared" si="102"/>
        <v>261.14722581688039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2.2737367544323206E-13</v>
      </c>
      <c r="O83" s="14">
        <f>N83*VLOOKUP('Données projet'!$B$9,Paramètres!$A$1:$I$89,3,0)*VLOOKUP('Données projet'!$B$9,Paramètres!$A$1:$I$89,5,0)</f>
        <v>1.2710188457276673E-13</v>
      </c>
      <c r="P83" s="14">
        <f t="shared" si="87"/>
        <v>1.856866851063998E-12</v>
      </c>
      <c r="Q83" s="22">
        <f t="shared" si="54"/>
        <v>3.4554122145673649E-12</v>
      </c>
      <c r="R83" s="62">
        <f t="shared" si="55"/>
        <v>293.33333333333678</v>
      </c>
      <c r="S83" s="62">
        <f ca="1">AVERAGE(OFFSET($R$3,0,0,'Données projet'!$E$9+1,1))-AVERAGE(OFFSET($H$3,0,0,'Données projet'!$E$9+1,1))</f>
        <v>323.98185264074681</v>
      </c>
      <c r="T83" s="62">
        <f t="shared" si="88"/>
        <v>301.22207291854005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1.6577458886981713</v>
      </c>
      <c r="AA83" s="23">
        <f>EXP(-LN(2)/25)*AA82+(1-EXP(-LN(2)/25))/(LN(2)/25)*Calculateur!V83*Calculateur!X83*VLOOKUP('Données projet'!$B$9,Paramètres!$A$1:$I$89,3,0)*0.475*44/12</f>
        <v>2.061824910270436</v>
      </c>
      <c r="AB83" s="23">
        <f>EXP(-LN(2)/2)*AB82+(1-EXP(-LN(2)/2))/(LN(2)/2)*V83*Y83*VLOOKUP('Données projet'!$B$9,Paramètres!$A$1:$I$89,3,0)*0.475*44/12</f>
        <v>1.814307922011024E-7</v>
      </c>
      <c r="AC83" s="24">
        <f t="shared" si="57"/>
        <v>3.7195709803993995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12.346153846153854</v>
      </c>
      <c r="AI83" s="14">
        <f>IF('Données projet'!$A$62&gt;35,AI82+AH83-AQ82,IF(A83&lt;'Données projet'!$A$62,$AF$205^A83,IF(A83='Données projet'!$A$62,'Données projet'!$B$62,AI82+AH83-AQ82)))</f>
        <v>413.60000000000008</v>
      </c>
      <c r="AJ83" s="14">
        <f>AI83*VLOOKUP('Données projet'!$B$10,Paramètres!$A$1:$I$89,3,0)*VLOOKUP('Données projet'!$B$10,Paramètres!$A$1:$I$89,5,0)</f>
        <v>193.56480000000002</v>
      </c>
      <c r="AK83" s="14">
        <f t="shared" si="89"/>
        <v>48.327224868697201</v>
      </c>
      <c r="AL83" s="22">
        <f t="shared" si="58"/>
        <v>421.29527664631428</v>
      </c>
      <c r="AM83" s="62">
        <f t="shared" si="59"/>
        <v>714.62860997964754</v>
      </c>
      <c r="AN83" s="62">
        <f ca="1">AVERAGE(OFFSET($AM$3,0,0,'Données projet'!$E$10+1,1))-AVERAGE(OFFSET($H$3,0,0,'Données projet'!$E$10+1,1))</f>
        <v>276.78862011733338</v>
      </c>
      <c r="AO83" s="62">
        <f t="shared" si="90"/>
        <v>202.1678469635836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255.15359999999987</v>
      </c>
      <c r="BF83" s="14">
        <f t="shared" si="91"/>
        <v>61.688192762754376</v>
      </c>
      <c r="BG83" s="22">
        <f t="shared" si="61"/>
        <v>551.83278906179692</v>
      </c>
      <c r="BH83" s="62">
        <f t="shared" si="62"/>
        <v>845.16612239513029</v>
      </c>
      <c r="BI83" s="62">
        <f ca="1">AVERAGE(OFFSET($BH$3,0,0,'Données projet'!$E$11+1,1))-AVERAGE(OFFSET($H$3,0,0,'Données projet'!$E$11+1,1))</f>
        <v>428.8489304403459</v>
      </c>
      <c r="BJ83" s="62">
        <f t="shared" si="92"/>
        <v>247.01165577562966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402.90769230769229</v>
      </c>
      <c r="BW83" s="13">
        <f>VLOOKUP(A83,'Données projet'!$A$113:$I$133,9,0)</f>
        <v>7.5584615384615343</v>
      </c>
      <c r="BX83" s="13">
        <f t="array" ref="BX83">INDEX(BW:BW,MIN(IF(ISNUMBER(BW83:BW279),ROW(BW83:BW279),"")))</f>
        <v>7.5584615384615343</v>
      </c>
      <c r="BY83" s="13">
        <f>IF('Données projet'!$A$114&gt;35,BY82+BX83-CG82,IF(A83&lt;'Données projet'!$A$114,$BV$205^A83,IF(A83='Données projet'!$A$114,'Données projet'!$B$114,BY82+BX83-CG82)))</f>
        <v>402.907692307692</v>
      </c>
      <c r="BZ83" s="14">
        <f>BY83*VLOOKUP('Données projet'!$B$12,Paramètres!$A$1:$I$89,3,0)*VLOOKUP('Données projet'!$B$12,Paramètres!$A$1:$I$89,5,0)</f>
        <v>240.93879999999982</v>
      </c>
      <c r="CA83" s="14">
        <f t="shared" si="93"/>
        <v>58.64147195802866</v>
      </c>
      <c r="CB83" s="22">
        <f t="shared" si="64"/>
        <v>521.76897366023286</v>
      </c>
      <c r="CC83" s="62">
        <f t="shared" si="65"/>
        <v>815.10230699356612</v>
      </c>
      <c r="CD83" s="62">
        <f ca="1">AVERAGE(OFFSET($CC$3,0,0,'Données projet'!$E$12+1,1))-AVERAGE(OFFSET($H$3,0,0,'Données projet'!$E$12+1,1))</f>
        <v>289.12367833861299</v>
      </c>
      <c r="CE83" s="62">
        <f t="shared" si="94"/>
        <v>229.06617320689003</v>
      </c>
      <c r="CF83" s="16">
        <f>IF(ISNA(VLOOKUP(A83,'Données projet'!$A$113:$I$133,3,0)),0,VLOOKUP(A83,'Données projet'!$A$113:$I$133,3,0))</f>
        <v>8</v>
      </c>
      <c r="CG83" s="16">
        <f>IF(ISNA(VLOOKUP(A83,'Données projet'!$A$113:$I$133,4,0)),0,VLOOKUP(A83,'Données projet'!$A$113:$I$133,4,0))</f>
        <v>402.90769230769229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1.2358531588391809E-7</v>
      </c>
      <c r="CN83" s="24">
        <f t="shared" si="66"/>
        <v>1.2358531588391809E-7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341.3</v>
      </c>
      <c r="CR83" s="13">
        <f>VLOOKUP(A83,'Données projet'!$A$139:$I$159,9,0)</f>
        <v>3.5600000000000023</v>
      </c>
      <c r="CS83" s="13">
        <f t="array" ref="CS83">INDEX(CR:CR,MIN(IF(ISNUMBER(CR83:CR279),ROW(CR83:CR279),"")))</f>
        <v>3.5600000000000023</v>
      </c>
      <c r="CT83" s="13">
        <f>IF('Données projet'!$A$140&gt;35,CT82+CS83-DB82,IF(A83&lt;'Données projet'!$A$140,$CQ$205^A83,IF(A83='Données projet'!$A$140,'Données projet'!$B$140,CT82+CS83-DB82)))</f>
        <v>341.29999999999995</v>
      </c>
      <c r="CU83" s="18">
        <f>CT83*VLOOKUP('Données projet'!$B$13,Paramètres!$A$1:$I$89,3,0)*VLOOKUP('Données projet'!$B$13,Paramètres!$A$1:$I$89,5,0)</f>
        <v>271.53827999999999</v>
      </c>
      <c r="CV83" s="14">
        <f t="shared" si="95"/>
        <v>65.17562310645522</v>
      </c>
      <c r="CW83" s="22">
        <f t="shared" si="67"/>
        <v>586.44338124374281</v>
      </c>
      <c r="CX83" s="62">
        <f t="shared" si="68"/>
        <v>879.77671457707606</v>
      </c>
      <c r="CY83" s="62">
        <f ca="1">AVERAGE(OFFSET($CX$3,0,0,'Données projet'!$E$13+1,1))-AVERAGE(OFFSET($H$3,0,0,'Données projet'!$E$13+1,1))</f>
        <v>370.59298168107364</v>
      </c>
      <c r="CZ83" s="62">
        <f t="shared" si="96"/>
        <v>404.61777090709171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341.3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241</v>
      </c>
      <c r="DM83" s="13">
        <f>VLOOKUP(A83,'Données projet'!$A$165:$I$185,9,0)</f>
        <v>3.6</v>
      </c>
      <c r="DN83" s="13">
        <f t="array" ref="DN83">INDEX(DM:DM,MIN(IF(ISNUMBER(DM83:DM279),ROW(DM83:DM279),"")))</f>
        <v>3.6</v>
      </c>
      <c r="DO83" s="13">
        <f>IF('Données projet'!$A$166&gt;35,DO82+DN83-DW82,IF(A83&lt;'Données projet'!$A$166,$DL$205^A83,IF(A83='Données projet'!$A$166,'Données projet'!$B$166,DO82+DN83-DW82)))</f>
        <v>240.99999999999994</v>
      </c>
      <c r="DP83" s="18">
        <f>DO83*VLOOKUP('Données projet'!$B$14,Paramètres!$A$1:$I$89,3,0)*VLOOKUP('Données projet'!$B$14,Paramètres!$A$1:$I$89,5,0)</f>
        <v>210.53759999999997</v>
      </c>
      <c r="DQ83" s="14">
        <f t="shared" si="97"/>
        <v>52.053047337322276</v>
      </c>
      <c r="DR83" s="22">
        <f t="shared" si="70"/>
        <v>457.34537744583622</v>
      </c>
      <c r="DS83" s="62">
        <f t="shared" si="71"/>
        <v>750.67871077916948</v>
      </c>
      <c r="DT83" s="62">
        <f ca="1">AVERAGE(OFFSET($DS$3,0,0,'Données projet'!$E$14+1,1))-AVERAGE(OFFSET($H$3,0,0,'Données projet'!$E$14+1,1))</f>
        <v>341.65872153228599</v>
      </c>
      <c r="DU83" s="62">
        <f t="shared" si="98"/>
        <v>339.49697153894937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27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282.05128205128204</v>
      </c>
      <c r="EH83" s="13">
        <f>VLOOKUP(A83,'Données projet'!$A$191:$I$211,9,0)</f>
        <v>4.2307692307692264</v>
      </c>
      <c r="EI83" s="13">
        <f t="array" ref="EI83">INDEX(EH:EH,MIN(IF(ISNUMBER(EH83:EH279),ROW(EH83:EH279),"")))</f>
        <v>4.2307692307692264</v>
      </c>
      <c r="EJ83" s="13">
        <f>IF('Données projet'!$A$192&gt;35,EJ82+EI83-ER82,IF(A83&lt;'Données projet'!$A$192,$EG$205^A83,IF(A83='Données projet'!$A$192,'Données projet'!$B$192,EJ82+EI83-ER82)))</f>
        <v>282.0512820512821</v>
      </c>
      <c r="EK83" s="18">
        <f>EJ83*VLOOKUP('Données projet'!$B$15,Paramètres!$A$1:$I$89,3,0)*VLOOKUP('Données projet'!$B$15,Paramètres!$A$1:$I$89,5,0)</f>
        <v>189.20000000000005</v>
      </c>
      <c r="EL83" s="14">
        <f t="shared" si="99"/>
        <v>47.363040799609742</v>
      </c>
      <c r="EM83" s="22">
        <f t="shared" si="73"/>
        <v>412.01396272598703</v>
      </c>
      <c r="EN83" s="62">
        <f t="shared" si="74"/>
        <v>705.34729605932034</v>
      </c>
      <c r="EO83" s="62">
        <f ca="1">AVERAGE(OFFSET($EN$3,0,0,'Données projet'!$E$15+1,1))-AVERAGE(OFFSET($H$3,0,0,'Données projet'!$E$15+1,1))</f>
        <v>312.06797204903796</v>
      </c>
      <c r="EP83" s="62">
        <f t="shared" si="100"/>
        <v>258.20189001775151</v>
      </c>
      <c r="EQ83" s="16">
        <f>IF(ISNA(VLOOKUP(A83,'Données projet'!$A$191:$I$211,3,0)),0,VLOOKUP(A83,'Données projet'!$A$191:$I$211,3,0))</f>
        <v>7</v>
      </c>
      <c r="ER83" s="16">
        <f>IF(ISNA(VLOOKUP(A83,'Données projet'!$A$191:$I$211,4,0)),0,VLOOKUP(A83,'Données projet'!$A$191:$I$211,4,0))</f>
        <v>26.282051282051281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282</v>
      </c>
      <c r="FC83" s="13">
        <f>VLOOKUP(A83,'Données projet'!$A$217:$I$237,9,0)</f>
        <v>6</v>
      </c>
      <c r="FD83" s="13">
        <f t="array" ref="FD83">INDEX(FC:FC,MIN(IF(ISNUMBER(FC83:FC279),ROW(FC83:FC279),"")))</f>
        <v>6</v>
      </c>
      <c r="FE83" s="13">
        <f>IF('Données projet'!$A$218&gt;35,FE82+FD83-FM82,IF(A83&lt;'Données projet'!$A$218,$FB$205^A83,IF(A83='Données projet'!$A$218,'Données projet'!$B$218,FE82+FD83-FM82)))</f>
        <v>281.99999999999989</v>
      </c>
      <c r="FF83" s="18">
        <f>FE83*VLOOKUP('Données projet'!$B$16,Paramètres!$A$1:$I$89,3,0)*VLOOKUP('Données projet'!$B$16,Paramètres!$A$1:$I$89,5,0)</f>
        <v>272.7503999999999</v>
      </c>
      <c r="FG83" s="14">
        <f t="shared" si="101"/>
        <v>65.432628830820633</v>
      </c>
      <c r="FH83" s="22">
        <f t="shared" si="76"/>
        <v>589.00210854701243</v>
      </c>
      <c r="FI83" s="62">
        <f t="shared" si="77"/>
        <v>882.3354418803458</v>
      </c>
      <c r="FJ83" s="62">
        <f ca="1">AVERAGE(OFFSET($FI$3,0,0,'Données projet'!$E$16+1,1))-AVERAGE(OFFSET($H$3,0,0,'Données projet'!$E$16+1,1))</f>
        <v>455.50822833641354</v>
      </c>
      <c r="FK83" s="62">
        <f t="shared" si="102"/>
        <v>261.14722581688039</v>
      </c>
      <c r="FL83" s="16">
        <f>IF(ISNA(VLOOKUP(A83,'Données projet'!$A$217:$I$237,3,0)),0,VLOOKUP(A83,'Données projet'!$A$217:$I$237,3,0))</f>
        <v>6</v>
      </c>
      <c r="FM83" s="16">
        <f>IF(ISNA(VLOOKUP(A83,'Données projet'!$A$217:$I$237,4,0)),0,VLOOKUP(A83,'Données projet'!$A$217:$I$237,4,0))</f>
        <v>42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2.2737367544323206E-13</v>
      </c>
      <c r="O84" s="14">
        <f>N84*VLOOKUP('Données projet'!$B$9,Paramètres!$A$1:$I$89,3,0)*VLOOKUP('Données projet'!$B$9,Paramètres!$A$1:$I$89,5,0)</f>
        <v>1.2710188457276673E-13</v>
      </c>
      <c r="P84" s="14">
        <f t="shared" si="87"/>
        <v>1.856866851063998E-12</v>
      </c>
      <c r="Q84" s="22">
        <f t="shared" si="54"/>
        <v>3.4554122145673649E-12</v>
      </c>
      <c r="R84" s="62">
        <f t="shared" si="55"/>
        <v>293.33333333333678</v>
      </c>
      <c r="S84" s="62">
        <f ca="1">AVERAGE(OFFSET($R$3,0,0,'Données projet'!$E$9+1,1))-AVERAGE(OFFSET($H$3,0,0,'Données projet'!$E$9+1,1))</f>
        <v>323.98185264074681</v>
      </c>
      <c r="T84" s="62">
        <f t="shared" si="88"/>
        <v>301.22207291854005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1.625238502945952</v>
      </c>
      <c r="AA84" s="23">
        <f>EXP(-LN(2)/25)*AA83+(1-EXP(-LN(2)/25))/(LN(2)/25)*Calculateur!V84*Calculateur!X84*VLOOKUP('Données projet'!$B$9,Paramètres!$A$1:$I$89,3,0)*0.475*44/12</f>
        <v>2.0054441996724313</v>
      </c>
      <c r="AB84" s="23">
        <f>EXP(-LN(2)/2)*AB83+(1-EXP(-LN(2)/2))/(LN(2)/2)*V84*Y84*VLOOKUP('Données projet'!$B$9,Paramètres!$A$1:$I$89,3,0)*0.475*44/12</f>
        <v>1.2829094348144688E-7</v>
      </c>
      <c r="AC84" s="24">
        <f t="shared" si="57"/>
        <v>3.6306828309093269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12.346153846153854</v>
      </c>
      <c r="AI84" s="14">
        <f>IF('Données projet'!$A$62&gt;35,AI83+AH84-AQ83,IF(A84&lt;'Données projet'!$A$62,$AF$205^A84,IF(A84='Données projet'!$A$62,'Données projet'!$B$62,AI83+AH84-AQ83)))</f>
        <v>425.94615384615395</v>
      </c>
      <c r="AJ84" s="14">
        <f>AI84*VLOOKUP('Données projet'!$B$10,Paramètres!$A$1:$I$89,3,0)*VLOOKUP('Données projet'!$B$10,Paramètres!$A$1:$I$89,5,0)</f>
        <v>199.34280000000004</v>
      </c>
      <c r="AK84" s="14">
        <f t="shared" si="89"/>
        <v>49.599707400958017</v>
      </c>
      <c r="AL84" s="22">
        <f t="shared" si="58"/>
        <v>433.57486705666861</v>
      </c>
      <c r="AM84" s="62">
        <f t="shared" si="59"/>
        <v>726.90820039000187</v>
      </c>
      <c r="AN84" s="62">
        <f ca="1">AVERAGE(OFFSET($AM$3,0,0,'Données projet'!$E$10+1,1))-AVERAGE(OFFSET($H$3,0,0,'Données projet'!$E$10+1,1))</f>
        <v>276.78862011733338</v>
      </c>
      <c r="AO84" s="62">
        <f t="shared" si="90"/>
        <v>202.1678469635836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222.21887999999993</v>
      </c>
      <c r="BF84" s="14">
        <f t="shared" si="91"/>
        <v>54.596866296848852</v>
      </c>
      <c r="BG84" s="22">
        <f t="shared" si="61"/>
        <v>482.12075813367829</v>
      </c>
      <c r="BH84" s="62">
        <f t="shared" si="62"/>
        <v>775.45409146701161</v>
      </c>
      <c r="BI84" s="62">
        <f ca="1">AVERAGE(OFFSET($BH$3,0,0,'Données projet'!$E$11+1,1))-AVERAGE(OFFSET($H$3,0,0,'Données projet'!$E$11+1,1))</f>
        <v>428.8489304403459</v>
      </c>
      <c r="BJ84" s="62">
        <f t="shared" si="92"/>
        <v>247.01165577562966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-2.8421709430404007E-13</v>
      </c>
      <c r="BZ84" s="14">
        <f>BY84*VLOOKUP('Données projet'!$B$12,Paramètres!$A$1:$I$89,3,0)*VLOOKUP('Données projet'!$B$12,Paramètres!$A$1:$I$89,5,0)</f>
        <v>-1.69961822393816E-13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289.12367833861299</v>
      </c>
      <c r="CE84" s="62">
        <f t="shared" si="94"/>
        <v>229.06617320689003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8.7388014916600027E-8</v>
      </c>
      <c r="CN84" s="24">
        <f t="shared" si="66"/>
        <v>8.7388014916600027E-8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-4.5224624045658861E-14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370.59298168107364</v>
      </c>
      <c r="CZ84" s="62">
        <f t="shared" si="96"/>
        <v>404.61777090709171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3.2</v>
      </c>
      <c r="DO84" s="13">
        <f>IF('Données projet'!$A$166&gt;35,DO83+DN84-DW83,IF(A84&lt;'Données projet'!$A$166,$DL$205^A84,IF(A84='Données projet'!$A$166,'Données projet'!$B$166,DO83+DN84-DW83)))</f>
        <v>217.19999999999993</v>
      </c>
      <c r="DP84" s="18">
        <f>DO84*VLOOKUP('Données projet'!$B$14,Paramètres!$A$1:$I$89,3,0)*VLOOKUP('Données projet'!$B$14,Paramètres!$A$1:$I$89,5,0)</f>
        <v>189.74591999999998</v>
      </c>
      <c r="DQ84" s="14">
        <f t="shared" si="97"/>
        <v>47.483774996623204</v>
      </c>
      <c r="DR84" s="22">
        <f t="shared" si="70"/>
        <v>413.17505211911867</v>
      </c>
      <c r="DS84" s="62">
        <f t="shared" si="71"/>
        <v>706.50838545245199</v>
      </c>
      <c r="DT84" s="62">
        <f ca="1">AVERAGE(OFFSET($DS$3,0,0,'Données projet'!$E$14+1,1))-AVERAGE(OFFSET($H$3,0,0,'Données projet'!$E$14+1,1))</f>
        <v>341.65872153228599</v>
      </c>
      <c r="DU84" s="62">
        <f t="shared" si="98"/>
        <v>339.49697153894937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4.1025641025640995</v>
      </c>
      <c r="EJ84" s="13">
        <f>IF('Données projet'!$A$192&gt;35,EJ83+EI84-ER83,IF(A84&lt;'Données projet'!$A$192,$EG$205^A84,IF(A84='Données projet'!$A$192,'Données projet'!$B$192,EJ83+EI84-ER83)))</f>
        <v>259.87179487179492</v>
      </c>
      <c r="EK84" s="18">
        <f>EJ84*VLOOKUP('Données projet'!$B$15,Paramètres!$A$1:$I$89,3,0)*VLOOKUP('Données projet'!$B$15,Paramètres!$A$1:$I$89,5,0)</f>
        <v>174.32200000000003</v>
      </c>
      <c r="EL84" s="14">
        <f t="shared" si="99"/>
        <v>44.056588905148665</v>
      </c>
      <c r="EM84" s="22">
        <f t="shared" si="73"/>
        <v>380.34270900980056</v>
      </c>
      <c r="EN84" s="62">
        <f t="shared" si="74"/>
        <v>673.67604234313387</v>
      </c>
      <c r="EO84" s="62">
        <f ca="1">AVERAGE(OFFSET($EN$3,0,0,'Données projet'!$E$15+1,1))-AVERAGE(OFFSET($H$3,0,0,'Données projet'!$E$15+1,1))</f>
        <v>312.06797204903796</v>
      </c>
      <c r="EP84" s="62">
        <f t="shared" si="100"/>
        <v>258.20189001775151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5.6</v>
      </c>
      <c r="FE84" s="13">
        <f>IF('Données projet'!$A$218&gt;35,FE83+FD84-FM83,IF(A84&lt;'Données projet'!$A$218,$FB$205^A84,IF(A84='Données projet'!$A$218,'Données projet'!$B$218,FE83+FD84-FM83)))</f>
        <v>245.59999999999991</v>
      </c>
      <c r="FF84" s="18">
        <f>FE84*VLOOKUP('Données projet'!$B$16,Paramètres!$A$1:$I$89,3,0)*VLOOKUP('Données projet'!$B$16,Paramètres!$A$1:$I$89,5,0)</f>
        <v>237.54431999999991</v>
      </c>
      <c r="FG84" s="14">
        <f t="shared" si="101"/>
        <v>57.910863128487989</v>
      </c>
      <c r="FH84" s="22">
        <f t="shared" si="76"/>
        <v>514.58444394878302</v>
      </c>
      <c r="FI84" s="62">
        <f t="shared" si="77"/>
        <v>807.91777728211628</v>
      </c>
      <c r="FJ84" s="62">
        <f ca="1">AVERAGE(OFFSET($FI$3,0,0,'Données projet'!$E$16+1,1))-AVERAGE(OFFSET($H$3,0,0,'Données projet'!$E$16+1,1))</f>
        <v>455.50822833641354</v>
      </c>
      <c r="FK84" s="62">
        <f t="shared" si="102"/>
        <v>261.14722581688039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2.2737367544323206E-13</v>
      </c>
      <c r="O85" s="14">
        <f>N85*VLOOKUP('Données projet'!$B$9,Paramètres!$A$1:$I$89,3,0)*VLOOKUP('Données projet'!$B$9,Paramètres!$A$1:$I$89,5,0)</f>
        <v>1.2710188457276673E-13</v>
      </c>
      <c r="P85" s="14">
        <f t="shared" si="87"/>
        <v>1.856866851063998E-12</v>
      </c>
      <c r="Q85" s="22">
        <f t="shared" si="54"/>
        <v>3.4554122145673649E-12</v>
      </c>
      <c r="R85" s="62">
        <f t="shared" si="55"/>
        <v>293.33333333333678</v>
      </c>
      <c r="S85" s="62">
        <f ca="1">AVERAGE(OFFSET($R$3,0,0,'Données projet'!$E$9+1,1))-AVERAGE(OFFSET($H$3,0,0,'Données projet'!$E$9+1,1))</f>
        <v>323.98185264074681</v>
      </c>
      <c r="T85" s="62">
        <f t="shared" si="88"/>
        <v>301.22207291854005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1.5933685672007862</v>
      </c>
      <c r="AA85" s="23">
        <f>EXP(-LN(2)/25)*AA84+(1-EXP(-LN(2)/25))/(LN(2)/25)*Calculateur!V85*Calculateur!X85*VLOOKUP('Données projet'!$B$9,Paramètres!$A$1:$I$89,3,0)*0.475*44/12</f>
        <v>1.9506052225706616</v>
      </c>
      <c r="AB85" s="23">
        <f>EXP(-LN(2)/2)*AB84+(1-EXP(-LN(2)/2))/(LN(2)/2)*V85*Y85*VLOOKUP('Données projet'!$B$9,Paramètres!$A$1:$I$89,3,0)*0.475*44/12</f>
        <v>9.0715396100551198E-8</v>
      </c>
      <c r="AC85" s="24">
        <f t="shared" si="57"/>
        <v>3.5439738804868437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12.346153846153854</v>
      </c>
      <c r="AI85" s="14">
        <f>IF('Données projet'!$A$62&gt;35,AI84+AH85-AQ84,IF(A85&lt;'Données projet'!$A$62,$AF$205^A85,IF(A85='Données projet'!$A$62,'Données projet'!$B$62,AI84+AH85-AQ84)))</f>
        <v>438.29230769230782</v>
      </c>
      <c r="AJ85" s="14">
        <f>AI85*VLOOKUP('Données projet'!$B$10,Paramètres!$A$1:$I$89,3,0)*VLOOKUP('Données projet'!$B$10,Paramètres!$A$1:$I$89,5,0)</f>
        <v>205.12080000000009</v>
      </c>
      <c r="AK85" s="14">
        <f t="shared" si="89"/>
        <v>50.867903326601969</v>
      </c>
      <c r="AL85" s="22">
        <f t="shared" si="58"/>
        <v>445.84699162716521</v>
      </c>
      <c r="AM85" s="62">
        <f t="shared" si="59"/>
        <v>739.18032496049852</v>
      </c>
      <c r="AN85" s="62">
        <f ca="1">AVERAGE(OFFSET($AM$3,0,0,'Données projet'!$E$10+1,1))-AVERAGE(OFFSET($H$3,0,0,'Données projet'!$E$10+1,1))</f>
        <v>276.78862011733338</v>
      </c>
      <c r="AO85" s="62">
        <f t="shared" si="90"/>
        <v>202.1678469635836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227.28575999999993</v>
      </c>
      <c r="BF85" s="14">
        <f t="shared" si="91"/>
        <v>55.695394520076327</v>
      </c>
      <c r="BG85" s="22">
        <f t="shared" si="61"/>
        <v>492.85884412246605</v>
      </c>
      <c r="BH85" s="62">
        <f t="shared" si="62"/>
        <v>786.19217745579931</v>
      </c>
      <c r="BI85" s="62">
        <f ca="1">AVERAGE(OFFSET($BH$3,0,0,'Données projet'!$E$11+1,1))-AVERAGE(OFFSET($H$3,0,0,'Données projet'!$E$11+1,1))</f>
        <v>428.8489304403459</v>
      </c>
      <c r="BJ85" s="62">
        <f t="shared" si="92"/>
        <v>247.01165577562966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-2.8421709430404007E-13</v>
      </c>
      <c r="BZ85" s="14">
        <f>BY85*VLOOKUP('Données projet'!$B$12,Paramètres!$A$1:$I$89,3,0)*VLOOKUP('Données projet'!$B$12,Paramètres!$A$1:$I$89,5,0)</f>
        <v>-1.69961822393816E-13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289.12367833861299</v>
      </c>
      <c r="CE85" s="62">
        <f t="shared" si="94"/>
        <v>229.06617320689003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6.1792657941959046E-8</v>
      </c>
      <c r="CN85" s="24">
        <f t="shared" si="66"/>
        <v>6.1792657941959046E-8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-4.5224624045658861E-14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370.59298168107364</v>
      </c>
      <c r="CZ85" s="62">
        <f t="shared" si="96"/>
        <v>404.61777090709171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3.2</v>
      </c>
      <c r="DO85" s="13">
        <f>IF('Données projet'!$A$166&gt;35,DO84+DN85-DW84,IF(A85&lt;'Données projet'!$A$166,$DL$205^A85,IF(A85='Données projet'!$A$166,'Données projet'!$B$166,DO84+DN85-DW84)))</f>
        <v>220.39999999999992</v>
      </c>
      <c r="DP85" s="18">
        <f>DO85*VLOOKUP('Données projet'!$B$14,Paramètres!$A$1:$I$89,3,0)*VLOOKUP('Données projet'!$B$14,Paramètres!$A$1:$I$89,5,0)</f>
        <v>192.54143999999994</v>
      </c>
      <c r="DQ85" s="14">
        <f t="shared" si="97"/>
        <v>48.101393902059698</v>
      </c>
      <c r="DR85" s="22">
        <f t="shared" si="70"/>
        <v>419.11960237942054</v>
      </c>
      <c r="DS85" s="62">
        <f t="shared" si="71"/>
        <v>712.45293571275386</v>
      </c>
      <c r="DT85" s="62">
        <f ca="1">AVERAGE(OFFSET($DS$3,0,0,'Données projet'!$E$14+1,1))-AVERAGE(OFFSET($H$3,0,0,'Données projet'!$E$14+1,1))</f>
        <v>341.65872153228599</v>
      </c>
      <c r="DU85" s="62">
        <f t="shared" si="98"/>
        <v>339.49697153894937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4.1025641025640995</v>
      </c>
      <c r="EJ85" s="13">
        <f>IF('Données projet'!$A$192&gt;35,EJ84+EI85-ER84,IF(A85&lt;'Données projet'!$A$192,$EG$205^A85,IF(A85='Données projet'!$A$192,'Données projet'!$B$192,EJ84+EI85-ER84)))</f>
        <v>263.97435897435901</v>
      </c>
      <c r="EK85" s="18">
        <f>EJ85*VLOOKUP('Données projet'!$B$15,Paramètres!$A$1:$I$89,3,0)*VLOOKUP('Données projet'!$B$15,Paramètres!$A$1:$I$89,5,0)</f>
        <v>177.07400000000001</v>
      </c>
      <c r="EL85" s="14">
        <f t="shared" si="99"/>
        <v>44.670585441115527</v>
      </c>
      <c r="EM85" s="22">
        <f t="shared" si="73"/>
        <v>386.2051529766095</v>
      </c>
      <c r="EN85" s="62">
        <f t="shared" si="74"/>
        <v>679.53848630994275</v>
      </c>
      <c r="EO85" s="62">
        <f ca="1">AVERAGE(OFFSET($EN$3,0,0,'Données projet'!$E$15+1,1))-AVERAGE(OFFSET($H$3,0,0,'Données projet'!$E$15+1,1))</f>
        <v>312.06797204903796</v>
      </c>
      <c r="EP85" s="62">
        <f t="shared" si="100"/>
        <v>258.20189001775151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5.6</v>
      </c>
      <c r="FE85" s="13">
        <f>IF('Données projet'!$A$218&gt;35,FE84+FD85-FM84,IF(A85&lt;'Données projet'!$A$218,$FB$205^A85,IF(A85='Données projet'!$A$218,'Données projet'!$B$218,FE84+FD85-FM84)))</f>
        <v>251.1999999999999</v>
      </c>
      <c r="FF85" s="18">
        <f>FE85*VLOOKUP('Données projet'!$B$16,Paramètres!$A$1:$I$89,3,0)*VLOOKUP('Données projet'!$B$16,Paramètres!$A$1:$I$89,5,0)</f>
        <v>242.96063999999993</v>
      </c>
      <c r="FG85" s="14">
        <f t="shared" si="101"/>
        <v>59.076071351835715</v>
      </c>
      <c r="FH85" s="22">
        <f t="shared" si="76"/>
        <v>526.04727227111368</v>
      </c>
      <c r="FI85" s="62">
        <f t="shared" si="77"/>
        <v>819.38060560444706</v>
      </c>
      <c r="FJ85" s="62">
        <f ca="1">AVERAGE(OFFSET($FI$3,0,0,'Données projet'!$E$16+1,1))-AVERAGE(OFFSET($H$3,0,0,'Données projet'!$E$16+1,1))</f>
        <v>455.50822833641354</v>
      </c>
      <c r="FK85" s="62">
        <f t="shared" si="102"/>
        <v>261.14722581688039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2.2737367544323206E-13</v>
      </c>
      <c r="O86" s="14">
        <f>N86*VLOOKUP('Données projet'!$B$9,Paramètres!$A$1:$I$89,3,0)*VLOOKUP('Données projet'!$B$9,Paramètres!$A$1:$I$89,5,0)</f>
        <v>1.2710188457276673E-13</v>
      </c>
      <c r="P86" s="14">
        <f t="shared" si="87"/>
        <v>1.856866851063998E-12</v>
      </c>
      <c r="Q86" s="22">
        <f t="shared" si="54"/>
        <v>3.4554122145673649E-12</v>
      </c>
      <c r="R86" s="62">
        <f t="shared" si="55"/>
        <v>293.33333333333678</v>
      </c>
      <c r="S86" s="62">
        <f ca="1">AVERAGE(OFFSET($R$3,0,0,'Données projet'!$E$9+1,1))-AVERAGE(OFFSET($H$3,0,0,'Données projet'!$E$9+1,1))</f>
        <v>323.98185264074681</v>
      </c>
      <c r="T86" s="62">
        <f t="shared" si="88"/>
        <v>301.22207291854005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1.5621235814568417</v>
      </c>
      <c r="AA86" s="23">
        <f>EXP(-LN(2)/25)*AA85+(1-EXP(-LN(2)/25))/(LN(2)/25)*Calculateur!V86*Calculateur!X86*VLOOKUP('Données projet'!$B$9,Paramètres!$A$1:$I$89,3,0)*0.475*44/12</f>
        <v>1.8972658201815964</v>
      </c>
      <c r="AB86" s="23">
        <f>EXP(-LN(2)/2)*AB85+(1-EXP(-LN(2)/2))/(LN(2)/2)*V86*Y86*VLOOKUP('Données projet'!$B$9,Paramètres!$A$1:$I$89,3,0)*0.475*44/12</f>
        <v>6.4145471740723441E-8</v>
      </c>
      <c r="AC86" s="24">
        <f t="shared" si="57"/>
        <v>3.4593894657839095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>
        <f>VLOOKUP(A86,'Données projet'!$A$61:$I$81,2,0)</f>
        <v>450.63846153846157</v>
      </c>
      <c r="AG86" s="13">
        <f>VLOOKUP(A86,'Données projet'!$A$61:$I$81,9,0)</f>
        <v>12.346153846153854</v>
      </c>
      <c r="AH86" s="13">
        <f t="array" ref="AH86">INDEX(AG:AG,MIN(IF(ISNUMBER(AG86:AG282),ROW(AG86:AG282),"")))</f>
        <v>12.346153846153854</v>
      </c>
      <c r="AI86" s="14">
        <f>IF('Données projet'!$A$62&gt;35,AI85+AH86-AQ85,IF(A86&lt;'Données projet'!$A$62,$AF$205^A86,IF(A86='Données projet'!$A$62,'Données projet'!$B$62,AI85+AH86-AQ85)))</f>
        <v>450.63846153846168</v>
      </c>
      <c r="AJ86" s="14">
        <f>AI86*VLOOKUP('Données projet'!$B$10,Paramètres!$A$1:$I$89,3,0)*VLOOKUP('Données projet'!$B$10,Paramètres!$A$1:$I$89,5,0)</f>
        <v>210.89880000000008</v>
      </c>
      <c r="AK86" s="14">
        <f t="shared" si="89"/>
        <v>52.131947264479528</v>
      </c>
      <c r="AL86" s="22">
        <f t="shared" si="58"/>
        <v>458.11188481896869</v>
      </c>
      <c r="AM86" s="62">
        <f t="shared" si="59"/>
        <v>751.445218152302</v>
      </c>
      <c r="AN86" s="62">
        <f ca="1">AVERAGE(OFFSET($AM$3,0,0,'Données projet'!$E$10+1,1))-AVERAGE(OFFSET($H$3,0,0,'Données projet'!$E$10+1,1))</f>
        <v>276.78862011733338</v>
      </c>
      <c r="AO86" s="62">
        <f t="shared" si="90"/>
        <v>202.1678469635836</v>
      </c>
      <c r="AP86" s="16">
        <f>IF(ISNA(VLOOKUP(A86,'Données projet'!$A$61:$I$81,3,0)),0,VLOOKUP(A86,'Données projet'!$A$61:$I$81,3,0))</f>
        <v>6</v>
      </c>
      <c r="AQ86" s="16">
        <f>IF(ISNA(VLOOKUP(A86,'Données projet'!$A$61:$I$81,4,0)),0,VLOOKUP(A86,'Données projet'!$A$61:$I$81,4,0))</f>
        <v>79.707692307692312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232.35263999999989</v>
      </c>
      <c r="BF86" s="14">
        <f t="shared" si="91"/>
        <v>56.791075613550255</v>
      </c>
      <c r="BG86" s="22">
        <f t="shared" si="61"/>
        <v>503.59197136026643</v>
      </c>
      <c r="BH86" s="62">
        <f t="shared" si="62"/>
        <v>796.92530469359974</v>
      </c>
      <c r="BI86" s="62">
        <f ca="1">AVERAGE(OFFSET($BH$3,0,0,'Données projet'!$E$11+1,1))-AVERAGE(OFFSET($H$3,0,0,'Données projet'!$E$11+1,1))</f>
        <v>428.8489304403459</v>
      </c>
      <c r="BJ86" s="62">
        <f t="shared" si="92"/>
        <v>247.01165577562966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-2.8421709430404007E-13</v>
      </c>
      <c r="BZ86" s="14">
        <f>BY86*VLOOKUP('Données projet'!$B$12,Paramètres!$A$1:$I$89,3,0)*VLOOKUP('Données projet'!$B$12,Paramètres!$A$1:$I$89,5,0)</f>
        <v>-1.69961822393816E-13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289.12367833861299</v>
      </c>
      <c r="CE86" s="62">
        <f t="shared" si="94"/>
        <v>229.06617320689003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4.3694007458300014E-8</v>
      </c>
      <c r="CN86" s="24">
        <f t="shared" si="66"/>
        <v>4.3694007458300014E-8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-4.5224624045658861E-14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370.59298168107364</v>
      </c>
      <c r="CZ86" s="62">
        <f t="shared" si="96"/>
        <v>404.61777090709171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3.2</v>
      </c>
      <c r="DO86" s="13">
        <f>IF('Données projet'!$A$166&gt;35,DO85+DN86-DW85,IF(A86&lt;'Données projet'!$A$166,$DL$205^A86,IF(A86='Données projet'!$A$166,'Données projet'!$B$166,DO85+DN86-DW85)))</f>
        <v>223.59999999999991</v>
      </c>
      <c r="DP86" s="18">
        <f>DO86*VLOOKUP('Données projet'!$B$14,Paramètres!$A$1:$I$89,3,0)*VLOOKUP('Données projet'!$B$14,Paramètres!$A$1:$I$89,5,0)</f>
        <v>195.33695999999995</v>
      </c>
      <c r="DQ86" s="14">
        <f t="shared" si="97"/>
        <v>48.717969863105445</v>
      </c>
      <c r="DR86" s="22">
        <f t="shared" si="70"/>
        <v>425.06233617824188</v>
      </c>
      <c r="DS86" s="62">
        <f t="shared" si="71"/>
        <v>718.39566951157519</v>
      </c>
      <c r="DT86" s="62">
        <f ca="1">AVERAGE(OFFSET($DS$3,0,0,'Données projet'!$E$14+1,1))-AVERAGE(OFFSET($H$3,0,0,'Données projet'!$E$14+1,1))</f>
        <v>341.65872153228599</v>
      </c>
      <c r="DU86" s="62">
        <f t="shared" si="98"/>
        <v>339.49697153894937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4.1025641025640995</v>
      </c>
      <c r="EJ86" s="13">
        <f>IF('Données projet'!$A$192&gt;35,EJ85+EI86-ER85,IF(A86&lt;'Données projet'!$A$192,$EG$205^A86,IF(A86='Données projet'!$A$192,'Données projet'!$B$192,EJ85+EI86-ER85)))</f>
        <v>268.07692307692309</v>
      </c>
      <c r="EK86" s="18">
        <f>EJ86*VLOOKUP('Données projet'!$B$15,Paramètres!$A$1:$I$89,3,0)*VLOOKUP('Données projet'!$B$15,Paramètres!$A$1:$I$89,5,0)</f>
        <v>179.82600000000002</v>
      </c>
      <c r="EL86" s="14">
        <f t="shared" si="99"/>
        <v>45.283472193614408</v>
      </c>
      <c r="EM86" s="22">
        <f t="shared" si="73"/>
        <v>392.06566407054515</v>
      </c>
      <c r="EN86" s="62">
        <f t="shared" si="74"/>
        <v>685.39899740387841</v>
      </c>
      <c r="EO86" s="62">
        <f ca="1">AVERAGE(OFFSET($EN$3,0,0,'Données projet'!$E$15+1,1))-AVERAGE(OFFSET($H$3,0,0,'Données projet'!$E$15+1,1))</f>
        <v>312.06797204903796</v>
      </c>
      <c r="EP86" s="62">
        <f t="shared" si="100"/>
        <v>258.20189001775151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5.6</v>
      </c>
      <c r="FE86" s="13">
        <f>IF('Données projet'!$A$218&gt;35,FE85+FD86-FM85,IF(A86&lt;'Données projet'!$A$218,$FB$205^A86,IF(A86='Données projet'!$A$218,'Données projet'!$B$218,FE85+FD86-FM85)))</f>
        <v>256.7999999999999</v>
      </c>
      <c r="FF86" s="18">
        <f>FE86*VLOOKUP('Données projet'!$B$16,Paramètres!$A$1:$I$89,3,0)*VLOOKUP('Données projet'!$B$16,Paramètres!$A$1:$I$89,5,0)</f>
        <v>248.37695999999988</v>
      </c>
      <c r="FG86" s="14">
        <f t="shared" si="101"/>
        <v>60.238259626372319</v>
      </c>
      <c r="FH86" s="22">
        <f t="shared" si="76"/>
        <v>537.50484084926495</v>
      </c>
      <c r="FI86" s="62">
        <f t="shared" si="77"/>
        <v>830.83817418259832</v>
      </c>
      <c r="FJ86" s="62">
        <f ca="1">AVERAGE(OFFSET($FI$3,0,0,'Données projet'!$E$16+1,1))-AVERAGE(OFFSET($H$3,0,0,'Données projet'!$E$16+1,1))</f>
        <v>455.50822833641354</v>
      </c>
      <c r="FK86" s="62">
        <f t="shared" si="102"/>
        <v>261.14722581688039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2.2737367544323206E-13</v>
      </c>
      <c r="O87" s="14">
        <f>N87*VLOOKUP('Données projet'!$B$9,Paramètres!$A$1:$I$89,3,0)*VLOOKUP('Données projet'!$B$9,Paramètres!$A$1:$I$89,5,0)</f>
        <v>1.2710188457276673E-13</v>
      </c>
      <c r="P87" s="14">
        <f t="shared" si="87"/>
        <v>1.856866851063998E-12</v>
      </c>
      <c r="Q87" s="22">
        <f t="shared" si="54"/>
        <v>3.4554122145673649E-12</v>
      </c>
      <c r="R87" s="62">
        <f t="shared" si="55"/>
        <v>293.33333333333678</v>
      </c>
      <c r="S87" s="62">
        <f ca="1">AVERAGE(OFFSET($R$3,0,0,'Données projet'!$E$9+1,1))-AVERAGE(OFFSET($H$3,0,0,'Données projet'!$E$9+1,1))</f>
        <v>323.98185264074681</v>
      </c>
      <c r="T87" s="62">
        <f t="shared" si="88"/>
        <v>301.22207291854005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1.5314912908257765</v>
      </c>
      <c r="AA87" s="23">
        <f>EXP(-LN(2)/25)*AA86+(1-EXP(-LN(2)/25))/(LN(2)/25)*Calculateur!V87*Calculateur!X87*VLOOKUP('Données projet'!$B$9,Paramètres!$A$1:$I$89,3,0)*0.475*44/12</f>
        <v>1.8453849865558574</v>
      </c>
      <c r="AB87" s="23">
        <f>EXP(-LN(2)/2)*AB86+(1-EXP(-LN(2)/2))/(LN(2)/2)*V87*Y87*VLOOKUP('Données projet'!$B$9,Paramètres!$A$1:$I$89,3,0)*0.475*44/12</f>
        <v>4.5357698050275599E-8</v>
      </c>
      <c r="AC87" s="24">
        <f t="shared" si="57"/>
        <v>3.3768763227393319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11.284615384615364</v>
      </c>
      <c r="AI87" s="14">
        <f>IF('Données projet'!$A$62&gt;35,AI86+AH87-AQ86,IF(A87&lt;'Données projet'!$A$62,$AF$205^A87,IF(A87='Données projet'!$A$62,'Données projet'!$B$62,AI86+AH87-AQ86)))</f>
        <v>382.21538461538472</v>
      </c>
      <c r="AJ87" s="14">
        <f>AI87*VLOOKUP('Données projet'!$B$10,Paramètres!$A$1:$I$89,3,0)*VLOOKUP('Données projet'!$B$10,Paramètres!$A$1:$I$89,5,0)</f>
        <v>178.87680000000006</v>
      </c>
      <c r="AK87" s="14">
        <f t="shared" si="89"/>
        <v>45.072203896334216</v>
      </c>
      <c r="AL87" s="22">
        <f t="shared" si="58"/>
        <v>390.04451511944882</v>
      </c>
      <c r="AM87" s="62">
        <f t="shared" si="59"/>
        <v>683.37784845278213</v>
      </c>
      <c r="AN87" s="62">
        <f ca="1">AVERAGE(OFFSET($AM$3,0,0,'Données projet'!$E$10+1,1))-AVERAGE(OFFSET($H$3,0,0,'Données projet'!$E$10+1,1))</f>
        <v>276.78862011733338</v>
      </c>
      <c r="AO87" s="62">
        <f t="shared" si="90"/>
        <v>202.1678469635836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237.41951999999992</v>
      </c>
      <c r="BF87" s="14">
        <f t="shared" si="91"/>
        <v>57.883978814320919</v>
      </c>
      <c r="BG87" s="22">
        <f t="shared" si="61"/>
        <v>514.32026043494204</v>
      </c>
      <c r="BH87" s="62">
        <f t="shared" si="62"/>
        <v>807.65359376827541</v>
      </c>
      <c r="BI87" s="62">
        <f ca="1">AVERAGE(OFFSET($BH$3,0,0,'Données projet'!$E$11+1,1))-AVERAGE(OFFSET($H$3,0,0,'Données projet'!$E$11+1,1))</f>
        <v>428.8489304403459</v>
      </c>
      <c r="BJ87" s="62">
        <f t="shared" si="92"/>
        <v>247.01165577562966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-2.8421709430404007E-13</v>
      </c>
      <c r="BZ87" s="14">
        <f>BY87*VLOOKUP('Données projet'!$B$12,Paramètres!$A$1:$I$89,3,0)*VLOOKUP('Données projet'!$B$12,Paramètres!$A$1:$I$89,5,0)</f>
        <v>-1.69961822393816E-13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289.12367833861299</v>
      </c>
      <c r="CE87" s="62">
        <f t="shared" si="94"/>
        <v>229.06617320689003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3.0896328970979523E-8</v>
      </c>
      <c r="CN87" s="24">
        <f t="shared" si="66"/>
        <v>3.0896328970979523E-8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-4.5224624045658861E-14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370.59298168107364</v>
      </c>
      <c r="CZ87" s="62">
        <f t="shared" si="96"/>
        <v>404.61777090709171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3.2</v>
      </c>
      <c r="DO87" s="13">
        <f>IF('Données projet'!$A$166&gt;35,DO86+DN87-DW86,IF(A87&lt;'Données projet'!$A$166,$DL$205^A87,IF(A87='Données projet'!$A$166,'Données projet'!$B$166,DO86+DN87-DW86)))</f>
        <v>226.7999999999999</v>
      </c>
      <c r="DP87" s="18">
        <f>DO87*VLOOKUP('Données projet'!$B$14,Paramètres!$A$1:$I$89,3,0)*VLOOKUP('Données projet'!$B$14,Paramètres!$A$1:$I$89,5,0)</f>
        <v>198.13247999999993</v>
      </c>
      <c r="DQ87" s="14">
        <f t="shared" si="97"/>
        <v>49.333519530262095</v>
      </c>
      <c r="DR87" s="22">
        <f t="shared" si="70"/>
        <v>431.00328251520631</v>
      </c>
      <c r="DS87" s="62">
        <f t="shared" si="71"/>
        <v>724.33661584853962</v>
      </c>
      <c r="DT87" s="62">
        <f ca="1">AVERAGE(OFFSET($DS$3,0,0,'Données projet'!$E$14+1,1))-AVERAGE(OFFSET($H$3,0,0,'Données projet'!$E$14+1,1))</f>
        <v>341.65872153228599</v>
      </c>
      <c r="DU87" s="62">
        <f t="shared" si="98"/>
        <v>339.49697153894937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4.1025641025640995</v>
      </c>
      <c r="EJ87" s="13">
        <f>IF('Données projet'!$A$192&gt;35,EJ86+EI87-ER86,IF(A87&lt;'Données projet'!$A$192,$EG$205^A87,IF(A87='Données projet'!$A$192,'Données projet'!$B$192,EJ86+EI87-ER86)))</f>
        <v>272.17948717948718</v>
      </c>
      <c r="EK87" s="18">
        <f>EJ87*VLOOKUP('Données projet'!$B$15,Paramètres!$A$1:$I$89,3,0)*VLOOKUP('Données projet'!$B$15,Paramètres!$A$1:$I$89,5,0)</f>
        <v>182.578</v>
      </c>
      <c r="EL87" s="14">
        <f t="shared" si="99"/>
        <v>45.895268107941853</v>
      </c>
      <c r="EM87" s="22">
        <f t="shared" si="73"/>
        <v>397.9242752879988</v>
      </c>
      <c r="EN87" s="62">
        <f t="shared" si="74"/>
        <v>691.25760862133211</v>
      </c>
      <c r="EO87" s="62">
        <f ca="1">AVERAGE(OFFSET($EN$3,0,0,'Données projet'!$E$15+1,1))-AVERAGE(OFFSET($H$3,0,0,'Données projet'!$E$15+1,1))</f>
        <v>312.06797204903796</v>
      </c>
      <c r="EP87" s="62">
        <f t="shared" si="100"/>
        <v>258.20189001775151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5.6</v>
      </c>
      <c r="FE87" s="13">
        <f>IF('Données projet'!$A$218&gt;35,FE86+FD87-FM86,IF(A87&lt;'Données projet'!$A$218,$FB$205^A87,IF(A87='Données projet'!$A$218,'Données projet'!$B$218,FE86+FD87-FM86)))</f>
        <v>262.39999999999992</v>
      </c>
      <c r="FF87" s="18">
        <f>FE87*VLOOKUP('Données projet'!$B$16,Paramètres!$A$1:$I$89,3,0)*VLOOKUP('Données projet'!$B$16,Paramètres!$A$1:$I$89,5,0)</f>
        <v>253.79327999999995</v>
      </c>
      <c r="FG87" s="14">
        <f t="shared" si="101"/>
        <v>61.39750139179521</v>
      </c>
      <c r="FH87" s="22">
        <f t="shared" si="76"/>
        <v>548.95727759070985</v>
      </c>
      <c r="FI87" s="62">
        <f t="shared" si="77"/>
        <v>842.29061092404322</v>
      </c>
      <c r="FJ87" s="62">
        <f ca="1">AVERAGE(OFFSET($FI$3,0,0,'Données projet'!$E$16+1,1))-AVERAGE(OFFSET($H$3,0,0,'Données projet'!$E$16+1,1))</f>
        <v>455.50822833641354</v>
      </c>
      <c r="FK87" s="62">
        <f t="shared" si="102"/>
        <v>261.14722581688039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2.2737367544323206E-13</v>
      </c>
      <c r="O88" s="14">
        <f>N88*VLOOKUP('Données projet'!$B$9,Paramètres!$A$1:$I$89,3,0)*VLOOKUP('Données projet'!$B$9,Paramètres!$A$1:$I$89,5,0)</f>
        <v>1.2710188457276673E-13</v>
      </c>
      <c r="P88" s="14">
        <f t="shared" si="87"/>
        <v>1.856866851063998E-12</v>
      </c>
      <c r="Q88" s="22">
        <f t="shared" si="54"/>
        <v>3.4554122145673649E-12</v>
      </c>
      <c r="R88" s="62">
        <f t="shared" si="55"/>
        <v>293.33333333333678</v>
      </c>
      <c r="S88" s="62">
        <f ca="1">AVERAGE(OFFSET($R$3,0,0,'Données projet'!$E$9+1,1))-AVERAGE(OFFSET($H$3,0,0,'Données projet'!$E$9+1,1))</f>
        <v>323.98185264074681</v>
      </c>
      <c r="T88" s="62">
        <f t="shared" si="88"/>
        <v>301.22207291854005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1.5014596807301339</v>
      </c>
      <c r="AA88" s="23">
        <f>EXP(-LN(2)/25)*AA87+(1-EXP(-LN(2)/25))/(LN(2)/25)*Calculateur!V88*Calculateur!X88*VLOOKUP('Données projet'!$B$9,Paramètres!$A$1:$I$89,3,0)*0.475*44/12</f>
        <v>1.7949228370539088</v>
      </c>
      <c r="AB88" s="23">
        <f>EXP(-LN(2)/2)*AB87+(1-EXP(-LN(2)/2))/(LN(2)/2)*V88*Y88*VLOOKUP('Données projet'!$B$9,Paramètres!$A$1:$I$89,3,0)*0.475*44/12</f>
        <v>3.2072735870361721E-8</v>
      </c>
      <c r="AC88" s="24">
        <f t="shared" si="57"/>
        <v>3.2963825498567787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11.284615384615364</v>
      </c>
      <c r="AI88" s="14">
        <f>IF('Données projet'!$A$62&gt;35,AI87+AH88-AQ87,IF(A88&lt;'Données projet'!$A$62,$AF$205^A88,IF(A88='Données projet'!$A$62,'Données projet'!$B$62,AI87+AH88-AQ87)))</f>
        <v>393.50000000000011</v>
      </c>
      <c r="AJ88" s="14">
        <f>AI88*VLOOKUP('Données projet'!$B$10,Paramètres!$A$1:$I$89,3,0)*VLOOKUP('Données projet'!$B$10,Paramètres!$A$1:$I$89,5,0)</f>
        <v>184.15800000000004</v>
      </c>
      <c r="AK88" s="14">
        <f t="shared" si="89"/>
        <v>46.2460314283895</v>
      </c>
      <c r="AL88" s="22">
        <f t="shared" si="58"/>
        <v>401.28702140444511</v>
      </c>
      <c r="AM88" s="62">
        <f t="shared" si="59"/>
        <v>694.62035473777837</v>
      </c>
      <c r="AN88" s="62">
        <f ca="1">AVERAGE(OFFSET($AM$3,0,0,'Données projet'!$E$10+1,1))-AVERAGE(OFFSET($H$3,0,0,'Données projet'!$E$10+1,1))</f>
        <v>276.78862011733338</v>
      </c>
      <c r="AO88" s="62">
        <f t="shared" si="90"/>
        <v>202.1678469635836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242.48639999999995</v>
      </c>
      <c r="BF88" s="14">
        <f t="shared" si="91"/>
        <v>58.974170235372419</v>
      </c>
      <c r="BG88" s="22">
        <f t="shared" si="61"/>
        <v>525.04382649327351</v>
      </c>
      <c r="BH88" s="62">
        <f t="shared" si="62"/>
        <v>818.37715982660688</v>
      </c>
      <c r="BI88" s="62">
        <f ca="1">AVERAGE(OFFSET($BH$3,0,0,'Données projet'!$E$11+1,1))-AVERAGE(OFFSET($H$3,0,0,'Données projet'!$E$11+1,1))</f>
        <v>428.8489304403459</v>
      </c>
      <c r="BJ88" s="62">
        <f t="shared" si="92"/>
        <v>247.01165577562966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-2.8421709430404007E-13</v>
      </c>
      <c r="BZ88" s="14">
        <f>BY88*VLOOKUP('Données projet'!$B$12,Paramètres!$A$1:$I$89,3,0)*VLOOKUP('Données projet'!$B$12,Paramètres!$A$1:$I$89,5,0)</f>
        <v>-1.69961822393816E-13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289.12367833861299</v>
      </c>
      <c r="CE88" s="62">
        <f t="shared" si="94"/>
        <v>229.06617320689003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2.1847003729150007E-8</v>
      </c>
      <c r="CN88" s="24">
        <f t="shared" si="66"/>
        <v>2.1847003729150007E-8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-4.5224624045658861E-14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370.59298168107364</v>
      </c>
      <c r="CZ88" s="62">
        <f t="shared" si="96"/>
        <v>404.61777090709171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230</v>
      </c>
      <c r="DM88" s="13">
        <f>VLOOKUP(A88,'Données projet'!$A$165:$I$185,9,0)</f>
        <v>3.2</v>
      </c>
      <c r="DN88" s="13">
        <f t="array" ref="DN88">INDEX(DM:DM,MIN(IF(ISNUMBER(DM88:DM284),ROW(DM88:DM284),"")))</f>
        <v>3.2</v>
      </c>
      <c r="DO88" s="13">
        <f>IF('Données projet'!$A$166&gt;35,DO87+DN88-DW87,IF(A88&lt;'Données projet'!$A$166,$DL$205^A88,IF(A88='Données projet'!$A$166,'Données projet'!$B$166,DO87+DN88-DW87)))</f>
        <v>229.99999999999989</v>
      </c>
      <c r="DP88" s="18">
        <f>DO88*VLOOKUP('Données projet'!$B$14,Paramètres!$A$1:$I$89,3,0)*VLOOKUP('Données projet'!$B$14,Paramètres!$A$1:$I$89,5,0)</f>
        <v>200.92799999999994</v>
      </c>
      <c r="DQ88" s="14">
        <f t="shared" si="97"/>
        <v>49.948059057189042</v>
      </c>
      <c r="DR88" s="22">
        <f t="shared" si="70"/>
        <v>436.94246952460412</v>
      </c>
      <c r="DS88" s="62">
        <f t="shared" si="71"/>
        <v>730.27580285793738</v>
      </c>
      <c r="DT88" s="62">
        <f ca="1">AVERAGE(OFFSET($DS$3,0,0,'Données projet'!$E$14+1,1))-AVERAGE(OFFSET($H$3,0,0,'Données projet'!$E$14+1,1))</f>
        <v>341.65872153228599</v>
      </c>
      <c r="DU88" s="62">
        <f t="shared" si="98"/>
        <v>339.49697153894937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276.28205128205127</v>
      </c>
      <c r="EH88" s="13">
        <f>VLOOKUP(A88,'Données projet'!$A$191:$I$211,9,0)</f>
        <v>4.1025641025640995</v>
      </c>
      <c r="EI88" s="13">
        <f t="array" ref="EI88">INDEX(EH:EH,MIN(IF(ISNUMBER(EH88:EH284),ROW(EH88:EH284),"")))</f>
        <v>4.1025641025640995</v>
      </c>
      <c r="EJ88" s="13">
        <f>IF('Données projet'!$A$192&gt;35,EJ87+EI88-ER87,IF(A88&lt;'Données projet'!$A$192,$EG$205^A88,IF(A88='Données projet'!$A$192,'Données projet'!$B$192,EJ87+EI88-ER87)))</f>
        <v>276.28205128205127</v>
      </c>
      <c r="EK88" s="18">
        <f>EJ88*VLOOKUP('Données projet'!$B$15,Paramètres!$A$1:$I$89,3,0)*VLOOKUP('Données projet'!$B$15,Paramètres!$A$1:$I$89,5,0)</f>
        <v>185.32999999999998</v>
      </c>
      <c r="EL88" s="14">
        <f t="shared" si="99"/>
        <v>46.505991525491268</v>
      </c>
      <c r="EM88" s="22">
        <f t="shared" si="73"/>
        <v>403.78101857356387</v>
      </c>
      <c r="EN88" s="62">
        <f t="shared" si="74"/>
        <v>697.11435190689713</v>
      </c>
      <c r="EO88" s="62">
        <f ca="1">AVERAGE(OFFSET($EN$3,0,0,'Données projet'!$E$15+1,1))-AVERAGE(OFFSET($H$3,0,0,'Données projet'!$E$15+1,1))</f>
        <v>312.06797204903796</v>
      </c>
      <c r="EP88" s="62">
        <f t="shared" si="100"/>
        <v>258.20189001775151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5.6</v>
      </c>
      <c r="FE88" s="13">
        <f>IF('Données projet'!$A$218&gt;35,FE87+FD88-FM87,IF(A88&lt;'Données projet'!$A$218,$FB$205^A88,IF(A88='Données projet'!$A$218,'Données projet'!$B$218,FE87+FD88-FM87)))</f>
        <v>267.99999999999994</v>
      </c>
      <c r="FF88" s="18">
        <f>FE88*VLOOKUP('Données projet'!$B$16,Paramètres!$A$1:$I$89,3,0)*VLOOKUP('Données projet'!$B$16,Paramètres!$A$1:$I$89,5,0)</f>
        <v>259.20959999999997</v>
      </c>
      <c r="FG88" s="14">
        <f t="shared" si="101"/>
        <v>62.553866774106702</v>
      </c>
      <c r="FH88" s="22">
        <f t="shared" si="76"/>
        <v>560.40470463156907</v>
      </c>
      <c r="FI88" s="62">
        <f t="shared" si="77"/>
        <v>853.73803796490233</v>
      </c>
      <c r="FJ88" s="62">
        <f ca="1">AVERAGE(OFFSET($FI$3,0,0,'Données projet'!$E$16+1,1))-AVERAGE(OFFSET($H$3,0,0,'Données projet'!$E$16+1,1))</f>
        <v>455.50822833641354</v>
      </c>
      <c r="FK88" s="62">
        <f t="shared" si="102"/>
        <v>261.14722581688039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2.2737367544323206E-13</v>
      </c>
      <c r="O89" s="14">
        <f>N89*VLOOKUP('Données projet'!$B$9,Paramètres!$A$1:$I$89,3,0)*VLOOKUP('Données projet'!$B$9,Paramètres!$A$1:$I$89,5,0)</f>
        <v>1.2710188457276673E-13</v>
      </c>
      <c r="P89" s="14">
        <f t="shared" si="87"/>
        <v>1.856866851063998E-12</v>
      </c>
      <c r="Q89" s="22">
        <f t="shared" si="54"/>
        <v>3.4554122145673649E-12</v>
      </c>
      <c r="R89" s="62">
        <f t="shared" si="55"/>
        <v>293.33333333333678</v>
      </c>
      <c r="S89" s="62">
        <f ca="1">AVERAGE(OFFSET($R$3,0,0,'Données projet'!$E$9+1,1))-AVERAGE(OFFSET($H$3,0,0,'Données projet'!$E$9+1,1))</f>
        <v>323.98185264074681</v>
      </c>
      <c r="T89" s="62">
        <f t="shared" si="88"/>
        <v>301.22207291854005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1.4720169721909935</v>
      </c>
      <c r="AA89" s="23">
        <f>EXP(-LN(2)/25)*AA88+(1-EXP(-LN(2)/25))/(LN(2)/25)*Calculateur!V89*Calculateur!X89*VLOOKUP('Données projet'!$B$9,Paramètres!$A$1:$I$89,3,0)*0.475*44/12</f>
        <v>1.74584057768378</v>
      </c>
      <c r="AB89" s="23">
        <f>EXP(-LN(2)/2)*AB88+(1-EXP(-LN(2)/2))/(LN(2)/2)*V89*Y89*VLOOKUP('Données projet'!$B$9,Paramètres!$A$1:$I$89,3,0)*0.475*44/12</f>
        <v>2.2678849025137799E-8</v>
      </c>
      <c r="AC89" s="24">
        <f t="shared" si="57"/>
        <v>3.2178575725536227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11.284615384615364</v>
      </c>
      <c r="AI89" s="14">
        <f>IF('Données projet'!$A$62&gt;35,AI88+AH89-AQ88,IF(A89&lt;'Données projet'!$A$62,$AF$205^A89,IF(A89='Données projet'!$A$62,'Données projet'!$B$62,AI88+AH89-AQ88)))</f>
        <v>404.78461538461545</v>
      </c>
      <c r="AJ89" s="14">
        <f>AI89*VLOOKUP('Données projet'!$B$10,Paramètres!$A$1:$I$89,3,0)*VLOOKUP('Données projet'!$B$10,Paramètres!$A$1:$I$89,5,0)</f>
        <v>189.43920000000003</v>
      </c>
      <c r="AK89" s="14">
        <f t="shared" si="89"/>
        <v>47.415946611792059</v>
      </c>
      <c r="AL89" s="22">
        <f t="shared" si="58"/>
        <v>412.52271368220454</v>
      </c>
      <c r="AM89" s="62">
        <f t="shared" si="59"/>
        <v>705.8560470155378</v>
      </c>
      <c r="AN89" s="62">
        <f ca="1">AVERAGE(OFFSET($AM$3,0,0,'Données projet'!$E$10+1,1))-AVERAGE(OFFSET($H$3,0,0,'Données projet'!$E$10+1,1))</f>
        <v>276.78862011733338</v>
      </c>
      <c r="AO89" s="62">
        <f t="shared" si="90"/>
        <v>202.1678469635836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247.55327999999994</v>
      </c>
      <c r="BF89" s="14">
        <f t="shared" si="91"/>
        <v>60.061713068870255</v>
      </c>
      <c r="BG89" s="22">
        <f t="shared" si="61"/>
        <v>535.76277959494894</v>
      </c>
      <c r="BH89" s="62">
        <f t="shared" si="62"/>
        <v>829.09611292828231</v>
      </c>
      <c r="BI89" s="62">
        <f ca="1">AVERAGE(OFFSET($BH$3,0,0,'Données projet'!$E$11+1,1))-AVERAGE(OFFSET($H$3,0,0,'Données projet'!$E$11+1,1))</f>
        <v>428.8489304403459</v>
      </c>
      <c r="BJ89" s="62">
        <f t="shared" si="92"/>
        <v>247.01165577562966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-2.8421709430404007E-13</v>
      </c>
      <c r="BZ89" s="14">
        <f>BY89*VLOOKUP('Données projet'!$B$12,Paramètres!$A$1:$I$89,3,0)*VLOOKUP('Données projet'!$B$12,Paramètres!$A$1:$I$89,5,0)</f>
        <v>-1.69961822393816E-13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289.12367833861299</v>
      </c>
      <c r="CE89" s="62">
        <f t="shared" si="94"/>
        <v>229.06617320689003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1.5448164485489761E-8</v>
      </c>
      <c r="CN89" s="24">
        <f t="shared" si="66"/>
        <v>1.5448164485489761E-8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-4.5224624045658861E-14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370.59298168107364</v>
      </c>
      <c r="CZ89" s="62">
        <f t="shared" si="96"/>
        <v>404.61777090709171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</v>
      </c>
      <c r="DO89" s="13">
        <f>IF('Données projet'!$A$166&gt;35,DO88+DN89-DW88,IF(A89&lt;'Données projet'!$A$166,$DL$205^A89,IF(A89='Données projet'!$A$166,'Données projet'!$B$166,DO88+DN89-DW88)))</f>
        <v>232.99999999999989</v>
      </c>
      <c r="DP89" s="18">
        <f>DO89*VLOOKUP('Données projet'!$B$14,Paramètres!$A$1:$I$89,3,0)*VLOOKUP('Données projet'!$B$14,Paramètres!$A$1:$I$89,5,0)</f>
        <v>203.54879999999994</v>
      </c>
      <c r="DQ89" s="14">
        <f t="shared" si="97"/>
        <v>50.523286400023487</v>
      </c>
      <c r="DR89" s="22">
        <f t="shared" si="70"/>
        <v>442.5088838133741</v>
      </c>
      <c r="DS89" s="62">
        <f t="shared" si="71"/>
        <v>735.84221714670741</v>
      </c>
      <c r="DT89" s="62">
        <f ca="1">AVERAGE(OFFSET($DS$3,0,0,'Données projet'!$E$14+1,1))-AVERAGE(OFFSET($H$3,0,0,'Données projet'!$E$14+1,1))</f>
        <v>341.65872153228599</v>
      </c>
      <c r="DU89" s="62">
        <f t="shared" si="98"/>
        <v>339.49697153894937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3.8461538461538454</v>
      </c>
      <c r="EJ89" s="13">
        <f>IF('Données projet'!$A$192&gt;35,EJ88+EI89-ER88,IF(A89&lt;'Données projet'!$A$192,$EG$205^A89,IF(A89='Données projet'!$A$192,'Données projet'!$B$192,EJ88+EI89-ER88)))</f>
        <v>280.12820512820514</v>
      </c>
      <c r="EK89" s="18">
        <f>EJ89*VLOOKUP('Données projet'!$B$15,Paramètres!$A$1:$I$89,3,0)*VLOOKUP('Données projet'!$B$15,Paramètres!$A$1:$I$89,5,0)</f>
        <v>187.91</v>
      </c>
      <c r="EL89" s="14">
        <f t="shared" si="99"/>
        <v>47.077586490700433</v>
      </c>
      <c r="EM89" s="22">
        <f t="shared" si="73"/>
        <v>409.27004647130326</v>
      </c>
      <c r="EN89" s="62">
        <f t="shared" si="74"/>
        <v>702.60337980463657</v>
      </c>
      <c r="EO89" s="62">
        <f ca="1">AVERAGE(OFFSET($EN$3,0,0,'Données projet'!$E$15+1,1))-AVERAGE(OFFSET($H$3,0,0,'Données projet'!$E$15+1,1))</f>
        <v>312.06797204903796</v>
      </c>
      <c r="EP89" s="62">
        <f t="shared" si="100"/>
        <v>258.20189001775151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5.6</v>
      </c>
      <c r="FE89" s="13">
        <f>IF('Données projet'!$A$218&gt;35,FE88+FD89-FM88,IF(A89&lt;'Données projet'!$A$218,$FB$205^A89,IF(A89='Données projet'!$A$218,'Données projet'!$B$218,FE88+FD89-FM88)))</f>
        <v>273.59999999999997</v>
      </c>
      <c r="FF89" s="18">
        <f>FE89*VLOOKUP('Données projet'!$B$16,Paramètres!$A$1:$I$89,3,0)*VLOOKUP('Données projet'!$B$16,Paramètres!$A$1:$I$89,5,0)</f>
        <v>264.62591999999995</v>
      </c>
      <c r="FG89" s="14">
        <f t="shared" si="101"/>
        <v>63.707422801198604</v>
      </c>
      <c r="FH89" s="22">
        <f t="shared" si="76"/>
        <v>571.84723871208746</v>
      </c>
      <c r="FI89" s="62">
        <f t="shared" si="77"/>
        <v>865.18057204542083</v>
      </c>
      <c r="FJ89" s="62">
        <f ca="1">AVERAGE(OFFSET($FI$3,0,0,'Données projet'!$E$16+1,1))-AVERAGE(OFFSET($H$3,0,0,'Données projet'!$E$16+1,1))</f>
        <v>455.50822833641354</v>
      </c>
      <c r="FK89" s="62">
        <f t="shared" si="102"/>
        <v>261.14722581688039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2.2737367544323206E-13</v>
      </c>
      <c r="O90" s="14">
        <f>N90*VLOOKUP('Données projet'!$B$9,Paramètres!$A$1:$I$89,3,0)*VLOOKUP('Données projet'!$B$9,Paramètres!$A$1:$I$89,5,0)</f>
        <v>1.2710188457276673E-13</v>
      </c>
      <c r="P90" s="14">
        <f t="shared" si="87"/>
        <v>1.856866851063998E-12</v>
      </c>
      <c r="Q90" s="22">
        <f t="shared" si="54"/>
        <v>3.4554122145673649E-12</v>
      </c>
      <c r="R90" s="62">
        <f t="shared" si="55"/>
        <v>293.33333333333678</v>
      </c>
      <c r="S90" s="62">
        <f ca="1">AVERAGE(OFFSET($R$3,0,0,'Données projet'!$E$9+1,1))-AVERAGE(OFFSET($H$3,0,0,'Données projet'!$E$9+1,1))</f>
        <v>323.98185264074681</v>
      </c>
      <c r="T90" s="62">
        <f t="shared" si="88"/>
        <v>301.22207291854005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1.4431516172080265</v>
      </c>
      <c r="AA90" s="23">
        <f>EXP(-LN(2)/25)*AA89+(1-EXP(-LN(2)/25))/(LN(2)/25)*Calculateur!V90*Calculateur!X90*VLOOKUP('Données projet'!$B$9,Paramètres!$A$1:$I$89,3,0)*0.475*44/12</f>
        <v>1.6981004752772513</v>
      </c>
      <c r="AB90" s="23">
        <f>EXP(-LN(2)/2)*AB89+(1-EXP(-LN(2)/2))/(LN(2)/2)*V90*Y90*VLOOKUP('Données projet'!$B$9,Paramètres!$A$1:$I$89,3,0)*0.475*44/12</f>
        <v>1.603636793518086E-8</v>
      </c>
      <c r="AC90" s="24">
        <f t="shared" si="57"/>
        <v>3.1412521085216456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>
        <f>VLOOKUP(A90,'Données projet'!$A$61:$I$81,2,0)</f>
        <v>416.06923076923073</v>
      </c>
      <c r="AG90" s="13">
        <f>VLOOKUP(A90,'Données projet'!$A$61:$I$81,9,0)</f>
        <v>11.284615384615364</v>
      </c>
      <c r="AH90" s="13">
        <f t="array" ref="AH90">INDEX(AG:AG,MIN(IF(ISNUMBER(AG90:AG286),ROW(AG90:AG286),"")))</f>
        <v>11.284615384615364</v>
      </c>
      <c r="AI90" s="14">
        <f>IF('Données projet'!$A$62&gt;35,AI89+AH90-AQ89,IF(A90&lt;'Données projet'!$A$62,$AF$205^A90,IF(A90='Données projet'!$A$62,'Données projet'!$B$62,AI89+AH90-AQ89)))</f>
        <v>416.06923076923078</v>
      </c>
      <c r="AJ90" s="14">
        <f>AI90*VLOOKUP('Données projet'!$B$10,Paramètres!$A$1:$I$89,3,0)*VLOOKUP('Données projet'!$B$10,Paramètres!$A$1:$I$89,5,0)</f>
        <v>194.72039999999998</v>
      </c>
      <c r="AK90" s="14">
        <f t="shared" si="89"/>
        <v>48.582071045446703</v>
      </c>
      <c r="AL90" s="22">
        <f t="shared" si="58"/>
        <v>423.75180373748623</v>
      </c>
      <c r="AM90" s="62">
        <f t="shared" si="59"/>
        <v>717.08513707081954</v>
      </c>
      <c r="AN90" s="62">
        <f ca="1">AVERAGE(OFFSET($AM$3,0,0,'Données projet'!$E$10+1,1))-AVERAGE(OFFSET($H$3,0,0,'Données projet'!$E$10+1,1))</f>
        <v>276.78862011733338</v>
      </c>
      <c r="AO90" s="62">
        <f t="shared" si="90"/>
        <v>202.1678469635836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252.62015999999997</v>
      </c>
      <c r="BF90" s="14">
        <f t="shared" si="91"/>
        <v>61.14666777229877</v>
      </c>
      <c r="BG90" s="22">
        <f t="shared" si="61"/>
        <v>546.47722503675357</v>
      </c>
      <c r="BH90" s="62">
        <f t="shared" si="62"/>
        <v>839.81055837008694</v>
      </c>
      <c r="BI90" s="62">
        <f ca="1">AVERAGE(OFFSET($BH$3,0,0,'Données projet'!$E$11+1,1))-AVERAGE(OFFSET($H$3,0,0,'Données projet'!$E$11+1,1))</f>
        <v>428.8489304403459</v>
      </c>
      <c r="BJ90" s="62">
        <f t="shared" si="92"/>
        <v>247.01165577562966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-2.8421709430404007E-13</v>
      </c>
      <c r="BZ90" s="14">
        <f>BY90*VLOOKUP('Données projet'!$B$12,Paramètres!$A$1:$I$89,3,0)*VLOOKUP('Données projet'!$B$12,Paramètres!$A$1:$I$89,5,0)</f>
        <v>-1.69961822393816E-13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289.12367833861299</v>
      </c>
      <c r="CE90" s="62">
        <f t="shared" si="94"/>
        <v>229.06617320689003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1.0923501864575003E-8</v>
      </c>
      <c r="CN90" s="24">
        <f t="shared" si="66"/>
        <v>1.0923501864575003E-8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-4.5224624045658861E-14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370.59298168107364</v>
      </c>
      <c r="CZ90" s="62">
        <f t="shared" si="96"/>
        <v>404.61777090709171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</v>
      </c>
      <c r="DO90" s="13">
        <f>IF('Données projet'!$A$166&gt;35,DO89+DN90-DW89,IF(A90&lt;'Données projet'!$A$166,$DL$205^A90,IF(A90='Données projet'!$A$166,'Données projet'!$B$166,DO89+DN90-DW89)))</f>
        <v>235.99999999999989</v>
      </c>
      <c r="DP90" s="18">
        <f>DO90*VLOOKUP('Données projet'!$B$14,Paramètres!$A$1:$I$89,3,0)*VLOOKUP('Données projet'!$B$14,Paramètres!$A$1:$I$89,5,0)</f>
        <v>206.16959999999992</v>
      </c>
      <c r="DQ90" s="14">
        <f t="shared" si="97"/>
        <v>51.097652263007333</v>
      </c>
      <c r="DR90" s="22">
        <f t="shared" si="70"/>
        <v>448.07379769140431</v>
      </c>
      <c r="DS90" s="62">
        <f t="shared" si="71"/>
        <v>741.40713102473762</v>
      </c>
      <c r="DT90" s="62">
        <f ca="1">AVERAGE(OFFSET($DS$3,0,0,'Données projet'!$E$14+1,1))-AVERAGE(OFFSET($H$3,0,0,'Données projet'!$E$14+1,1))</f>
        <v>341.65872153228599</v>
      </c>
      <c r="DU90" s="62">
        <f t="shared" si="98"/>
        <v>339.49697153894937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3.8461538461538454</v>
      </c>
      <c r="EJ90" s="13">
        <f>IF('Données projet'!$A$192&gt;35,EJ89+EI90-ER89,IF(A90&lt;'Données projet'!$A$192,$EG$205^A90,IF(A90='Données projet'!$A$192,'Données projet'!$B$192,EJ89+EI90-ER89)))</f>
        <v>283.97435897435901</v>
      </c>
      <c r="EK90" s="18">
        <f>EJ90*VLOOKUP('Données projet'!$B$15,Paramètres!$A$1:$I$89,3,0)*VLOOKUP('Données projet'!$B$15,Paramètres!$A$1:$I$89,5,0)</f>
        <v>190.49</v>
      </c>
      <c r="EL90" s="14">
        <f t="shared" si="99"/>
        <v>47.648268649617435</v>
      </c>
      <c r="EM90" s="22">
        <f t="shared" si="73"/>
        <v>414.75748456475031</v>
      </c>
      <c r="EN90" s="62">
        <f t="shared" si="74"/>
        <v>708.09081789808363</v>
      </c>
      <c r="EO90" s="62">
        <f ca="1">AVERAGE(OFFSET($EN$3,0,0,'Données projet'!$E$15+1,1))-AVERAGE(OFFSET($H$3,0,0,'Données projet'!$E$15+1,1))</f>
        <v>312.06797204903796</v>
      </c>
      <c r="EP90" s="62">
        <f t="shared" si="100"/>
        <v>258.20189001775151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5.6</v>
      </c>
      <c r="FE90" s="13">
        <f>IF('Données projet'!$A$218&gt;35,FE89+FD90-FM89,IF(A90&lt;'Données projet'!$A$218,$FB$205^A90,IF(A90='Données projet'!$A$218,'Données projet'!$B$218,FE89+FD90-FM89)))</f>
        <v>279.2</v>
      </c>
      <c r="FF90" s="18">
        <f>FE90*VLOOKUP('Données projet'!$B$16,Paramètres!$A$1:$I$89,3,0)*VLOOKUP('Données projet'!$B$16,Paramètres!$A$1:$I$89,5,0)</f>
        <v>270.04223999999999</v>
      </c>
      <c r="FG90" s="14">
        <f t="shared" si="101"/>
        <v>64.858233600288145</v>
      </c>
      <c r="FH90" s="22">
        <f t="shared" si="76"/>
        <v>583.28499152050188</v>
      </c>
      <c r="FI90" s="62">
        <f t="shared" si="77"/>
        <v>876.61832485383525</v>
      </c>
      <c r="FJ90" s="62">
        <f ca="1">AVERAGE(OFFSET($FI$3,0,0,'Données projet'!$E$16+1,1))-AVERAGE(OFFSET($H$3,0,0,'Données projet'!$E$16+1,1))</f>
        <v>455.50822833641354</v>
      </c>
      <c r="FK90" s="62">
        <f t="shared" si="102"/>
        <v>261.14722581688039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2.2737367544323206E-13</v>
      </c>
      <c r="O91" s="14">
        <f>N91*VLOOKUP('Données projet'!$B$9,Paramètres!$A$1:$I$89,3,0)*VLOOKUP('Données projet'!$B$9,Paramètres!$A$1:$I$89,5,0)</f>
        <v>1.2710188457276673E-13</v>
      </c>
      <c r="P91" s="14">
        <f t="shared" si="87"/>
        <v>1.856866851063998E-12</v>
      </c>
      <c r="Q91" s="22">
        <f t="shared" si="54"/>
        <v>3.4554122145673649E-12</v>
      </c>
      <c r="R91" s="62">
        <f t="shared" si="55"/>
        <v>293.33333333333678</v>
      </c>
      <c r="S91" s="62">
        <f ca="1">AVERAGE(OFFSET($R$3,0,0,'Données projet'!$E$9+1,1))-AVERAGE(OFFSET($H$3,0,0,'Données projet'!$E$9+1,1))</f>
        <v>323.98185264074681</v>
      </c>
      <c r="T91" s="62">
        <f t="shared" si="88"/>
        <v>301.22207291854005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1.4148522942301476</v>
      </c>
      <c r="AA91" s="23">
        <f>EXP(-LN(2)/25)*AA90+(1-EXP(-LN(2)/25))/(LN(2)/25)*Calculateur!V91*Calculateur!X91*VLOOKUP('Données projet'!$B$9,Paramètres!$A$1:$I$89,3,0)*0.475*44/12</f>
        <v>1.651665828481572</v>
      </c>
      <c r="AB91" s="23">
        <f>EXP(-LN(2)/2)*AB90+(1-EXP(-LN(2)/2))/(LN(2)/2)*V91*Y91*VLOOKUP('Données projet'!$B$9,Paramètres!$A$1:$I$89,3,0)*0.475*44/12</f>
        <v>1.13394245125689E-8</v>
      </c>
      <c r="AC91" s="24">
        <f t="shared" si="57"/>
        <v>3.0665181340511438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11.373076923076923</v>
      </c>
      <c r="AI91" s="14">
        <f>IF('Données projet'!$A$62&gt;35,AI90+AH91-AQ90,IF(A91&lt;'Données projet'!$A$62,$AF$205^A91,IF(A91='Données projet'!$A$62,'Données projet'!$B$62,AI90+AH91-AQ90)))</f>
        <v>427.44230769230774</v>
      </c>
      <c r="AJ91" s="14">
        <f>AI91*VLOOKUP('Données projet'!$B$10,Paramètres!$A$1:$I$89,3,0)*VLOOKUP('Données projet'!$B$10,Paramètres!$A$1:$I$89,5,0)</f>
        <v>200.04300000000003</v>
      </c>
      <c r="AK91" s="14">
        <f t="shared" si="89"/>
        <v>49.753617705662997</v>
      </c>
      <c r="AL91" s="22">
        <f t="shared" si="58"/>
        <v>435.06244250402978</v>
      </c>
      <c r="AM91" s="62">
        <f t="shared" si="59"/>
        <v>728.39577583736309</v>
      </c>
      <c r="AN91" s="62">
        <f ca="1">AVERAGE(OFFSET($AM$3,0,0,'Données projet'!$E$10+1,1))-AVERAGE(OFFSET($H$3,0,0,'Données projet'!$E$10+1,1))</f>
        <v>276.78862011733338</v>
      </c>
      <c r="AO91" s="62">
        <f t="shared" si="90"/>
        <v>202.1678469635836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257.68704000000002</v>
      </c>
      <c r="BF91" s="14">
        <f t="shared" si="91"/>
        <v>62.229092239243343</v>
      </c>
      <c r="BG91" s="22">
        <f t="shared" si="61"/>
        <v>557.18726365001555</v>
      </c>
      <c r="BH91" s="62">
        <f t="shared" si="62"/>
        <v>850.52059698334892</v>
      </c>
      <c r="BI91" s="62">
        <f ca="1">AVERAGE(OFFSET($BH$3,0,0,'Données projet'!$E$11+1,1))-AVERAGE(OFFSET($H$3,0,0,'Données projet'!$E$11+1,1))</f>
        <v>428.8489304403459</v>
      </c>
      <c r="BJ91" s="62">
        <f t="shared" si="92"/>
        <v>247.01165577562966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-2.8421709430404007E-13</v>
      </c>
      <c r="BZ91" s="14">
        <f>BY91*VLOOKUP('Données projet'!$B$12,Paramètres!$A$1:$I$89,3,0)*VLOOKUP('Données projet'!$B$12,Paramètres!$A$1:$I$89,5,0)</f>
        <v>-1.69961822393816E-13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289.12367833861299</v>
      </c>
      <c r="CE91" s="62">
        <f t="shared" si="94"/>
        <v>229.06617320689003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7.7240822427448807E-9</v>
      </c>
      <c r="CN91" s="24">
        <f t="shared" si="66"/>
        <v>7.7240822427448807E-9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-4.5224624045658861E-14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370.59298168107364</v>
      </c>
      <c r="CZ91" s="62">
        <f t="shared" si="96"/>
        <v>404.61777090709171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</v>
      </c>
      <c r="DO91" s="13">
        <f>IF('Données projet'!$A$166&gt;35,DO90+DN91-DW90,IF(A91&lt;'Données projet'!$A$166,$DL$205^A91,IF(A91='Données projet'!$A$166,'Données projet'!$B$166,DO90+DN91-DW90)))</f>
        <v>238.99999999999989</v>
      </c>
      <c r="DP91" s="18">
        <f>DO91*VLOOKUP('Données projet'!$B$14,Paramètres!$A$1:$I$89,3,0)*VLOOKUP('Données projet'!$B$14,Paramètres!$A$1:$I$89,5,0)</f>
        <v>208.79039999999992</v>
      </c>
      <c r="DQ91" s="14">
        <f t="shared" si="97"/>
        <v>51.671168863475145</v>
      </c>
      <c r="DR91" s="22">
        <f t="shared" si="70"/>
        <v>453.63723243721898</v>
      </c>
      <c r="DS91" s="62">
        <f t="shared" si="71"/>
        <v>746.9705657705523</v>
      </c>
      <c r="DT91" s="62">
        <f ca="1">AVERAGE(OFFSET($DS$3,0,0,'Données projet'!$E$14+1,1))-AVERAGE(OFFSET($H$3,0,0,'Données projet'!$E$14+1,1))</f>
        <v>341.65872153228599</v>
      </c>
      <c r="DU91" s="62">
        <f t="shared" si="98"/>
        <v>339.49697153894937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3.8461538461538454</v>
      </c>
      <c r="EJ91" s="13">
        <f>IF('Données projet'!$A$192&gt;35,EJ90+EI91-ER90,IF(A91&lt;'Données projet'!$A$192,$EG$205^A91,IF(A91='Données projet'!$A$192,'Données projet'!$B$192,EJ90+EI91-ER90)))</f>
        <v>287.82051282051287</v>
      </c>
      <c r="EK91" s="18">
        <f>EJ91*VLOOKUP('Données projet'!$B$15,Paramètres!$A$1:$I$89,3,0)*VLOOKUP('Données projet'!$B$15,Paramètres!$A$1:$I$89,5,0)</f>
        <v>193.07000000000005</v>
      </c>
      <c r="EL91" s="14">
        <f t="shared" si="99"/>
        <v>48.218051794342536</v>
      </c>
      <c r="EM91" s="22">
        <f t="shared" si="73"/>
        <v>420.24335687514667</v>
      </c>
      <c r="EN91" s="62">
        <f t="shared" si="74"/>
        <v>713.57669020847993</v>
      </c>
      <c r="EO91" s="62">
        <f ca="1">AVERAGE(OFFSET($EN$3,0,0,'Données projet'!$E$15+1,1))-AVERAGE(OFFSET($H$3,0,0,'Données projet'!$E$15+1,1))</f>
        <v>312.06797204903796</v>
      </c>
      <c r="EP91" s="62">
        <f t="shared" si="100"/>
        <v>258.20189001775151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5.6</v>
      </c>
      <c r="FE91" s="13">
        <f>IF('Données projet'!$A$218&gt;35,FE90+FD91-FM90,IF(A91&lt;'Données projet'!$A$218,$FB$205^A91,IF(A91='Données projet'!$A$218,'Données projet'!$B$218,FE90+FD91-FM90)))</f>
        <v>284.8</v>
      </c>
      <c r="FF91" s="18">
        <f>FE91*VLOOKUP('Données projet'!$B$16,Paramètres!$A$1:$I$89,3,0)*VLOOKUP('Données projet'!$B$16,Paramètres!$A$1:$I$89,5,0)</f>
        <v>275.45855999999998</v>
      </c>
      <c r="FG91" s="14">
        <f t="shared" si="101"/>
        <v>66.006360579066197</v>
      </c>
      <c r="FH91" s="22">
        <f t="shared" si="76"/>
        <v>594.71807000854017</v>
      </c>
      <c r="FI91" s="62">
        <f t="shared" si="77"/>
        <v>888.05140334187354</v>
      </c>
      <c r="FJ91" s="62">
        <f ca="1">AVERAGE(OFFSET($FI$3,0,0,'Données projet'!$E$16+1,1))-AVERAGE(OFFSET($H$3,0,0,'Données projet'!$E$16+1,1))</f>
        <v>455.50822833641354</v>
      </c>
      <c r="FK91" s="62">
        <f t="shared" si="102"/>
        <v>261.14722581688039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2.2737367544323206E-13</v>
      </c>
      <c r="O92" s="14">
        <f>N92*VLOOKUP('Données projet'!$B$9,Paramètres!$A$1:$I$89,3,0)*VLOOKUP('Données projet'!$B$9,Paramètres!$A$1:$I$89,5,0)</f>
        <v>1.2710188457276673E-13</v>
      </c>
      <c r="P92" s="14">
        <f t="shared" si="87"/>
        <v>1.856866851063998E-12</v>
      </c>
      <c r="Q92" s="22">
        <f t="shared" si="54"/>
        <v>3.4554122145673649E-12</v>
      </c>
      <c r="R92" s="62">
        <f t="shared" si="55"/>
        <v>293.33333333333678</v>
      </c>
      <c r="S92" s="62">
        <f ca="1">AVERAGE(OFFSET($R$3,0,0,'Données projet'!$E$9+1,1))-AVERAGE(OFFSET($H$3,0,0,'Données projet'!$E$9+1,1))</f>
        <v>323.98185264074681</v>
      </c>
      <c r="T92" s="62">
        <f t="shared" si="88"/>
        <v>301.22207291854005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1.3871079037149823</v>
      </c>
      <c r="AA92" s="23">
        <f>EXP(-LN(2)/25)*AA91+(1-EXP(-LN(2)/25))/(LN(2)/25)*Calculateur!V92*Calculateur!X92*VLOOKUP('Données projet'!$B$9,Paramètres!$A$1:$I$89,3,0)*0.475*44/12</f>
        <v>1.6065009395444123</v>
      </c>
      <c r="AB92" s="23">
        <f>EXP(-LN(2)/2)*AB91+(1-EXP(-LN(2)/2))/(LN(2)/2)*V92*Y92*VLOOKUP('Données projet'!$B$9,Paramètres!$A$1:$I$89,3,0)*0.475*44/12</f>
        <v>8.0181839675904301E-9</v>
      </c>
      <c r="AC92" s="24">
        <f t="shared" si="57"/>
        <v>2.9936088512775787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11.373076923076923</v>
      </c>
      <c r="AI92" s="14">
        <f>IF('Données projet'!$A$62&gt;35,AI91+AH92-AQ91,IF(A92&lt;'Données projet'!$A$62,$AF$205^A92,IF(A92='Données projet'!$A$62,'Données projet'!$B$62,AI91+AH92-AQ91)))</f>
        <v>438.81538461538469</v>
      </c>
      <c r="AJ92" s="14">
        <f>AI92*VLOOKUP('Données projet'!$B$10,Paramètres!$A$1:$I$89,3,0)*VLOOKUP('Données projet'!$B$10,Paramètres!$A$1:$I$89,5,0)</f>
        <v>205.36560000000003</v>
      </c>
      <c r="AK92" s="14">
        <f t="shared" si="89"/>
        <v>50.921541144711661</v>
      </c>
      <c r="AL92" s="22">
        <f t="shared" si="58"/>
        <v>446.36677082703955</v>
      </c>
      <c r="AM92" s="62">
        <f t="shared" si="59"/>
        <v>739.7001041603728</v>
      </c>
      <c r="AN92" s="62">
        <f ca="1">AVERAGE(OFFSET($AM$3,0,0,'Données projet'!$E$10+1,1))-AVERAGE(OFFSET($H$3,0,0,'Données projet'!$E$10+1,1))</f>
        <v>276.78862011733338</v>
      </c>
      <c r="AO92" s="62">
        <f t="shared" si="90"/>
        <v>202.1678469635836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262.75392000000005</v>
      </c>
      <c r="BF92" s="14">
        <f t="shared" si="91"/>
        <v>63.309041956360382</v>
      </c>
      <c r="BG92" s="22">
        <f t="shared" si="61"/>
        <v>567.89299207399438</v>
      </c>
      <c r="BH92" s="62">
        <f t="shared" si="62"/>
        <v>861.22632540732775</v>
      </c>
      <c r="BI92" s="62">
        <f ca="1">AVERAGE(OFFSET($BH$3,0,0,'Données projet'!$E$11+1,1))-AVERAGE(OFFSET($H$3,0,0,'Données projet'!$E$11+1,1))</f>
        <v>428.8489304403459</v>
      </c>
      <c r="BJ92" s="62">
        <f t="shared" si="92"/>
        <v>247.01165577562966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-2.8421709430404007E-13</v>
      </c>
      <c r="BZ92" s="14">
        <f>BY92*VLOOKUP('Données projet'!$B$12,Paramètres!$A$1:$I$89,3,0)*VLOOKUP('Données projet'!$B$12,Paramètres!$A$1:$I$89,5,0)</f>
        <v>-1.69961822393816E-13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289.12367833861299</v>
      </c>
      <c r="CE92" s="62">
        <f t="shared" si="94"/>
        <v>229.06617320689003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5.4617509322875017E-9</v>
      </c>
      <c r="CN92" s="24">
        <f t="shared" si="66"/>
        <v>5.4617509322875017E-9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-4.5224624045658861E-14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370.59298168107364</v>
      </c>
      <c r="CZ92" s="62">
        <f t="shared" si="96"/>
        <v>404.61777090709171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</v>
      </c>
      <c r="DO92" s="13">
        <f>IF('Données projet'!$A$166&gt;35,DO91+DN92-DW91,IF(A92&lt;'Données projet'!$A$166,$DL$205^A92,IF(A92='Données projet'!$A$166,'Données projet'!$B$166,DO91+DN92-DW91)))</f>
        <v>241.99999999999989</v>
      </c>
      <c r="DP92" s="18">
        <f>DO92*VLOOKUP('Données projet'!$B$14,Paramètres!$A$1:$I$89,3,0)*VLOOKUP('Données projet'!$B$14,Paramètres!$A$1:$I$89,5,0)</f>
        <v>211.41119999999992</v>
      </c>
      <c r="DQ92" s="14">
        <f t="shared" si="97"/>
        <v>52.243848094411156</v>
      </c>
      <c r="DR92" s="22">
        <f t="shared" si="70"/>
        <v>459.19920876443263</v>
      </c>
      <c r="DS92" s="62">
        <f t="shared" si="71"/>
        <v>752.53254209776594</v>
      </c>
      <c r="DT92" s="62">
        <f ca="1">AVERAGE(OFFSET($DS$3,0,0,'Données projet'!$E$14+1,1))-AVERAGE(OFFSET($H$3,0,0,'Données projet'!$E$14+1,1))</f>
        <v>341.65872153228599</v>
      </c>
      <c r="DU92" s="62">
        <f t="shared" si="98"/>
        <v>339.49697153894937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3.8461538461538454</v>
      </c>
      <c r="EJ92" s="13">
        <f>IF('Données projet'!$A$192&gt;35,EJ91+EI92-ER91,IF(A92&lt;'Données projet'!$A$192,$EG$205^A92,IF(A92='Données projet'!$A$192,'Données projet'!$B$192,EJ91+EI92-ER91)))</f>
        <v>291.66666666666674</v>
      </c>
      <c r="EK92" s="18">
        <f>EJ92*VLOOKUP('Données projet'!$B$15,Paramètres!$A$1:$I$89,3,0)*VLOOKUP('Données projet'!$B$15,Paramètres!$A$1:$I$89,5,0)</f>
        <v>195.65000000000006</v>
      </c>
      <c r="EL92" s="14">
        <f t="shared" si="99"/>
        <v>48.786949327182981</v>
      </c>
      <c r="EM92" s="22">
        <f t="shared" si="73"/>
        <v>425.72768674484382</v>
      </c>
      <c r="EN92" s="62">
        <f t="shared" si="74"/>
        <v>719.06102007817708</v>
      </c>
      <c r="EO92" s="62">
        <f ca="1">AVERAGE(OFFSET($EN$3,0,0,'Données projet'!$E$15+1,1))-AVERAGE(OFFSET($H$3,0,0,'Données projet'!$E$15+1,1))</f>
        <v>312.06797204903796</v>
      </c>
      <c r="EP92" s="62">
        <f t="shared" si="100"/>
        <v>258.20189001775151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5.6</v>
      </c>
      <c r="FE92" s="13">
        <f>IF('Données projet'!$A$218&gt;35,FE91+FD92-FM91,IF(A92&lt;'Données projet'!$A$218,$FB$205^A92,IF(A92='Données projet'!$A$218,'Données projet'!$B$218,FE91+FD92-FM91)))</f>
        <v>290.40000000000003</v>
      </c>
      <c r="FF92" s="18">
        <f>FE92*VLOOKUP('Données projet'!$B$16,Paramètres!$A$1:$I$89,3,0)*VLOOKUP('Données projet'!$B$16,Paramètres!$A$1:$I$89,5,0)</f>
        <v>280.87488000000008</v>
      </c>
      <c r="FG92" s="14">
        <f t="shared" si="101"/>
        <v>67.151862592195855</v>
      </c>
      <c r="FH92" s="22">
        <f t="shared" si="76"/>
        <v>606.14657668140785</v>
      </c>
      <c r="FI92" s="62">
        <f t="shared" si="77"/>
        <v>899.47991001474111</v>
      </c>
      <c r="FJ92" s="62">
        <f ca="1">AVERAGE(OFFSET($FI$3,0,0,'Données projet'!$E$16+1,1))-AVERAGE(OFFSET($H$3,0,0,'Données projet'!$E$16+1,1))</f>
        <v>455.50822833641354</v>
      </c>
      <c r="FK92" s="62">
        <f t="shared" si="102"/>
        <v>261.14722581688039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2.2737367544323206E-13</v>
      </c>
      <c r="O93" s="14">
        <f>N93*VLOOKUP('Données projet'!$B$9,Paramètres!$A$1:$I$89,3,0)*VLOOKUP('Données projet'!$B$9,Paramètres!$A$1:$I$89,5,0)</f>
        <v>1.2710188457276673E-13</v>
      </c>
      <c r="P93" s="14">
        <f t="shared" si="87"/>
        <v>1.856866851063998E-12</v>
      </c>
      <c r="Q93" s="22">
        <f t="shared" si="54"/>
        <v>3.4554122145673649E-12</v>
      </c>
      <c r="R93" s="62">
        <f t="shared" si="55"/>
        <v>293.33333333333678</v>
      </c>
      <c r="S93" s="62">
        <f ca="1">AVERAGE(OFFSET($R$3,0,0,'Données projet'!$E$9+1,1))-AVERAGE(OFFSET($H$3,0,0,'Données projet'!$E$9+1,1))</f>
        <v>323.98185264074681</v>
      </c>
      <c r="T93" s="62">
        <f t="shared" si="88"/>
        <v>301.22207291854005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1.3599075637754121</v>
      </c>
      <c r="AA93" s="23">
        <f>EXP(-LN(2)/25)*AA92+(1-EXP(-LN(2)/25))/(LN(2)/25)*Calculateur!V93*Calculateur!X93*VLOOKUP('Données projet'!$B$9,Paramètres!$A$1:$I$89,3,0)*0.475*44/12</f>
        <v>1.5625710868703577</v>
      </c>
      <c r="AB93" s="23">
        <f>EXP(-LN(2)/2)*AB92+(1-EXP(-LN(2)/2))/(LN(2)/2)*V93*Y93*VLOOKUP('Données projet'!$B$9,Paramètres!$A$1:$I$89,3,0)*0.475*44/12</f>
        <v>5.6697122562844499E-9</v>
      </c>
      <c r="AC93" s="24">
        <f t="shared" si="57"/>
        <v>2.9224786563154823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11.373076923076923</v>
      </c>
      <c r="AI93" s="14">
        <f>IF('Données projet'!$A$62&gt;35,AI92+AH93-AQ92,IF(A93&lt;'Données projet'!$A$62,$AF$205^A93,IF(A93='Données projet'!$A$62,'Données projet'!$B$62,AI92+AH93-AQ92)))</f>
        <v>450.18846153846164</v>
      </c>
      <c r="AJ93" s="14">
        <f>AI93*VLOOKUP('Données projet'!$B$10,Paramètres!$A$1:$I$89,3,0)*VLOOKUP('Données projet'!$B$10,Paramètres!$A$1:$I$89,5,0)</f>
        <v>210.68820000000002</v>
      </c>
      <c r="AK93" s="14">
        <f t="shared" si="89"/>
        <v>52.08594606442697</v>
      </c>
      <c r="AL93" s="22">
        <f t="shared" si="58"/>
        <v>457.66497106221027</v>
      </c>
      <c r="AM93" s="62">
        <f t="shared" si="59"/>
        <v>750.99830439554353</v>
      </c>
      <c r="AN93" s="62">
        <f ca="1">AVERAGE(OFFSET($AM$3,0,0,'Données projet'!$E$10+1,1))-AVERAGE(OFFSET($H$3,0,0,'Données projet'!$E$10+1,1))</f>
        <v>276.78862011733338</v>
      </c>
      <c r="AO93" s="62">
        <f t="shared" si="90"/>
        <v>202.1678469635836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267.82080000000008</v>
      </c>
      <c r="BF93" s="14">
        <f t="shared" si="91"/>
        <v>64.386570147897373</v>
      </c>
      <c r="BG93" s="22">
        <f t="shared" si="61"/>
        <v>578.59450300758806</v>
      </c>
      <c r="BH93" s="62">
        <f t="shared" si="62"/>
        <v>871.92783634092143</v>
      </c>
      <c r="BI93" s="62">
        <f ca="1">AVERAGE(OFFSET($BH$3,0,0,'Données projet'!$E$11+1,1))-AVERAGE(OFFSET($H$3,0,0,'Données projet'!$E$11+1,1))</f>
        <v>428.8489304403459</v>
      </c>
      <c r="BJ93" s="62">
        <f t="shared" si="92"/>
        <v>247.01165577562966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-2.8421709430404007E-13</v>
      </c>
      <c r="BZ93" s="14">
        <f>BY93*VLOOKUP('Données projet'!$B$12,Paramètres!$A$1:$I$89,3,0)*VLOOKUP('Données projet'!$B$12,Paramètres!$A$1:$I$89,5,0)</f>
        <v>-1.69961822393816E-13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289.12367833861299</v>
      </c>
      <c r="CE93" s="62">
        <f t="shared" si="94"/>
        <v>229.06617320689003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3.8620411213724403E-9</v>
      </c>
      <c r="CN93" s="24">
        <f t="shared" si="66"/>
        <v>3.8620411213724403E-9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-4.5224624045658861E-14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370.59298168107364</v>
      </c>
      <c r="CZ93" s="62">
        <f t="shared" si="96"/>
        <v>404.61777090709171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245</v>
      </c>
      <c r="DM93" s="13">
        <f>VLOOKUP(A93,'Données projet'!$A$165:$I$185,9,0)</f>
        <v>3</v>
      </c>
      <c r="DN93" s="13">
        <f t="array" ref="DN93">INDEX(DM:DM,MIN(IF(ISNUMBER(DM93:DM289),ROW(DM93:DM289),"")))</f>
        <v>3</v>
      </c>
      <c r="DO93" s="13">
        <f>IF('Données projet'!$A$166&gt;35,DO92+DN93-DW92,IF(A93&lt;'Données projet'!$A$166,$DL$205^A93,IF(A93='Données projet'!$A$166,'Données projet'!$B$166,DO92+DN93-DW92)))</f>
        <v>244.99999999999989</v>
      </c>
      <c r="DP93" s="18">
        <f>DO93*VLOOKUP('Données projet'!$B$14,Paramètres!$A$1:$I$89,3,0)*VLOOKUP('Données projet'!$B$14,Paramètres!$A$1:$I$89,5,0)</f>
        <v>214.03199999999995</v>
      </c>
      <c r="DQ93" s="14">
        <f t="shared" si="97"/>
        <v>52.815701536972242</v>
      </c>
      <c r="DR93" s="22">
        <f t="shared" si="70"/>
        <v>464.75974684355987</v>
      </c>
      <c r="DS93" s="62">
        <f t="shared" si="71"/>
        <v>758.09308017689318</v>
      </c>
      <c r="DT93" s="62">
        <f ca="1">AVERAGE(OFFSET($DS$3,0,0,'Données projet'!$E$14+1,1))-AVERAGE(OFFSET($H$3,0,0,'Données projet'!$E$14+1,1))</f>
        <v>341.65872153228599</v>
      </c>
      <c r="DU93" s="62">
        <f t="shared" si="98"/>
        <v>339.49697153894937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23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295.5128205128205</v>
      </c>
      <c r="EH93" s="13">
        <f>VLOOKUP(A93,'Données projet'!$A$191:$I$211,9,0)</f>
        <v>3.8461538461538454</v>
      </c>
      <c r="EI93" s="13">
        <f t="array" ref="EI93">INDEX(EH:EH,MIN(IF(ISNUMBER(EH93:EH289),ROW(EH93:EH289),"")))</f>
        <v>3.8461538461538454</v>
      </c>
      <c r="EJ93" s="13">
        <f>IF('Données projet'!$A$192&gt;35,EJ92+EI93-ER92,IF(A93&lt;'Données projet'!$A$192,$EG$205^A93,IF(A93='Données projet'!$A$192,'Données projet'!$B$192,EJ92+EI93-ER92)))</f>
        <v>295.51282051282061</v>
      </c>
      <c r="EK93" s="18">
        <f>EJ93*VLOOKUP('Données projet'!$B$15,Paramètres!$A$1:$I$89,3,0)*VLOOKUP('Données projet'!$B$15,Paramètres!$A$1:$I$89,5,0)</f>
        <v>198.23000000000008</v>
      </c>
      <c r="EL93" s="14">
        <f t="shared" si="99"/>
        <v>49.354974276661508</v>
      </c>
      <c r="EM93" s="22">
        <f t="shared" si="73"/>
        <v>431.21049686518558</v>
      </c>
      <c r="EN93" s="62">
        <f t="shared" si="74"/>
        <v>724.54383019851889</v>
      </c>
      <c r="EO93" s="62">
        <f ca="1">AVERAGE(OFFSET($EN$3,0,0,'Données projet'!$E$15+1,1))-AVERAGE(OFFSET($H$3,0,0,'Données projet'!$E$15+1,1))</f>
        <v>312.06797204903796</v>
      </c>
      <c r="EP93" s="62">
        <f t="shared" si="100"/>
        <v>258.20189001775151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24.358974358974358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296</v>
      </c>
      <c r="FC93" s="13">
        <f>VLOOKUP(A93,'Données projet'!$A$217:$I$237,9,0)</f>
        <v>5.6</v>
      </c>
      <c r="FD93" s="13">
        <f t="array" ref="FD93">INDEX(FC:FC,MIN(IF(ISNUMBER(FC93:FC289),ROW(FC93:FC289),"")))</f>
        <v>5.6</v>
      </c>
      <c r="FE93" s="13">
        <f>IF('Données projet'!$A$218&gt;35,FE92+FD93-FM92,IF(A93&lt;'Données projet'!$A$218,$FB$205^A93,IF(A93='Données projet'!$A$218,'Données projet'!$B$218,FE92+FD93-FM92)))</f>
        <v>296.00000000000006</v>
      </c>
      <c r="FF93" s="18">
        <f>FE93*VLOOKUP('Données projet'!$B$16,Paramètres!$A$1:$I$89,3,0)*VLOOKUP('Données projet'!$B$16,Paramètres!$A$1:$I$89,5,0)</f>
        <v>286.29120000000006</v>
      </c>
      <c r="FG93" s="14">
        <f t="shared" si="101"/>
        <v>68.294796094604408</v>
      </c>
      <c r="FH93" s="22">
        <f t="shared" si="76"/>
        <v>617.57060986476938</v>
      </c>
      <c r="FI93" s="62">
        <f t="shared" si="77"/>
        <v>910.90394319810275</v>
      </c>
      <c r="FJ93" s="62">
        <f ca="1">AVERAGE(OFFSET($FI$3,0,0,'Données projet'!$E$16+1,1))-AVERAGE(OFFSET($H$3,0,0,'Données projet'!$E$16+1,1))</f>
        <v>455.50822833641354</v>
      </c>
      <c r="FK93" s="62">
        <f t="shared" si="102"/>
        <v>261.14722581688039</v>
      </c>
      <c r="FL93" s="16">
        <f>IF(ISNA(VLOOKUP(A93,'Données projet'!$A$217:$I$237,3,0)),0,VLOOKUP(A93,'Données projet'!$A$217:$I$237,3,0))</f>
        <v>7</v>
      </c>
      <c r="FM93" s="16">
        <f>IF(ISNA(VLOOKUP(A93,'Données projet'!$A$217:$I$237,4,0)),0,VLOOKUP(A93,'Données projet'!$A$217:$I$237,4,0))</f>
        <v>42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2.2737367544323206E-13</v>
      </c>
      <c r="O94" s="14">
        <f>N94*VLOOKUP('Données projet'!$B$9,Paramètres!$A$1:$I$89,3,0)*VLOOKUP('Données projet'!$B$9,Paramètres!$A$1:$I$89,5,0)</f>
        <v>1.2710188457276673E-13</v>
      </c>
      <c r="P94" s="14">
        <f t="shared" si="87"/>
        <v>1.856866851063998E-12</v>
      </c>
      <c r="Q94" s="22">
        <f t="shared" si="54"/>
        <v>3.4554122145673649E-12</v>
      </c>
      <c r="R94" s="62">
        <f t="shared" si="55"/>
        <v>293.33333333333678</v>
      </c>
      <c r="S94" s="62">
        <f ca="1">AVERAGE(OFFSET($R$3,0,0,'Données projet'!$E$9+1,1))-AVERAGE(OFFSET($H$3,0,0,'Données projet'!$E$9+1,1))</f>
        <v>323.98185264074681</v>
      </c>
      <c r="T94" s="62">
        <f t="shared" si="88"/>
        <v>301.22207291854005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1.3332406059114876</v>
      </c>
      <c r="AA94" s="23">
        <f>EXP(-LN(2)/25)*AA93+(1-EXP(-LN(2)/25))/(LN(2)/25)*Calculateur!V94*Calculateur!X94*VLOOKUP('Données projet'!$B$9,Paramètres!$A$1:$I$89,3,0)*0.475*44/12</f>
        <v>1.5198424983278456</v>
      </c>
      <c r="AB94" s="23">
        <f>EXP(-LN(2)/2)*AB93+(1-EXP(-LN(2)/2))/(LN(2)/2)*V94*Y94*VLOOKUP('Données projet'!$B$9,Paramètres!$A$1:$I$89,3,0)*0.475*44/12</f>
        <v>4.0090919837952151E-9</v>
      </c>
      <c r="AC94" s="24">
        <f t="shared" si="57"/>
        <v>2.8530831082484256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>
        <f>VLOOKUP(A94,'Données projet'!$A$61:$I$81,2,0)</f>
        <v>461.56153846153842</v>
      </c>
      <c r="AG94" s="13">
        <f>VLOOKUP(A94,'Données projet'!$A$61:$I$81,9,0)</f>
        <v>11.373076923076923</v>
      </c>
      <c r="AH94" s="13">
        <f t="array" ref="AH94">INDEX(AG:AG,MIN(IF(ISNUMBER(AG94:AG290),ROW(AG94:AG290),"")))</f>
        <v>11.373076923076923</v>
      </c>
      <c r="AI94" s="14">
        <f>IF('Données projet'!$A$62&gt;35,AI93+AH94-AQ93,IF(A94&lt;'Données projet'!$A$62,$AF$205^A94,IF(A94='Données projet'!$A$62,'Données projet'!$B$62,AI93+AH94-AQ93)))</f>
        <v>461.56153846153859</v>
      </c>
      <c r="AJ94" s="14">
        <f>AI94*VLOOKUP('Données projet'!$B$10,Paramètres!$A$1:$I$89,3,0)*VLOOKUP('Données projet'!$B$10,Paramètres!$A$1:$I$89,5,0)</f>
        <v>216.01080000000007</v>
      </c>
      <c r="AK94" s="14">
        <f t="shared" si="89"/>
        <v>53.246931575036982</v>
      </c>
      <c r="AL94" s="22">
        <f t="shared" si="58"/>
        <v>468.95721582652283</v>
      </c>
      <c r="AM94" s="62">
        <f t="shared" si="59"/>
        <v>762.29054915985614</v>
      </c>
      <c r="AN94" s="62">
        <f ca="1">AVERAGE(OFFSET($AM$3,0,0,'Données projet'!$E$10+1,1))-AVERAGE(OFFSET($H$3,0,0,'Données projet'!$E$10+1,1))</f>
        <v>276.78862011733338</v>
      </c>
      <c r="AO94" s="62">
        <f t="shared" si="90"/>
        <v>202.1678469635836</v>
      </c>
      <c r="AP94" s="16">
        <f>IF(ISNA(VLOOKUP(A94,'Données projet'!$A$61:$I$81,3,0)),0,VLOOKUP(A94,'Données projet'!$A$61:$I$81,3,0))</f>
        <v>7</v>
      </c>
      <c r="AQ94" s="16">
        <f>IF(ISNA(VLOOKUP(A94,'Données projet'!$A$61:$I$81,4,0)),0,VLOOKUP(A94,'Données projet'!$A$61:$I$81,4,0))</f>
        <v>229.73846153846154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234.25272000000001</v>
      </c>
      <c r="BF94" s="14">
        <f t="shared" si="91"/>
        <v>57.201236231171301</v>
      </c>
      <c r="BG94" s="22">
        <f t="shared" si="61"/>
        <v>507.61564043595672</v>
      </c>
      <c r="BH94" s="62">
        <f t="shared" si="62"/>
        <v>800.94897376928998</v>
      </c>
      <c r="BI94" s="62">
        <f ca="1">AVERAGE(OFFSET($BH$3,0,0,'Données projet'!$E$11+1,1))-AVERAGE(OFFSET($H$3,0,0,'Données projet'!$E$11+1,1))</f>
        <v>428.8489304403459</v>
      </c>
      <c r="BJ94" s="62">
        <f t="shared" si="92"/>
        <v>247.01165577562966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-2.8421709430404007E-13</v>
      </c>
      <c r="BZ94" s="14">
        <f>BY94*VLOOKUP('Données projet'!$B$12,Paramètres!$A$1:$I$89,3,0)*VLOOKUP('Données projet'!$B$12,Paramètres!$A$1:$I$89,5,0)</f>
        <v>-1.69961822393816E-13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289.12367833861299</v>
      </c>
      <c r="CE94" s="62">
        <f t="shared" si="94"/>
        <v>229.06617320689003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2.7308754661437508E-9</v>
      </c>
      <c r="CN94" s="24">
        <f t="shared" si="66"/>
        <v>2.7308754661437508E-9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-4.5224624045658861E-14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370.59298168107364</v>
      </c>
      <c r="CZ94" s="62">
        <f t="shared" si="96"/>
        <v>404.61777090709171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2.8</v>
      </c>
      <c r="DO94" s="13">
        <f>IF('Données projet'!$A$166&gt;35,DO93+DN94-DW93,IF(A94&lt;'Données projet'!$A$166,$DL$205^A94,IF(A94='Données projet'!$A$166,'Données projet'!$B$166,DO93+DN94-DW93)))</f>
        <v>224.7999999999999</v>
      </c>
      <c r="DP94" s="18">
        <f>DO94*VLOOKUP('Données projet'!$B$14,Paramètres!$A$1:$I$89,3,0)*VLOOKUP('Données projet'!$B$14,Paramètres!$A$1:$I$89,5,0)</f>
        <v>196.38527999999994</v>
      </c>
      <c r="DQ94" s="14">
        <f t="shared" si="97"/>
        <v>48.948920378863825</v>
      </c>
      <c r="DR94" s="22">
        <f t="shared" si="70"/>
        <v>427.29039899318769</v>
      </c>
      <c r="DS94" s="62">
        <f t="shared" si="71"/>
        <v>720.62373232652101</v>
      </c>
      <c r="DT94" s="62">
        <f ca="1">AVERAGE(OFFSET($DS$3,0,0,'Données projet'!$E$14+1,1))-AVERAGE(OFFSET($H$3,0,0,'Données projet'!$E$14+1,1))</f>
        <v>341.65872153228599</v>
      </c>
      <c r="DU94" s="62">
        <f t="shared" si="98"/>
        <v>339.49697153894937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3.7179487179487181</v>
      </c>
      <c r="EJ94" s="13">
        <f>IF('Données projet'!$A$192&gt;35,EJ93+EI94-ER93,IF(A94&lt;'Données projet'!$A$192,$EG$205^A94,IF(A94='Données projet'!$A$192,'Données projet'!$B$192,EJ93+EI94-ER93)))</f>
        <v>274.87179487179498</v>
      </c>
      <c r="EK94" s="18">
        <f>EJ94*VLOOKUP('Données projet'!$B$15,Paramètres!$A$1:$I$89,3,0)*VLOOKUP('Données projet'!$B$15,Paramètres!$A$1:$I$89,5,0)</f>
        <v>184.38400000000007</v>
      </c>
      <c r="EL94" s="14">
        <f t="shared" si="99"/>
        <v>46.296175202781576</v>
      </c>
      <c r="EM94" s="22">
        <f t="shared" si="73"/>
        <v>401.76797181151136</v>
      </c>
      <c r="EN94" s="62">
        <f t="shared" si="74"/>
        <v>695.10130514484467</v>
      </c>
      <c r="EO94" s="62">
        <f ca="1">AVERAGE(OFFSET($EN$3,0,0,'Données projet'!$E$15+1,1))-AVERAGE(OFFSET($H$3,0,0,'Données projet'!$E$15+1,1))</f>
        <v>312.06797204903796</v>
      </c>
      <c r="EP94" s="62">
        <f t="shared" si="100"/>
        <v>258.20189001775151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4.9000000000000004</v>
      </c>
      <c r="FE94" s="13">
        <f>IF('Données projet'!$A$218&gt;35,FE93+FD94-FM93,IF(A94&lt;'Données projet'!$A$218,$FB$205^A94,IF(A94='Données projet'!$A$218,'Données projet'!$B$218,FE93+FD94-FM93)))</f>
        <v>258.90000000000003</v>
      </c>
      <c r="FF94" s="18">
        <f>FE94*VLOOKUP('Données projet'!$B$16,Paramètres!$A$1:$I$89,3,0)*VLOOKUP('Données projet'!$B$16,Paramètres!$A$1:$I$89,5,0)</f>
        <v>250.40808000000004</v>
      </c>
      <c r="FG94" s="14">
        <f t="shared" si="101"/>
        <v>60.67331674592576</v>
      </c>
      <c r="FH94" s="22">
        <f t="shared" si="76"/>
        <v>541.80009933248743</v>
      </c>
      <c r="FI94" s="62">
        <f t="shared" si="77"/>
        <v>835.13343266582069</v>
      </c>
      <c r="FJ94" s="62">
        <f ca="1">AVERAGE(OFFSET($FI$3,0,0,'Données projet'!$E$16+1,1))-AVERAGE(OFFSET($H$3,0,0,'Données projet'!$E$16+1,1))</f>
        <v>455.50822833641354</v>
      </c>
      <c r="FK94" s="62">
        <f t="shared" si="102"/>
        <v>261.14722581688039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2.2737367544323206E-13</v>
      </c>
      <c r="O95" s="14">
        <f>N95*VLOOKUP('Données projet'!$B$9,Paramètres!$A$1:$I$89,3,0)*VLOOKUP('Données projet'!$B$9,Paramètres!$A$1:$I$89,5,0)</f>
        <v>1.2710188457276673E-13</v>
      </c>
      <c r="P95" s="14">
        <f t="shared" si="87"/>
        <v>1.856866851063998E-12</v>
      </c>
      <c r="Q95" s="22">
        <f t="shared" si="54"/>
        <v>3.4554122145673649E-12</v>
      </c>
      <c r="R95" s="62">
        <f t="shared" si="55"/>
        <v>293.33333333333678</v>
      </c>
      <c r="S95" s="62">
        <f ca="1">AVERAGE(OFFSET($R$3,0,0,'Données projet'!$E$9+1,1))-AVERAGE(OFFSET($H$3,0,0,'Données projet'!$E$9+1,1))</f>
        <v>323.98185264074681</v>
      </c>
      <c r="T95" s="62">
        <f t="shared" si="88"/>
        <v>301.22207291854005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1.3070965708260365</v>
      </c>
      <c r="AA95" s="23">
        <f>EXP(-LN(2)/25)*AA94+(1-EXP(-LN(2)/25))/(LN(2)/25)*Calculateur!V95*Calculateur!X95*VLOOKUP('Données projet'!$B$9,Paramètres!$A$1:$I$89,3,0)*0.475*44/12</f>
        <v>1.4782823252860273</v>
      </c>
      <c r="AB95" s="23">
        <f>EXP(-LN(2)/2)*AB94+(1-EXP(-LN(2)/2))/(LN(2)/2)*V95*Y95*VLOOKUP('Données projet'!$B$9,Paramètres!$A$1:$I$89,3,0)*0.475*44/12</f>
        <v>2.8348561281422249E-9</v>
      </c>
      <c r="AC95" s="24">
        <f t="shared" si="57"/>
        <v>2.7853788989469201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7.6369230769230851</v>
      </c>
      <c r="AI95" s="14">
        <f>IF('Données projet'!$A$62&gt;35,AI94+AH95-AQ94,IF(A95&lt;'Données projet'!$A$62,$AF$205^A95,IF(A95='Données projet'!$A$62,'Données projet'!$B$62,AI94+AH95-AQ94)))</f>
        <v>239.46000000000015</v>
      </c>
      <c r="AJ95" s="14">
        <f>AI95*VLOOKUP('Données projet'!$B$10,Paramètres!$A$1:$I$89,3,0)*VLOOKUP('Données projet'!$B$10,Paramètres!$A$1:$I$89,5,0)</f>
        <v>112.06728000000007</v>
      </c>
      <c r="AK95" s="14">
        <f t="shared" si="89"/>
        <v>29.817522809961581</v>
      </c>
      <c r="AL95" s="22">
        <f t="shared" si="58"/>
        <v>247.11603156068318</v>
      </c>
      <c r="AM95" s="62">
        <f t="shared" si="59"/>
        <v>540.44936489401653</v>
      </c>
      <c r="AN95" s="62">
        <f ca="1">AVERAGE(OFFSET($AM$3,0,0,'Données projet'!$E$10+1,1))-AVERAGE(OFFSET($H$3,0,0,'Données projet'!$E$10+1,1))</f>
        <v>276.78862011733338</v>
      </c>
      <c r="AO95" s="62">
        <f t="shared" si="90"/>
        <v>202.1678469635836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238.68624</v>
      </c>
      <c r="BF95" s="14">
        <f t="shared" si="91"/>
        <v>58.156778382060871</v>
      </c>
      <c r="BG95" s="22">
        <f t="shared" si="61"/>
        <v>517.00159034875594</v>
      </c>
      <c r="BH95" s="62">
        <f t="shared" si="62"/>
        <v>810.33492368208931</v>
      </c>
      <c r="BI95" s="62">
        <f ca="1">AVERAGE(OFFSET($BH$3,0,0,'Données projet'!$E$11+1,1))-AVERAGE(OFFSET($H$3,0,0,'Données projet'!$E$11+1,1))</f>
        <v>428.8489304403459</v>
      </c>
      <c r="BJ95" s="62">
        <f t="shared" si="92"/>
        <v>247.01165577562966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-2.8421709430404007E-13</v>
      </c>
      <c r="BZ95" s="14">
        <f>BY95*VLOOKUP('Données projet'!$B$12,Paramètres!$A$1:$I$89,3,0)*VLOOKUP('Données projet'!$B$12,Paramètres!$A$1:$I$89,5,0)</f>
        <v>-1.69961822393816E-13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289.12367833861299</v>
      </c>
      <c r="CE95" s="62">
        <f t="shared" si="94"/>
        <v>229.06617320689003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1.9310205606862202E-9</v>
      </c>
      <c r="CN95" s="24">
        <f t="shared" si="66"/>
        <v>1.9310205606862202E-9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-4.5224624045658861E-14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370.59298168107364</v>
      </c>
      <c r="CZ95" s="62">
        <f t="shared" si="96"/>
        <v>404.61777090709171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2.8</v>
      </c>
      <c r="DO95" s="13">
        <f>IF('Données projet'!$A$166&gt;35,DO94+DN95-DW94,IF(A95&lt;'Données projet'!$A$166,$DL$205^A95,IF(A95='Données projet'!$A$166,'Données projet'!$B$166,DO94+DN95-DW94)))</f>
        <v>227.59999999999991</v>
      </c>
      <c r="DP95" s="18">
        <f>DO95*VLOOKUP('Données projet'!$B$14,Paramètres!$A$1:$I$89,3,0)*VLOOKUP('Données projet'!$B$14,Paramètres!$A$1:$I$89,5,0)</f>
        <v>198.83135999999993</v>
      </c>
      <c r="DQ95" s="14">
        <f t="shared" si="97"/>
        <v>49.487248492242287</v>
      </c>
      <c r="DR95" s="22">
        <f t="shared" si="70"/>
        <v>432.48824312398847</v>
      </c>
      <c r="DS95" s="62">
        <f t="shared" si="71"/>
        <v>725.82157645732173</v>
      </c>
      <c r="DT95" s="62">
        <f ca="1">AVERAGE(OFFSET($DS$3,0,0,'Données projet'!$E$14+1,1))-AVERAGE(OFFSET($H$3,0,0,'Données projet'!$E$14+1,1))</f>
        <v>341.65872153228599</v>
      </c>
      <c r="DU95" s="62">
        <f t="shared" si="98"/>
        <v>339.49697153894937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3.7179487179487181</v>
      </c>
      <c r="EJ95" s="13">
        <f>IF('Données projet'!$A$192&gt;35,EJ94+EI95-ER94,IF(A95&lt;'Données projet'!$A$192,$EG$205^A95,IF(A95='Données projet'!$A$192,'Données projet'!$B$192,EJ94+EI95-ER94)))</f>
        <v>278.5897435897437</v>
      </c>
      <c r="EK95" s="18">
        <f>EJ95*VLOOKUP('Données projet'!$B$15,Paramètres!$A$1:$I$89,3,0)*VLOOKUP('Données projet'!$B$15,Paramètres!$A$1:$I$89,5,0)</f>
        <v>186.87800000000007</v>
      </c>
      <c r="EL95" s="14">
        <f t="shared" si="99"/>
        <v>46.849058827207365</v>
      </c>
      <c r="EM95" s="22">
        <f t="shared" si="73"/>
        <v>407.07462745738621</v>
      </c>
      <c r="EN95" s="62">
        <f t="shared" si="74"/>
        <v>700.40796079071947</v>
      </c>
      <c r="EO95" s="62">
        <f ca="1">AVERAGE(OFFSET($EN$3,0,0,'Données projet'!$E$15+1,1))-AVERAGE(OFFSET($H$3,0,0,'Données projet'!$E$15+1,1))</f>
        <v>312.06797204903796</v>
      </c>
      <c r="EP95" s="62">
        <f t="shared" si="100"/>
        <v>258.20189001775151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4.9000000000000004</v>
      </c>
      <c r="FE95" s="13">
        <f>IF('Données projet'!$A$218&gt;35,FE94+FD95-FM94,IF(A95&lt;'Données projet'!$A$218,$FB$205^A95,IF(A95='Données projet'!$A$218,'Données projet'!$B$218,FE94+FD95-FM94)))</f>
        <v>263.8</v>
      </c>
      <c r="FF95" s="18">
        <f>FE95*VLOOKUP('Données projet'!$B$16,Paramètres!$A$1:$I$89,3,0)*VLOOKUP('Données projet'!$B$16,Paramètres!$A$1:$I$89,5,0)</f>
        <v>255.14736000000002</v>
      </c>
      <c r="FG95" s="14">
        <f t="shared" si="101"/>
        <v>61.686859728645651</v>
      </c>
      <c r="FH95" s="22">
        <f t="shared" si="76"/>
        <v>551.81959936072451</v>
      </c>
      <c r="FI95" s="62">
        <f t="shared" si="77"/>
        <v>845.15293269405788</v>
      </c>
      <c r="FJ95" s="62">
        <f ca="1">AVERAGE(OFFSET($FI$3,0,0,'Données projet'!$E$16+1,1))-AVERAGE(OFFSET($H$3,0,0,'Données projet'!$E$16+1,1))</f>
        <v>455.50822833641354</v>
      </c>
      <c r="FK95" s="62">
        <f t="shared" si="102"/>
        <v>261.14722581688039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2.2737367544323206E-13</v>
      </c>
      <c r="O96" s="14">
        <f>N96*VLOOKUP('Données projet'!$B$9,Paramètres!$A$1:$I$89,3,0)*VLOOKUP('Données projet'!$B$9,Paramètres!$A$1:$I$89,5,0)</f>
        <v>1.2710188457276673E-13</v>
      </c>
      <c r="P96" s="14">
        <f t="shared" si="87"/>
        <v>1.856866851063998E-12</v>
      </c>
      <c r="Q96" s="22">
        <f t="shared" si="54"/>
        <v>3.4554122145673649E-12</v>
      </c>
      <c r="R96" s="62">
        <f t="shared" si="55"/>
        <v>293.33333333333678</v>
      </c>
      <c r="S96" s="62">
        <f ca="1">AVERAGE(OFFSET($R$3,0,0,'Données projet'!$E$9+1,1))-AVERAGE(OFFSET($H$3,0,0,'Données projet'!$E$9+1,1))</f>
        <v>323.98185264074681</v>
      </c>
      <c r="T96" s="62">
        <f t="shared" si="88"/>
        <v>301.22207291854005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1.2814652043223242</v>
      </c>
      <c r="AA96" s="23">
        <f>EXP(-LN(2)/25)*AA95+(1-EXP(-LN(2)/25))/(LN(2)/25)*Calculateur!V96*Calculateur!X96*VLOOKUP('Données projet'!$B$9,Paramètres!$A$1:$I$89,3,0)*0.475*44/12</f>
        <v>1.4378586173615922</v>
      </c>
      <c r="AB96" s="23">
        <f>EXP(-LN(2)/2)*AB95+(1-EXP(-LN(2)/2))/(LN(2)/2)*V96*Y96*VLOOKUP('Données projet'!$B$9,Paramètres!$A$1:$I$89,3,0)*0.475*44/12</f>
        <v>2.0045459918976075E-9</v>
      </c>
      <c r="AC96" s="24">
        <f t="shared" si="57"/>
        <v>2.7193238236884625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7.6369230769230851</v>
      </c>
      <c r="AI96" s="14">
        <f>IF('Données projet'!$A$62&gt;35,AI95+AH96-AQ95,IF(A96&lt;'Données projet'!$A$62,$AF$205^A96,IF(A96='Données projet'!$A$62,'Données projet'!$B$62,AI95+AH96-AQ95)))</f>
        <v>247.09692307692325</v>
      </c>
      <c r="AJ96" s="14">
        <f>AI96*VLOOKUP('Données projet'!$B$10,Paramètres!$A$1:$I$89,3,0)*VLOOKUP('Données projet'!$B$10,Paramètres!$A$1:$I$89,5,0)</f>
        <v>115.64136000000008</v>
      </c>
      <c r="AK96" s="14">
        <f t="shared" si="89"/>
        <v>30.656239480730619</v>
      </c>
      <c r="AL96" s="22">
        <f t="shared" si="58"/>
        <v>254.80165242893929</v>
      </c>
      <c r="AM96" s="62">
        <f t="shared" si="59"/>
        <v>548.13498576227266</v>
      </c>
      <c r="AN96" s="62">
        <f ca="1">AVERAGE(OFFSET($AM$3,0,0,'Données projet'!$E$10+1,1))-AVERAGE(OFFSET($H$3,0,0,'Données projet'!$E$10+1,1))</f>
        <v>276.78862011733338</v>
      </c>
      <c r="AO96" s="62">
        <f t="shared" si="90"/>
        <v>202.1678469635836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243.11975999999996</v>
      </c>
      <c r="BF96" s="14">
        <f t="shared" si="91"/>
        <v>59.110256668778533</v>
      </c>
      <c r="BG96" s="22">
        <f t="shared" si="61"/>
        <v>526.3839456981226</v>
      </c>
      <c r="BH96" s="62">
        <f t="shared" si="62"/>
        <v>819.71727903145597</v>
      </c>
      <c r="BI96" s="62">
        <f ca="1">AVERAGE(OFFSET($BH$3,0,0,'Données projet'!$E$11+1,1))-AVERAGE(OFFSET($H$3,0,0,'Données projet'!$E$11+1,1))</f>
        <v>428.8489304403459</v>
      </c>
      <c r="BJ96" s="62">
        <f t="shared" si="92"/>
        <v>247.01165577562966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-2.8421709430404007E-13</v>
      </c>
      <c r="BZ96" s="14">
        <f>BY96*VLOOKUP('Données projet'!$B$12,Paramètres!$A$1:$I$89,3,0)*VLOOKUP('Données projet'!$B$12,Paramètres!$A$1:$I$89,5,0)</f>
        <v>-1.69961822393816E-13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289.12367833861299</v>
      </c>
      <c r="CE96" s="62">
        <f t="shared" si="94"/>
        <v>229.06617320689003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1.3654377330718754E-9</v>
      </c>
      <c r="CN96" s="24">
        <f t="shared" si="66"/>
        <v>1.3654377330718754E-9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-4.5224624045658861E-14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370.59298168107364</v>
      </c>
      <c r="CZ96" s="62">
        <f t="shared" si="96"/>
        <v>404.61777090709171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2.8</v>
      </c>
      <c r="DO96" s="13">
        <f>IF('Données projet'!$A$166&gt;35,DO95+DN96-DW95,IF(A96&lt;'Données projet'!$A$166,$DL$205^A96,IF(A96='Données projet'!$A$166,'Données projet'!$B$166,DO95+DN96-DW95)))</f>
        <v>230.39999999999992</v>
      </c>
      <c r="DP96" s="18">
        <f>DO96*VLOOKUP('Données projet'!$B$14,Paramètres!$A$1:$I$89,3,0)*VLOOKUP('Données projet'!$B$14,Paramètres!$A$1:$I$89,5,0)</f>
        <v>201.27743999999996</v>
      </c>
      <c r="DQ96" s="14">
        <f t="shared" si="97"/>
        <v>50.024806258462775</v>
      </c>
      <c r="DR96" s="22">
        <f t="shared" si="70"/>
        <v>437.68474556682258</v>
      </c>
      <c r="DS96" s="62">
        <f t="shared" si="71"/>
        <v>731.01807890015584</v>
      </c>
      <c r="DT96" s="62">
        <f ca="1">AVERAGE(OFFSET($DS$3,0,0,'Données projet'!$E$14+1,1))-AVERAGE(OFFSET($H$3,0,0,'Données projet'!$E$14+1,1))</f>
        <v>341.65872153228599</v>
      </c>
      <c r="DU96" s="62">
        <f t="shared" si="98"/>
        <v>339.49697153894937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3.7179487179487181</v>
      </c>
      <c r="EJ96" s="13">
        <f>IF('Données projet'!$A$192&gt;35,EJ95+EI96-ER95,IF(A96&lt;'Données projet'!$A$192,$EG$205^A96,IF(A96='Données projet'!$A$192,'Données projet'!$B$192,EJ95+EI96-ER95)))</f>
        <v>282.30769230769243</v>
      </c>
      <c r="EK96" s="18">
        <f>EJ96*VLOOKUP('Données projet'!$B$15,Paramètres!$A$1:$I$89,3,0)*VLOOKUP('Données projet'!$B$15,Paramètres!$A$1:$I$89,5,0)</f>
        <v>189.37200000000007</v>
      </c>
      <c r="EL96" s="14">
        <f t="shared" si="99"/>
        <v>47.401084226295815</v>
      </c>
      <c r="EM96" s="22">
        <f t="shared" si="73"/>
        <v>412.37978836079861</v>
      </c>
      <c r="EN96" s="62">
        <f t="shared" si="74"/>
        <v>705.71312169413193</v>
      </c>
      <c r="EO96" s="62">
        <f ca="1">AVERAGE(OFFSET($EN$3,0,0,'Données projet'!$E$15+1,1))-AVERAGE(OFFSET($H$3,0,0,'Données projet'!$E$15+1,1))</f>
        <v>312.06797204903796</v>
      </c>
      <c r="EP96" s="62">
        <f t="shared" si="100"/>
        <v>258.20189001775151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4.9000000000000004</v>
      </c>
      <c r="FE96" s="13">
        <f>IF('Données projet'!$A$218&gt;35,FE95+FD96-FM95,IF(A96&lt;'Données projet'!$A$218,$FB$205^A96,IF(A96='Données projet'!$A$218,'Données projet'!$B$218,FE95+FD96-FM95)))</f>
        <v>268.7</v>
      </c>
      <c r="FF96" s="18">
        <f>FE96*VLOOKUP('Données projet'!$B$16,Paramètres!$A$1:$I$89,3,0)*VLOOKUP('Données projet'!$B$16,Paramètres!$A$1:$I$89,5,0)</f>
        <v>259.88664</v>
      </c>
      <c r="FG96" s="14">
        <f t="shared" si="101"/>
        <v>62.698213571884004</v>
      </c>
      <c r="FH96" s="22">
        <f t="shared" si="76"/>
        <v>561.835286637698</v>
      </c>
      <c r="FI96" s="62">
        <f t="shared" si="77"/>
        <v>855.16861997103138</v>
      </c>
      <c r="FJ96" s="62">
        <f ca="1">AVERAGE(OFFSET($FI$3,0,0,'Données projet'!$E$16+1,1))-AVERAGE(OFFSET($H$3,0,0,'Données projet'!$E$16+1,1))</f>
        <v>455.50822833641354</v>
      </c>
      <c r="FK96" s="62">
        <f t="shared" si="102"/>
        <v>261.14722581688039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2.2737367544323206E-13</v>
      </c>
      <c r="O97" s="14">
        <f>N97*VLOOKUP('Données projet'!$B$9,Paramètres!$A$1:$I$89,3,0)*VLOOKUP('Données projet'!$B$9,Paramètres!$A$1:$I$89,5,0)</f>
        <v>1.2710188457276673E-13</v>
      </c>
      <c r="P97" s="14">
        <f t="shared" si="87"/>
        <v>1.856866851063998E-12</v>
      </c>
      <c r="Q97" s="22">
        <f t="shared" si="54"/>
        <v>3.4554122145673649E-12</v>
      </c>
      <c r="R97" s="62">
        <f t="shared" si="55"/>
        <v>293.33333333333678</v>
      </c>
      <c r="S97" s="62">
        <f ca="1">AVERAGE(OFFSET($R$3,0,0,'Données projet'!$E$9+1,1))-AVERAGE(OFFSET($H$3,0,0,'Données projet'!$E$9+1,1))</f>
        <v>323.98185264074681</v>
      </c>
      <c r="T97" s="62">
        <f t="shared" si="88"/>
        <v>301.22207291854005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1.2563364532821599</v>
      </c>
      <c r="AA97" s="23">
        <f>EXP(-LN(2)/25)*AA96+(1-EXP(-LN(2)/25))/(LN(2)/25)*Calculateur!V97*Calculateur!X97*VLOOKUP('Données projet'!$B$9,Paramètres!$A$1:$I$89,3,0)*0.475*44/12</f>
        <v>1.398540297856141</v>
      </c>
      <c r="AB97" s="23">
        <f>EXP(-LN(2)/2)*AB96+(1-EXP(-LN(2)/2))/(LN(2)/2)*V97*Y97*VLOOKUP('Données projet'!$B$9,Paramètres!$A$1:$I$89,3,0)*0.475*44/12</f>
        <v>1.4174280640711125E-9</v>
      </c>
      <c r="AC97" s="24">
        <f t="shared" si="57"/>
        <v>2.6548767525557286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7.6369230769230851</v>
      </c>
      <c r="AI97" s="14">
        <f>IF('Données projet'!$A$62&gt;35,AI96+AH97-AQ96,IF(A97&lt;'Données projet'!$A$62,$AF$205^A97,IF(A97='Données projet'!$A$62,'Données projet'!$B$62,AI96+AH97-AQ96)))</f>
        <v>254.73384615384634</v>
      </c>
      <c r="AJ97" s="14">
        <f>AI97*VLOOKUP('Données projet'!$B$10,Paramètres!$A$1:$I$89,3,0)*VLOOKUP('Données projet'!$B$10,Paramètres!$A$1:$I$89,5,0)</f>
        <v>119.21544000000009</v>
      </c>
      <c r="AK97" s="14">
        <f t="shared" si="89"/>
        <v>31.491943759871322</v>
      </c>
      <c r="AL97" s="22">
        <f t="shared" si="58"/>
        <v>262.48202671510938</v>
      </c>
      <c r="AM97" s="62">
        <f t="shared" si="59"/>
        <v>555.8153600484427</v>
      </c>
      <c r="AN97" s="62">
        <f ca="1">AVERAGE(OFFSET($AM$3,0,0,'Données projet'!$E$10+1,1))-AVERAGE(OFFSET($H$3,0,0,'Données projet'!$E$10+1,1))</f>
        <v>276.78862011733338</v>
      </c>
      <c r="AO97" s="62">
        <f t="shared" si="90"/>
        <v>202.1678469635836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247.55327999999994</v>
      </c>
      <c r="BF97" s="14">
        <f t="shared" si="91"/>
        <v>60.061713068870255</v>
      </c>
      <c r="BG97" s="22">
        <f t="shared" si="61"/>
        <v>535.76277959494894</v>
      </c>
      <c r="BH97" s="62">
        <f t="shared" si="62"/>
        <v>829.09611292828231</v>
      </c>
      <c r="BI97" s="62">
        <f ca="1">AVERAGE(OFFSET($BH$3,0,0,'Données projet'!$E$11+1,1))-AVERAGE(OFFSET($H$3,0,0,'Données projet'!$E$11+1,1))</f>
        <v>428.8489304403459</v>
      </c>
      <c r="BJ97" s="62">
        <f t="shared" si="92"/>
        <v>247.01165577562966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-2.8421709430404007E-13</v>
      </c>
      <c r="BZ97" s="14">
        <f>BY97*VLOOKUP('Données projet'!$B$12,Paramètres!$A$1:$I$89,3,0)*VLOOKUP('Données projet'!$B$12,Paramètres!$A$1:$I$89,5,0)</f>
        <v>-1.69961822393816E-13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289.12367833861299</v>
      </c>
      <c r="CE97" s="62">
        <f t="shared" si="94"/>
        <v>229.06617320689003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9.6551028034311009E-10</v>
      </c>
      <c r="CN97" s="24">
        <f t="shared" si="66"/>
        <v>9.6551028034311009E-10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-4.5224624045658861E-14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370.59298168107364</v>
      </c>
      <c r="CZ97" s="62">
        <f t="shared" si="96"/>
        <v>404.61777090709171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2.8</v>
      </c>
      <c r="DO97" s="13">
        <f>IF('Données projet'!$A$166&gt;35,DO96+DN97-DW96,IF(A97&lt;'Données projet'!$A$166,$DL$205^A97,IF(A97='Données projet'!$A$166,'Données projet'!$B$166,DO96+DN97-DW96)))</f>
        <v>233.19999999999993</v>
      </c>
      <c r="DP97" s="18">
        <f>DO97*VLOOKUP('Données projet'!$B$14,Paramètres!$A$1:$I$89,3,0)*VLOOKUP('Données projet'!$B$14,Paramètres!$A$1:$I$89,5,0)</f>
        <v>203.72351999999998</v>
      </c>
      <c r="DQ97" s="14">
        <f t="shared" si="97"/>
        <v>50.561604122231515</v>
      </c>
      <c r="DR97" s="22">
        <f t="shared" si="70"/>
        <v>442.87992451288648</v>
      </c>
      <c r="DS97" s="62">
        <f t="shared" si="71"/>
        <v>736.21325784621979</v>
      </c>
      <c r="DT97" s="62">
        <f ca="1">AVERAGE(OFFSET($DS$3,0,0,'Données projet'!$E$14+1,1))-AVERAGE(OFFSET($H$3,0,0,'Données projet'!$E$14+1,1))</f>
        <v>341.65872153228599</v>
      </c>
      <c r="DU97" s="62">
        <f t="shared" si="98"/>
        <v>339.49697153894937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3.7179487179487181</v>
      </c>
      <c r="EJ97" s="13">
        <f>IF('Données projet'!$A$192&gt;35,EJ96+EI97-ER96,IF(A97&lt;'Données projet'!$A$192,$EG$205^A97,IF(A97='Données projet'!$A$192,'Données projet'!$B$192,EJ96+EI97-ER96)))</f>
        <v>286.02564102564116</v>
      </c>
      <c r="EK97" s="18">
        <f>EJ97*VLOOKUP('Données projet'!$B$15,Paramètres!$A$1:$I$89,3,0)*VLOOKUP('Données projet'!$B$15,Paramètres!$A$1:$I$89,5,0)</f>
        <v>191.8660000000001</v>
      </c>
      <c r="EL97" s="14">
        <f t="shared" si="99"/>
        <v>47.952264009442366</v>
      </c>
      <c r="EM97" s="22">
        <f t="shared" si="73"/>
        <v>417.6834764831122</v>
      </c>
      <c r="EN97" s="62">
        <f t="shared" si="74"/>
        <v>711.01680981644552</v>
      </c>
      <c r="EO97" s="62">
        <f ca="1">AVERAGE(OFFSET($EN$3,0,0,'Données projet'!$E$15+1,1))-AVERAGE(OFFSET($H$3,0,0,'Données projet'!$E$15+1,1))</f>
        <v>312.06797204903796</v>
      </c>
      <c r="EP97" s="62">
        <f t="shared" si="100"/>
        <v>258.20189001775151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4.9000000000000004</v>
      </c>
      <c r="FE97" s="13">
        <f>IF('Données projet'!$A$218&gt;35,FE96+FD97-FM96,IF(A97&lt;'Données projet'!$A$218,$FB$205^A97,IF(A97='Données projet'!$A$218,'Données projet'!$B$218,FE96+FD97-FM96)))</f>
        <v>273.59999999999997</v>
      </c>
      <c r="FF97" s="18">
        <f>FE97*VLOOKUP('Données projet'!$B$16,Paramètres!$A$1:$I$89,3,0)*VLOOKUP('Données projet'!$B$16,Paramètres!$A$1:$I$89,5,0)</f>
        <v>264.62591999999995</v>
      </c>
      <c r="FG97" s="14">
        <f t="shared" si="101"/>
        <v>63.707422801198604</v>
      </c>
      <c r="FH97" s="22">
        <f t="shared" si="76"/>
        <v>571.84723871208746</v>
      </c>
      <c r="FI97" s="62">
        <f t="shared" si="77"/>
        <v>865.18057204542083</v>
      </c>
      <c r="FJ97" s="62">
        <f ca="1">AVERAGE(OFFSET($FI$3,0,0,'Données projet'!$E$16+1,1))-AVERAGE(OFFSET($H$3,0,0,'Données projet'!$E$16+1,1))</f>
        <v>455.50822833641354</v>
      </c>
      <c r="FK97" s="62">
        <f t="shared" si="102"/>
        <v>261.14722581688039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2.2737367544323206E-13</v>
      </c>
      <c r="O98" s="14">
        <f>N98*VLOOKUP('Données projet'!$B$9,Paramètres!$A$1:$I$89,3,0)*VLOOKUP('Données projet'!$B$9,Paramètres!$A$1:$I$89,5,0)</f>
        <v>1.2710188457276673E-13</v>
      </c>
      <c r="P98" s="14">
        <f t="shared" si="87"/>
        <v>1.856866851063998E-12</v>
      </c>
      <c r="Q98" s="22">
        <f t="shared" si="54"/>
        <v>3.4554122145673649E-12</v>
      </c>
      <c r="R98" s="62">
        <f t="shared" si="55"/>
        <v>293.33333333333678</v>
      </c>
      <c r="S98" s="62">
        <f ca="1">AVERAGE(OFFSET($R$3,0,0,'Données projet'!$E$9+1,1))-AVERAGE(OFFSET($H$3,0,0,'Données projet'!$E$9+1,1))</f>
        <v>323.98185264074681</v>
      </c>
      <c r="T98" s="62">
        <f t="shared" si="88"/>
        <v>301.22207291854005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1.2317004617228684</v>
      </c>
      <c r="AA98" s="23">
        <f>EXP(-LN(2)/25)*AA97+(1-EXP(-LN(2)/25))/(LN(2)/25)*Calculateur!V98*Calculateur!X98*VLOOKUP('Données projet'!$B$9,Paramètres!$A$1:$I$89,3,0)*0.475*44/12</f>
        <v>1.360297139865227</v>
      </c>
      <c r="AB98" s="23">
        <f>EXP(-LN(2)/2)*AB97+(1-EXP(-LN(2)/2))/(LN(2)/2)*V98*Y98*VLOOKUP('Données projet'!$B$9,Paramètres!$A$1:$I$89,3,0)*0.475*44/12</f>
        <v>1.0022729959488038E-9</v>
      </c>
      <c r="AC98" s="24">
        <f t="shared" si="57"/>
        <v>2.5919976025903684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7.6369230769230851</v>
      </c>
      <c r="AI98" s="14">
        <f>IF('Données projet'!$A$62&gt;35,AI97+AH98-AQ97,IF(A98&lt;'Données projet'!$A$62,$AF$205^A98,IF(A98='Données projet'!$A$62,'Données projet'!$B$62,AI97+AH98-AQ97)))</f>
        <v>262.37076923076944</v>
      </c>
      <c r="AJ98" s="14">
        <f>AI98*VLOOKUP('Données projet'!$B$10,Paramètres!$A$1:$I$89,3,0)*VLOOKUP('Données projet'!$B$10,Paramètres!$A$1:$I$89,5,0)</f>
        <v>122.7895200000001</v>
      </c>
      <c r="AK98" s="14">
        <f t="shared" si="89"/>
        <v>32.324736326041567</v>
      </c>
      <c r="AL98" s="22">
        <f t="shared" si="58"/>
        <v>270.15732976785586</v>
      </c>
      <c r="AM98" s="62">
        <f t="shared" si="59"/>
        <v>563.49066310118917</v>
      </c>
      <c r="AN98" s="62">
        <f ca="1">AVERAGE(OFFSET($AM$3,0,0,'Données projet'!$E$10+1,1))-AVERAGE(OFFSET($H$3,0,0,'Données projet'!$E$10+1,1))</f>
        <v>276.78862011733338</v>
      </c>
      <c r="AO98" s="62">
        <f t="shared" si="90"/>
        <v>202.1678469635836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251.98679999999993</v>
      </c>
      <c r="BF98" s="14">
        <f t="shared" si="91"/>
        <v>61.011187970195053</v>
      </c>
      <c r="BG98" s="22">
        <f t="shared" si="61"/>
        <v>545.13816238142283</v>
      </c>
      <c r="BH98" s="62">
        <f t="shared" si="62"/>
        <v>838.4714957147562</v>
      </c>
      <c r="BI98" s="62">
        <f ca="1">AVERAGE(OFFSET($BH$3,0,0,'Données projet'!$E$11+1,1))-AVERAGE(OFFSET($H$3,0,0,'Données projet'!$E$11+1,1))</f>
        <v>428.8489304403459</v>
      </c>
      <c r="BJ98" s="62">
        <f t="shared" si="92"/>
        <v>247.01165577562966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-2.8421709430404007E-13</v>
      </c>
      <c r="BZ98" s="14">
        <f>BY98*VLOOKUP('Données projet'!$B$12,Paramètres!$A$1:$I$89,3,0)*VLOOKUP('Données projet'!$B$12,Paramètres!$A$1:$I$89,5,0)</f>
        <v>-1.69961822393816E-13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289.12367833861299</v>
      </c>
      <c r="CE98" s="62">
        <f t="shared" si="94"/>
        <v>229.06617320689003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6.8271886653593771E-10</v>
      </c>
      <c r="CN98" s="24">
        <f t="shared" si="66"/>
        <v>6.8271886653593771E-10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-4.5224624045658861E-14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370.59298168107364</v>
      </c>
      <c r="CZ98" s="62">
        <f t="shared" si="96"/>
        <v>404.61777090709171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236</v>
      </c>
      <c r="DM98" s="13">
        <f>VLOOKUP(A98,'Données projet'!$A$165:$I$185,9,0)</f>
        <v>2.8</v>
      </c>
      <c r="DN98" s="13">
        <f t="array" ref="DN98">INDEX(DM:DM,MIN(IF(ISNUMBER(DM98:DM294),ROW(DM98:DM294),"")))</f>
        <v>2.8</v>
      </c>
      <c r="DO98" s="13">
        <f>IF('Données projet'!$A$166&gt;35,DO97+DN98-DW97,IF(A98&lt;'Données projet'!$A$166,$DL$205^A98,IF(A98='Données projet'!$A$166,'Données projet'!$B$166,DO97+DN98-DW97)))</f>
        <v>235.99999999999994</v>
      </c>
      <c r="DP98" s="18">
        <f>DO98*VLOOKUP('Données projet'!$B$14,Paramètres!$A$1:$I$89,3,0)*VLOOKUP('Données projet'!$B$14,Paramètres!$A$1:$I$89,5,0)</f>
        <v>206.16959999999995</v>
      </c>
      <c r="DQ98" s="14">
        <f t="shared" si="97"/>
        <v>51.097652263007333</v>
      </c>
      <c r="DR98" s="22">
        <f t="shared" si="70"/>
        <v>448.07379769140431</v>
      </c>
      <c r="DS98" s="62">
        <f t="shared" si="71"/>
        <v>741.40713102473762</v>
      </c>
      <c r="DT98" s="62">
        <f ca="1">AVERAGE(OFFSET($DS$3,0,0,'Données projet'!$E$14+1,1))-AVERAGE(OFFSET($H$3,0,0,'Données projet'!$E$14+1,1))</f>
        <v>341.65872153228599</v>
      </c>
      <c r="DU98" s="62">
        <f t="shared" si="98"/>
        <v>339.49697153894937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289.74358974358972</v>
      </c>
      <c r="EH98" s="13">
        <f>VLOOKUP(A98,'Données projet'!$A$191:$I$211,9,0)</f>
        <v>3.7179487179487181</v>
      </c>
      <c r="EI98" s="13">
        <f t="array" ref="EI98">INDEX(EH:EH,MIN(IF(ISNUMBER(EH98:EH294),ROW(EH98:EH294),"")))</f>
        <v>3.7179487179487181</v>
      </c>
      <c r="EJ98" s="13">
        <f>IF('Données projet'!$A$192&gt;35,EJ97+EI98-ER97,IF(A98&lt;'Données projet'!$A$192,$EG$205^A98,IF(A98='Données projet'!$A$192,'Données projet'!$B$192,EJ97+EI98-ER97)))</f>
        <v>289.74358974358989</v>
      </c>
      <c r="EK98" s="18">
        <f>EJ98*VLOOKUP('Données projet'!$B$15,Paramètres!$A$1:$I$89,3,0)*VLOOKUP('Données projet'!$B$15,Paramètres!$A$1:$I$89,5,0)</f>
        <v>194.3600000000001</v>
      </c>
      <c r="EL98" s="14">
        <f t="shared" si="99"/>
        <v>48.502610439386679</v>
      </c>
      <c r="EM98" s="22">
        <f t="shared" si="73"/>
        <v>422.98571318193194</v>
      </c>
      <c r="EN98" s="62">
        <f t="shared" si="74"/>
        <v>716.3190465152652</v>
      </c>
      <c r="EO98" s="62">
        <f ca="1">AVERAGE(OFFSET($EN$3,0,0,'Données projet'!$E$15+1,1))-AVERAGE(OFFSET($H$3,0,0,'Données projet'!$E$15+1,1))</f>
        <v>312.06797204903796</v>
      </c>
      <c r="EP98" s="62">
        <f t="shared" si="100"/>
        <v>258.20189001775151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4.9000000000000004</v>
      </c>
      <c r="FE98" s="13">
        <f>IF('Données projet'!$A$218&gt;35,FE97+FD98-FM97,IF(A98&lt;'Données projet'!$A$218,$FB$205^A98,IF(A98='Données projet'!$A$218,'Données projet'!$B$218,FE97+FD98-FM97)))</f>
        <v>278.49999999999994</v>
      </c>
      <c r="FF98" s="18">
        <f>FE98*VLOOKUP('Données projet'!$B$16,Paramètres!$A$1:$I$89,3,0)*VLOOKUP('Données projet'!$B$16,Paramètres!$A$1:$I$89,5,0)</f>
        <v>269.36519999999996</v>
      </c>
      <c r="FG98" s="14">
        <f t="shared" si="101"/>
        <v>64.714530255967034</v>
      </c>
      <c r="FH98" s="22">
        <f t="shared" si="76"/>
        <v>581.85553019580914</v>
      </c>
      <c r="FI98" s="62">
        <f t="shared" si="77"/>
        <v>875.18886352914251</v>
      </c>
      <c r="FJ98" s="62">
        <f ca="1">AVERAGE(OFFSET($FI$3,0,0,'Données projet'!$E$16+1,1))-AVERAGE(OFFSET($H$3,0,0,'Données projet'!$E$16+1,1))</f>
        <v>455.50822833641354</v>
      </c>
      <c r="FK98" s="62">
        <f t="shared" si="102"/>
        <v>261.14722581688039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2.2737367544323206E-13</v>
      </c>
      <c r="O99" s="14">
        <f>N99*VLOOKUP('Données projet'!$B$9,Paramètres!$A$1:$I$89,3,0)*VLOOKUP('Données projet'!$B$9,Paramètres!$A$1:$I$89,5,0)</f>
        <v>1.2710188457276673E-13</v>
      </c>
      <c r="P99" s="14">
        <f t="shared" si="87"/>
        <v>1.856866851063998E-12</v>
      </c>
      <c r="Q99" s="22">
        <f t="shared" ref="Q99:Q130" si="107">(O99+P99)*0.475*44/12</f>
        <v>3.4554122145673649E-12</v>
      </c>
      <c r="R99" s="62">
        <f t="shared" si="55"/>
        <v>293.33333333333678</v>
      </c>
      <c r="S99" s="62">
        <f ca="1">AVERAGE(OFFSET($R$3,0,0,'Données projet'!$E$9+1,1))-AVERAGE(OFFSET($H$3,0,0,'Données projet'!$E$9+1,1))</f>
        <v>323.98185264074681</v>
      </c>
      <c r="T99" s="62">
        <f t="shared" si="88"/>
        <v>301.22207291854005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1.2075475669315836</v>
      </c>
      <c r="AA99" s="23">
        <f>EXP(-LN(2)/25)*AA98+(1-EXP(-LN(2)/25))/(LN(2)/25)*Calculateur!V99*Calculateur!X99*VLOOKUP('Données projet'!$B$9,Paramètres!$A$1:$I$89,3,0)*0.475*44/12</f>
        <v>1.3230997430406948</v>
      </c>
      <c r="AB99" s="23">
        <f>EXP(-LN(2)/2)*AB98+(1-EXP(-LN(2)/2))/(LN(2)/2)*V99*Y99*VLOOKUP('Données projet'!$B$9,Paramètres!$A$1:$I$89,3,0)*0.475*44/12</f>
        <v>7.0871403203555623E-10</v>
      </c>
      <c r="AC99" s="24">
        <f t="shared" si="57"/>
        <v>2.5306473106809921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>
        <f>VLOOKUP(A99,'Données projet'!$A$61:$I$81,2,0)</f>
        <v>270.00769230769231</v>
      </c>
      <c r="AG99" s="13">
        <f>VLOOKUP(A99,'Données projet'!$A$61:$I$81,9,0)</f>
        <v>7.6369230769230851</v>
      </c>
      <c r="AH99" s="13">
        <f t="array" ref="AH99">INDEX(AG:AG,MIN(IF(ISNUMBER(AG99:AG295),ROW(AG99:AG295),"")))</f>
        <v>7.6369230769230851</v>
      </c>
      <c r="AI99" s="14">
        <f>IF('Données projet'!$A$62&gt;35,AI98+AH99-AQ98,IF(A99&lt;'Données projet'!$A$62,$AF$205^A99,IF(A99='Données projet'!$A$62,'Données projet'!$B$62,AI98+AH99-AQ98)))</f>
        <v>270.00769230769254</v>
      </c>
      <c r="AJ99" s="14">
        <f>AI99*VLOOKUP('Données projet'!$B$10,Paramètres!$A$1:$I$89,3,0)*VLOOKUP('Données projet'!$B$10,Paramètres!$A$1:$I$89,5,0)</f>
        <v>126.3636000000001</v>
      </c>
      <c r="AK99" s="14">
        <f t="shared" si="89"/>
        <v>33.154711663654915</v>
      </c>
      <c r="AL99" s="22">
        <f t="shared" si="58"/>
        <v>277.82772614753247</v>
      </c>
      <c r="AM99" s="62">
        <f t="shared" si="59"/>
        <v>571.16105948086579</v>
      </c>
      <c r="AN99" s="62">
        <f ca="1">AVERAGE(OFFSET($AM$3,0,0,'Données projet'!$E$10+1,1))-AVERAGE(OFFSET($H$3,0,0,'Données projet'!$E$10+1,1))</f>
        <v>276.78862011733338</v>
      </c>
      <c r="AO99" s="62">
        <f t="shared" si="90"/>
        <v>202.1678469635836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256.42031999999989</v>
      </c>
      <c r="BF99" s="14">
        <f t="shared" si="91"/>
        <v>61.958720258016918</v>
      </c>
      <c r="BG99" s="22">
        <f t="shared" si="61"/>
        <v>554.51016178271254</v>
      </c>
      <c r="BH99" s="62">
        <f t="shared" si="62"/>
        <v>847.84349511604591</v>
      </c>
      <c r="BI99" s="62">
        <f ca="1">AVERAGE(OFFSET($BH$3,0,0,'Données projet'!$E$11+1,1))-AVERAGE(OFFSET($H$3,0,0,'Données projet'!$E$11+1,1))</f>
        <v>428.8489304403459</v>
      </c>
      <c r="BJ99" s="62">
        <f t="shared" si="92"/>
        <v>247.01165577562966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-2.8421709430404007E-13</v>
      </c>
      <c r="BZ99" s="14">
        <f>BY99*VLOOKUP('Données projet'!$B$12,Paramètres!$A$1:$I$89,3,0)*VLOOKUP('Données projet'!$B$12,Paramètres!$A$1:$I$89,5,0)</f>
        <v>-1.69961822393816E-13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289.12367833861299</v>
      </c>
      <c r="CE99" s="62">
        <f t="shared" si="94"/>
        <v>229.06617320689003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4.8275514017155504E-10</v>
      </c>
      <c r="CN99" s="24">
        <f t="shared" si="66"/>
        <v>4.8275514017155504E-10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-4.5224624045658861E-14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370.59298168107364</v>
      </c>
      <c r="CZ99" s="62">
        <f t="shared" si="96"/>
        <v>404.61777090709171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</v>
      </c>
      <c r="DO99" s="13">
        <f>IF('Données projet'!$A$166&gt;35,DO98+DN99-DW98,IF(A99&lt;'Données projet'!$A$166,$DL$205^A99,IF(A99='Données projet'!$A$166,'Données projet'!$B$166,DO98+DN99-DW98)))</f>
        <v>238.99999999999994</v>
      </c>
      <c r="DP99" s="18">
        <f>DO99*VLOOKUP('Données projet'!$B$14,Paramètres!$A$1:$I$89,3,0)*VLOOKUP('Données projet'!$B$14,Paramètres!$A$1:$I$89,5,0)</f>
        <v>208.79039999999998</v>
      </c>
      <c r="DQ99" s="14">
        <f t="shared" si="97"/>
        <v>51.671168863475145</v>
      </c>
      <c r="DR99" s="22">
        <f t="shared" si="70"/>
        <v>453.63723243721915</v>
      </c>
      <c r="DS99" s="62">
        <f t="shared" si="71"/>
        <v>746.97056577055241</v>
      </c>
      <c r="DT99" s="62">
        <f ca="1">AVERAGE(OFFSET($DS$3,0,0,'Données projet'!$E$14+1,1))-AVERAGE(OFFSET($H$3,0,0,'Données projet'!$E$14+1,1))</f>
        <v>341.65872153228599</v>
      </c>
      <c r="DU99" s="62">
        <f t="shared" si="98"/>
        <v>339.49697153894937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3.5897435897435912</v>
      </c>
      <c r="EJ99" s="13">
        <f>IF('Données projet'!$A$192&gt;35,EJ98+EI99-ER98,IF(A99&lt;'Données projet'!$A$192,$EG$205^A99,IF(A99='Données projet'!$A$192,'Données projet'!$B$192,EJ98+EI99-ER98)))</f>
        <v>293.33333333333348</v>
      </c>
      <c r="EK99" s="18">
        <f>EJ99*VLOOKUP('Données projet'!$B$15,Paramètres!$A$1:$I$89,3,0)*VLOOKUP('Données projet'!$B$15,Paramètres!$A$1:$I$89,5,0)</f>
        <v>196.76800000000011</v>
      </c>
      <c r="EL99" s="14">
        <f t="shared" si="99"/>
        <v>49.033199854505597</v>
      </c>
      <c r="EM99" s="22">
        <f t="shared" si="73"/>
        <v>428.10375641326408</v>
      </c>
      <c r="EN99" s="62">
        <f t="shared" si="74"/>
        <v>721.43708974659739</v>
      </c>
      <c r="EO99" s="62">
        <f ca="1">AVERAGE(OFFSET($EN$3,0,0,'Données projet'!$E$15+1,1))-AVERAGE(OFFSET($H$3,0,0,'Données projet'!$E$15+1,1))</f>
        <v>312.06797204903796</v>
      </c>
      <c r="EP99" s="62">
        <f t="shared" si="100"/>
        <v>258.20189001775151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4.9000000000000004</v>
      </c>
      <c r="FE99" s="13">
        <f>IF('Données projet'!$A$218&gt;35,FE98+FD99-FM98,IF(A99&lt;'Données projet'!$A$218,$FB$205^A99,IF(A99='Données projet'!$A$218,'Données projet'!$B$218,FE98+FD99-FM98)))</f>
        <v>283.39999999999992</v>
      </c>
      <c r="FF99" s="18">
        <f>FE99*VLOOKUP('Données projet'!$B$16,Paramètres!$A$1:$I$89,3,0)*VLOOKUP('Données projet'!$B$16,Paramètres!$A$1:$I$89,5,0)</f>
        <v>274.10447999999991</v>
      </c>
      <c r="FG99" s="14">
        <f t="shared" si="101"/>
        <v>65.719577181765516</v>
      </c>
      <c r="FH99" s="22">
        <f t="shared" si="76"/>
        <v>591.86023292490802</v>
      </c>
      <c r="FI99" s="62">
        <f t="shared" si="77"/>
        <v>885.19356625824139</v>
      </c>
      <c r="FJ99" s="62">
        <f ca="1">AVERAGE(OFFSET($FI$3,0,0,'Données projet'!$E$16+1,1))-AVERAGE(OFFSET($H$3,0,0,'Données projet'!$E$16+1,1))</f>
        <v>455.50822833641354</v>
      </c>
      <c r="FK99" s="62">
        <f t="shared" si="102"/>
        <v>261.14722581688039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2.2737367544323206E-13</v>
      </c>
      <c r="O100" s="14">
        <f>N100*VLOOKUP('Données projet'!$B$9,Paramètres!$A$1:$I$89,3,0)*VLOOKUP('Données projet'!$B$9,Paramètres!$A$1:$I$89,5,0)</f>
        <v>1.2710188457276673E-13</v>
      </c>
      <c r="P100" s="14">
        <f t="shared" si="87"/>
        <v>1.856866851063998E-12</v>
      </c>
      <c r="Q100" s="22">
        <f t="shared" si="107"/>
        <v>3.4554122145673649E-12</v>
      </c>
      <c r="R100" s="62">
        <f t="shared" si="55"/>
        <v>293.33333333333678</v>
      </c>
      <c r="S100" s="62">
        <f ca="1">AVERAGE(OFFSET($R$3,0,0,'Données projet'!$E$9+1,1))-AVERAGE(OFFSET($H$3,0,0,'Données projet'!$E$9+1,1))</f>
        <v>323.98185264074681</v>
      </c>
      <c r="T100" s="62">
        <f t="shared" si="88"/>
        <v>301.22207291854005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1.1838682956753446</v>
      </c>
      <c r="AA100" s="23">
        <f>EXP(-LN(2)/25)*AA99+(1-EXP(-LN(2)/25))/(LN(2)/25)*Calculateur!V100*Calculateur!X100*VLOOKUP('Données projet'!$B$9,Paramètres!$A$1:$I$89,3,0)*0.475*44/12</f>
        <v>1.2869195109884555</v>
      </c>
      <c r="AB100" s="23">
        <f>EXP(-LN(2)/2)*AB99+(1-EXP(-LN(2)/2))/(LN(2)/2)*V100*Y100*VLOOKUP('Données projet'!$B$9,Paramètres!$A$1:$I$89,3,0)*0.475*44/12</f>
        <v>5.0113649797440188E-10</v>
      </c>
      <c r="AC100" s="24">
        <f t="shared" si="57"/>
        <v>2.4707878071649367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7.5199999999999934</v>
      </c>
      <c r="AI100" s="14">
        <f>IF('Données projet'!$A$62&gt;35,AI99+AH100-AQ99,IF(A100&lt;'Données projet'!$A$62,$AF$205^A100,IF(A100='Données projet'!$A$62,'Données projet'!$B$62,AI99+AH100-AQ99)))</f>
        <v>277.52769230769252</v>
      </c>
      <c r="AJ100" s="14">
        <f>AI100*VLOOKUP('Données projet'!$B$10,Paramètres!$A$1:$I$89,3,0)*VLOOKUP('Données projet'!$B$10,Paramètres!$A$1:$I$89,5,0)</f>
        <v>129.88296000000011</v>
      </c>
      <c r="AK100" s="14">
        <f t="shared" si="89"/>
        <v>33.969313407178149</v>
      </c>
      <c r="AL100" s="22">
        <f t="shared" si="58"/>
        <v>285.3760428508354</v>
      </c>
      <c r="AM100" s="62">
        <f t="shared" si="59"/>
        <v>578.70937618416872</v>
      </c>
      <c r="AN100" s="62">
        <f ca="1">AVERAGE(OFFSET($AM$3,0,0,'Données projet'!$E$10+1,1))-AVERAGE(OFFSET($H$3,0,0,'Données projet'!$E$10+1,1))</f>
        <v>276.78862011733338</v>
      </c>
      <c r="AO100" s="62">
        <f t="shared" si="90"/>
        <v>202.1678469635836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260.85383999999993</v>
      </c>
      <c r="BF100" s="14">
        <f t="shared" si="91"/>
        <v>62.904347395903763</v>
      </c>
      <c r="BG100" s="22">
        <f t="shared" si="61"/>
        <v>563.87884304786564</v>
      </c>
      <c r="BH100" s="62">
        <f t="shared" si="62"/>
        <v>857.21217638119901</v>
      </c>
      <c r="BI100" s="62">
        <f ca="1">AVERAGE(OFFSET($BH$3,0,0,'Données projet'!$E$11+1,1))-AVERAGE(OFFSET($H$3,0,0,'Données projet'!$E$11+1,1))</f>
        <v>428.8489304403459</v>
      </c>
      <c r="BJ100" s="62">
        <f t="shared" si="92"/>
        <v>247.01165577562966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-2.8421709430404007E-13</v>
      </c>
      <c r="BZ100" s="14">
        <f>BY100*VLOOKUP('Données projet'!$B$12,Paramètres!$A$1:$I$89,3,0)*VLOOKUP('Données projet'!$B$12,Paramètres!$A$1:$I$89,5,0)</f>
        <v>-1.69961822393816E-13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289.12367833861299</v>
      </c>
      <c r="CE100" s="62">
        <f t="shared" si="94"/>
        <v>229.06617320689003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3.4135943326796886E-10</v>
      </c>
      <c r="CN100" s="24">
        <f t="shared" si="66"/>
        <v>3.4135943326796886E-10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-4.5224624045658861E-14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370.59298168107364</v>
      </c>
      <c r="CZ100" s="62">
        <f t="shared" si="96"/>
        <v>404.61777090709171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</v>
      </c>
      <c r="DO100" s="13">
        <f>IF('Données projet'!$A$166&gt;35,DO99+DN100-DW99,IF(A100&lt;'Données projet'!$A$166,$DL$205^A100,IF(A100='Données projet'!$A$166,'Données projet'!$B$166,DO99+DN100-DW99)))</f>
        <v>241.99999999999994</v>
      </c>
      <c r="DP100" s="18">
        <f>DO100*VLOOKUP('Données projet'!$B$14,Paramètres!$A$1:$I$89,3,0)*VLOOKUP('Données projet'!$B$14,Paramètres!$A$1:$I$89,5,0)</f>
        <v>211.41119999999998</v>
      </c>
      <c r="DQ100" s="14">
        <f t="shared" si="97"/>
        <v>52.243848094411156</v>
      </c>
      <c r="DR100" s="22">
        <f t="shared" si="70"/>
        <v>459.19920876443274</v>
      </c>
      <c r="DS100" s="62">
        <f t="shared" si="71"/>
        <v>752.53254209776605</v>
      </c>
      <c r="DT100" s="62">
        <f ca="1">AVERAGE(OFFSET($DS$3,0,0,'Données projet'!$E$14+1,1))-AVERAGE(OFFSET($H$3,0,0,'Données projet'!$E$14+1,1))</f>
        <v>341.65872153228599</v>
      </c>
      <c r="DU100" s="62">
        <f t="shared" si="98"/>
        <v>339.49697153894937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3.5897435897435912</v>
      </c>
      <c r="EJ100" s="13">
        <f>IF('Données projet'!$A$192&gt;35,EJ99+EI100-ER99,IF(A100&lt;'Données projet'!$A$192,$EG$205^A100,IF(A100='Données projet'!$A$192,'Données projet'!$B$192,EJ99+EI100-ER99)))</f>
        <v>296.92307692307708</v>
      </c>
      <c r="EK100" s="18">
        <f>EJ100*VLOOKUP('Données projet'!$B$15,Paramètres!$A$1:$I$89,3,0)*VLOOKUP('Données projet'!$B$15,Paramètres!$A$1:$I$89,5,0)</f>
        <v>199.1760000000001</v>
      </c>
      <c r="EL100" s="14">
        <f t="shared" si="99"/>
        <v>49.563033976114944</v>
      </c>
      <c r="EM100" s="22">
        <f t="shared" si="73"/>
        <v>433.22048417506704</v>
      </c>
      <c r="EN100" s="62">
        <f t="shared" si="74"/>
        <v>726.55381750840036</v>
      </c>
      <c r="EO100" s="62">
        <f ca="1">AVERAGE(OFFSET($EN$3,0,0,'Données projet'!$E$15+1,1))-AVERAGE(OFFSET($H$3,0,0,'Données projet'!$E$15+1,1))</f>
        <v>312.06797204903796</v>
      </c>
      <c r="EP100" s="62">
        <f t="shared" si="100"/>
        <v>258.20189001775151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4.9000000000000004</v>
      </c>
      <c r="FE100" s="13">
        <f>IF('Données projet'!$A$218&gt;35,FE99+FD100-FM99,IF(A100&lt;'Données projet'!$A$218,$FB$205^A100,IF(A100='Données projet'!$A$218,'Données projet'!$B$218,FE99+FD100-FM99)))</f>
        <v>288.2999999999999</v>
      </c>
      <c r="FF100" s="18">
        <f>FE100*VLOOKUP('Données projet'!$B$16,Paramètres!$A$1:$I$89,3,0)*VLOOKUP('Données projet'!$B$16,Paramètres!$A$1:$I$89,5,0)</f>
        <v>278.84375999999992</v>
      </c>
      <c r="FG100" s="14">
        <f t="shared" si="101"/>
        <v>66.722603316177725</v>
      </c>
      <c r="FH100" s="22">
        <f t="shared" si="76"/>
        <v>601.86141610900938</v>
      </c>
      <c r="FI100" s="62">
        <f t="shared" si="77"/>
        <v>895.19474944234275</v>
      </c>
      <c r="FJ100" s="62">
        <f ca="1">AVERAGE(OFFSET($FI$3,0,0,'Données projet'!$E$16+1,1))-AVERAGE(OFFSET($H$3,0,0,'Données projet'!$E$16+1,1))</f>
        <v>455.50822833641354</v>
      </c>
      <c r="FK100" s="62">
        <f t="shared" si="102"/>
        <v>261.14722581688039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2.2737367544323206E-13</v>
      </c>
      <c r="O101" s="14">
        <f>N101*VLOOKUP('Données projet'!$B$9,Paramètres!$A$1:$I$89,3,0)*VLOOKUP('Données projet'!$B$9,Paramètres!$A$1:$I$89,5,0)</f>
        <v>1.2710188457276673E-13</v>
      </c>
      <c r="P101" s="14">
        <f t="shared" si="87"/>
        <v>1.856866851063998E-12</v>
      </c>
      <c r="Q101" s="22">
        <f t="shared" si="107"/>
        <v>3.4554122145673649E-12</v>
      </c>
      <c r="R101" s="62">
        <f t="shared" si="55"/>
        <v>293.33333333333678</v>
      </c>
      <c r="S101" s="62">
        <f ca="1">AVERAGE(OFFSET($R$3,0,0,'Données projet'!$E$9+1,1))-AVERAGE(OFFSET($H$3,0,0,'Données projet'!$E$9+1,1))</f>
        <v>323.98185264074681</v>
      </c>
      <c r="T101" s="62">
        <f t="shared" si="88"/>
        <v>301.22207291854005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1.1606533604855112</v>
      </c>
      <c r="AA101" s="23">
        <f>EXP(-LN(2)/25)*AA100+(1-EXP(-LN(2)/25))/(LN(2)/25)*Calculateur!V101*Calculateur!X101*VLOOKUP('Données projet'!$B$9,Paramètres!$A$1:$I$89,3,0)*0.475*44/12</f>
        <v>1.2517286292843204</v>
      </c>
      <c r="AB101" s="23">
        <f>EXP(-LN(2)/2)*AB100+(1-EXP(-LN(2)/2))/(LN(2)/2)*V101*Y101*VLOOKUP('Données projet'!$B$9,Paramètres!$A$1:$I$89,3,0)*0.475*44/12</f>
        <v>3.5435701601777812E-10</v>
      </c>
      <c r="AC101" s="24">
        <f t="shared" si="57"/>
        <v>2.4123819901241883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7.5199999999999934</v>
      </c>
      <c r="AI101" s="14">
        <f>IF('Données projet'!$A$62&gt;35,AI100+AH101-AQ100,IF(A101&lt;'Données projet'!$A$62,$AF$205^A101,IF(A101='Données projet'!$A$62,'Données projet'!$B$62,AI100+AH101-AQ100)))</f>
        <v>285.0476923076925</v>
      </c>
      <c r="AJ101" s="14">
        <f>AI101*VLOOKUP('Données projet'!$B$10,Paramètres!$A$1:$I$89,3,0)*VLOOKUP('Données projet'!$B$10,Paramètres!$A$1:$I$89,5,0)</f>
        <v>133.40232000000009</v>
      </c>
      <c r="AK101" s="14">
        <f t="shared" si="89"/>
        <v>34.781349595951248</v>
      </c>
      <c r="AL101" s="22">
        <f t="shared" si="58"/>
        <v>292.91989121294858</v>
      </c>
      <c r="AM101" s="62">
        <f t="shared" si="59"/>
        <v>586.2532245462819</v>
      </c>
      <c r="AN101" s="62">
        <f ca="1">AVERAGE(OFFSET($AM$3,0,0,'Données projet'!$E$10+1,1))-AVERAGE(OFFSET($H$3,0,0,'Données projet'!$E$10+1,1))</f>
        <v>276.78862011733338</v>
      </c>
      <c r="AO101" s="62">
        <f t="shared" si="90"/>
        <v>202.1678469635836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265.28735999999992</v>
      </c>
      <c r="BF101" s="14">
        <f t="shared" si="91"/>
        <v>63.84810550096995</v>
      </c>
      <c r="BG101" s="22">
        <f t="shared" si="61"/>
        <v>573.24426908085582</v>
      </c>
      <c r="BH101" s="62">
        <f t="shared" si="62"/>
        <v>866.57760241418919</v>
      </c>
      <c r="BI101" s="62">
        <f ca="1">AVERAGE(OFFSET($BH$3,0,0,'Données projet'!$E$11+1,1))-AVERAGE(OFFSET($H$3,0,0,'Données projet'!$E$11+1,1))</f>
        <v>428.8489304403459</v>
      </c>
      <c r="BJ101" s="62">
        <f t="shared" si="92"/>
        <v>247.01165577562966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-2.8421709430404007E-13</v>
      </c>
      <c r="BZ101" s="14">
        <f>BY101*VLOOKUP('Données projet'!$B$12,Paramètres!$A$1:$I$89,3,0)*VLOOKUP('Données projet'!$B$12,Paramètres!$A$1:$I$89,5,0)</f>
        <v>-1.69961822393816E-13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289.12367833861299</v>
      </c>
      <c r="CE101" s="62">
        <f t="shared" si="94"/>
        <v>229.06617320689003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2.4137757008577752E-10</v>
      </c>
      <c r="CN101" s="24">
        <f t="shared" si="66"/>
        <v>2.4137757008577752E-10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-4.5224624045658861E-14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370.59298168107364</v>
      </c>
      <c r="CZ101" s="62">
        <f t="shared" si="96"/>
        <v>404.61777090709171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</v>
      </c>
      <c r="DO101" s="13">
        <f>IF('Données projet'!$A$166&gt;35,DO100+DN101-DW100,IF(A101&lt;'Données projet'!$A$166,$DL$205^A101,IF(A101='Données projet'!$A$166,'Données projet'!$B$166,DO100+DN101-DW100)))</f>
        <v>244.99999999999994</v>
      </c>
      <c r="DP101" s="18">
        <f>DO101*VLOOKUP('Données projet'!$B$14,Paramètres!$A$1:$I$89,3,0)*VLOOKUP('Données projet'!$B$14,Paramètres!$A$1:$I$89,5,0)</f>
        <v>214.03199999999998</v>
      </c>
      <c r="DQ101" s="14">
        <f t="shared" si="97"/>
        <v>52.815701536972242</v>
      </c>
      <c r="DR101" s="22">
        <f t="shared" si="70"/>
        <v>464.75974684355998</v>
      </c>
      <c r="DS101" s="62">
        <f t="shared" si="71"/>
        <v>758.0930801768933</v>
      </c>
      <c r="DT101" s="62">
        <f ca="1">AVERAGE(OFFSET($DS$3,0,0,'Données projet'!$E$14+1,1))-AVERAGE(OFFSET($H$3,0,0,'Données projet'!$E$14+1,1))</f>
        <v>341.65872153228599</v>
      </c>
      <c r="DU101" s="62">
        <f t="shared" si="98"/>
        <v>339.49697153894937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3.5897435897435912</v>
      </c>
      <c r="EJ101" s="13">
        <f>IF('Données projet'!$A$192&gt;35,EJ100+EI101-ER100,IF(A101&lt;'Données projet'!$A$192,$EG$205^A101,IF(A101='Données projet'!$A$192,'Données projet'!$B$192,EJ100+EI101-ER100)))</f>
        <v>300.51282051282067</v>
      </c>
      <c r="EK101" s="18">
        <f>EJ101*VLOOKUP('Données projet'!$B$15,Paramètres!$A$1:$I$89,3,0)*VLOOKUP('Données projet'!$B$15,Paramètres!$A$1:$I$89,5,0)</f>
        <v>201.58400000000009</v>
      </c>
      <c r="EL101" s="14">
        <f t="shared" si="99"/>
        <v>50.092122991789054</v>
      </c>
      <c r="EM101" s="22">
        <f t="shared" si="73"/>
        <v>438.33591421069946</v>
      </c>
      <c r="EN101" s="62">
        <f t="shared" si="74"/>
        <v>731.66924754403271</v>
      </c>
      <c r="EO101" s="62">
        <f ca="1">AVERAGE(OFFSET($EN$3,0,0,'Données projet'!$E$15+1,1))-AVERAGE(OFFSET($H$3,0,0,'Données projet'!$E$15+1,1))</f>
        <v>312.06797204903796</v>
      </c>
      <c r="EP101" s="62">
        <f t="shared" si="100"/>
        <v>258.20189001775151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4.9000000000000004</v>
      </c>
      <c r="FE101" s="13">
        <f>IF('Données projet'!$A$218&gt;35,FE100+FD101-FM100,IF(A101&lt;'Données projet'!$A$218,$FB$205^A101,IF(A101='Données projet'!$A$218,'Données projet'!$B$218,FE100+FD101-FM100)))</f>
        <v>293.19999999999987</v>
      </c>
      <c r="FF101" s="18">
        <f>FE101*VLOOKUP('Données projet'!$B$16,Paramètres!$A$1:$I$89,3,0)*VLOOKUP('Données projet'!$B$16,Paramètres!$A$1:$I$89,5,0)</f>
        <v>283.58303999999993</v>
      </c>
      <c r="FG101" s="14">
        <f t="shared" si="101"/>
        <v>67.723646968605209</v>
      </c>
      <c r="FH101" s="22">
        <f t="shared" si="76"/>
        <v>611.85914647032064</v>
      </c>
      <c r="FI101" s="62">
        <f t="shared" si="77"/>
        <v>905.1924798036539</v>
      </c>
      <c r="FJ101" s="62">
        <f ca="1">AVERAGE(OFFSET($FI$3,0,0,'Données projet'!$E$16+1,1))-AVERAGE(OFFSET($H$3,0,0,'Données projet'!$E$16+1,1))</f>
        <v>455.50822833641354</v>
      </c>
      <c r="FK101" s="62">
        <f t="shared" si="102"/>
        <v>261.14722581688039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2.2737367544323206E-13</v>
      </c>
      <c r="O102" s="14">
        <f>N102*VLOOKUP('Données projet'!$B$9,Paramètres!$A$1:$I$89,3,0)*VLOOKUP('Données projet'!$B$9,Paramètres!$A$1:$I$89,5,0)</f>
        <v>1.2710188457276673E-13</v>
      </c>
      <c r="P102" s="14">
        <f t="shared" si="87"/>
        <v>1.856866851063998E-12</v>
      </c>
      <c r="Q102" s="22">
        <f t="shared" si="107"/>
        <v>3.4554122145673649E-12</v>
      </c>
      <c r="R102" s="62">
        <f t="shared" si="55"/>
        <v>293.33333333333678</v>
      </c>
      <c r="S102" s="62">
        <f ca="1">AVERAGE(OFFSET($R$3,0,0,'Données projet'!$E$9+1,1))-AVERAGE(OFFSET($H$3,0,0,'Données projet'!$E$9+1,1))</f>
        <v>323.98185264074681</v>
      </c>
      <c r="T102" s="62">
        <f t="shared" si="88"/>
        <v>301.22207291854005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1.1378936560150381</v>
      </c>
      <c r="AA102" s="23">
        <f>EXP(-LN(2)/25)*AA101+(1-EXP(-LN(2)/25))/(LN(2)/25)*Calculateur!V102*Calculateur!X102*VLOOKUP('Données projet'!$B$9,Paramètres!$A$1:$I$89,3,0)*0.475*44/12</f>
        <v>1.2175000440909929</v>
      </c>
      <c r="AB102" s="23">
        <f>EXP(-LN(2)/2)*AB101+(1-EXP(-LN(2)/2))/(LN(2)/2)*V102*Y102*VLOOKUP('Données projet'!$B$9,Paramètres!$A$1:$I$89,3,0)*0.475*44/12</f>
        <v>2.5056824898720094E-10</v>
      </c>
      <c r="AC102" s="24">
        <f t="shared" si="57"/>
        <v>2.3553937003565997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7.5199999999999934</v>
      </c>
      <c r="AI102" s="14">
        <f>IF('Données projet'!$A$62&gt;35,AI101+AH102-AQ101,IF(A102&lt;'Données projet'!$A$62,$AF$205^A102,IF(A102='Données projet'!$A$62,'Données projet'!$B$62,AI101+AH102-AQ101)))</f>
        <v>292.56769230769248</v>
      </c>
      <c r="AJ102" s="14">
        <f>AI102*VLOOKUP('Données projet'!$B$10,Paramètres!$A$1:$I$89,3,0)*VLOOKUP('Données projet'!$B$10,Paramètres!$A$1:$I$89,5,0)</f>
        <v>136.92168000000009</v>
      </c>
      <c r="AK102" s="14">
        <f t="shared" si="89"/>
        <v>35.590895693444274</v>
      </c>
      <c r="AL102" s="22">
        <f t="shared" si="58"/>
        <v>300.45940266608233</v>
      </c>
      <c r="AM102" s="62">
        <f t="shared" si="59"/>
        <v>593.79273599941564</v>
      </c>
      <c r="AN102" s="62">
        <f ca="1">AVERAGE(OFFSET($AM$3,0,0,'Données projet'!$E$10+1,1))-AVERAGE(OFFSET($H$3,0,0,'Données projet'!$E$10+1,1))</f>
        <v>276.78862011733338</v>
      </c>
      <c r="AO102" s="62">
        <f t="shared" si="90"/>
        <v>202.1678469635836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269.72087999999985</v>
      </c>
      <c r="BF102" s="14">
        <f t="shared" si="91"/>
        <v>64.790029413946939</v>
      </c>
      <c r="BG102" s="22">
        <f t="shared" si="61"/>
        <v>582.60650056262409</v>
      </c>
      <c r="BH102" s="62">
        <f t="shared" si="62"/>
        <v>875.93983389595746</v>
      </c>
      <c r="BI102" s="62">
        <f ca="1">AVERAGE(OFFSET($BH$3,0,0,'Données projet'!$E$11+1,1))-AVERAGE(OFFSET($H$3,0,0,'Données projet'!$E$11+1,1))</f>
        <v>428.8489304403459</v>
      </c>
      <c r="BJ102" s="62">
        <f t="shared" si="92"/>
        <v>247.01165577562966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-2.8421709430404007E-13</v>
      </c>
      <c r="BZ102" s="14">
        <f>BY102*VLOOKUP('Données projet'!$B$12,Paramètres!$A$1:$I$89,3,0)*VLOOKUP('Données projet'!$B$12,Paramètres!$A$1:$I$89,5,0)</f>
        <v>-1.69961822393816E-13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289.12367833861299</v>
      </c>
      <c r="CE102" s="62">
        <f t="shared" si="94"/>
        <v>229.06617320689003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1.7067971663398443E-10</v>
      </c>
      <c r="CN102" s="24">
        <f t="shared" si="66"/>
        <v>1.7067971663398443E-10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-4.5224624045658861E-14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370.59298168107364</v>
      </c>
      <c r="CZ102" s="62">
        <f t="shared" si="96"/>
        <v>404.61777090709171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</v>
      </c>
      <c r="DO102" s="13">
        <f>IF('Données projet'!$A$166&gt;35,DO101+DN102-DW101,IF(A102&lt;'Données projet'!$A$166,$DL$205^A102,IF(A102='Données projet'!$A$166,'Données projet'!$B$166,DO101+DN102-DW101)))</f>
        <v>247.99999999999994</v>
      </c>
      <c r="DP102" s="18">
        <f>DO102*VLOOKUP('Données projet'!$B$14,Paramètres!$A$1:$I$89,3,0)*VLOOKUP('Données projet'!$B$14,Paramètres!$A$1:$I$89,5,0)</f>
        <v>216.65280000000001</v>
      </c>
      <c r="DQ102" s="14">
        <f t="shared" si="97"/>
        <v>53.38674047237982</v>
      </c>
      <c r="DR102" s="22">
        <f t="shared" si="70"/>
        <v>470.31886632272813</v>
      </c>
      <c r="DS102" s="62">
        <f t="shared" si="71"/>
        <v>763.65219965606138</v>
      </c>
      <c r="DT102" s="62">
        <f ca="1">AVERAGE(OFFSET($DS$3,0,0,'Données projet'!$E$14+1,1))-AVERAGE(OFFSET($H$3,0,0,'Données projet'!$E$14+1,1))</f>
        <v>341.65872153228599</v>
      </c>
      <c r="DU102" s="62">
        <f t="shared" si="98"/>
        <v>339.49697153894937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3.5897435897435912</v>
      </c>
      <c r="EJ102" s="13">
        <f>IF('Données projet'!$A$192&gt;35,EJ101+EI102-ER101,IF(A102&lt;'Données projet'!$A$192,$EG$205^A102,IF(A102='Données projet'!$A$192,'Données projet'!$B$192,EJ101+EI102-ER101)))</f>
        <v>304.10256410256426</v>
      </c>
      <c r="EK102" s="18">
        <f>EJ102*VLOOKUP('Données projet'!$B$15,Paramètres!$A$1:$I$89,3,0)*VLOOKUP('Données projet'!$B$15,Paramètres!$A$1:$I$89,5,0)</f>
        <v>203.99200000000013</v>
      </c>
      <c r="EL102" s="14">
        <f t="shared" si="99"/>
        <v>50.620476831708423</v>
      </c>
      <c r="EM102" s="22">
        <f t="shared" si="73"/>
        <v>443.45006381522575</v>
      </c>
      <c r="EN102" s="62">
        <f t="shared" si="74"/>
        <v>736.78339714855906</v>
      </c>
      <c r="EO102" s="62">
        <f ca="1">AVERAGE(OFFSET($EN$3,0,0,'Données projet'!$E$15+1,1))-AVERAGE(OFFSET($H$3,0,0,'Données projet'!$E$15+1,1))</f>
        <v>312.06797204903796</v>
      </c>
      <c r="EP102" s="62">
        <f t="shared" si="100"/>
        <v>258.20189001775151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4.9000000000000004</v>
      </c>
      <c r="FE102" s="13">
        <f>IF('Données projet'!$A$218&gt;35,FE101+FD102-FM101,IF(A102&lt;'Données projet'!$A$218,$FB$205^A102,IF(A102='Données projet'!$A$218,'Données projet'!$B$218,FE101+FD102-FM101)))</f>
        <v>298.09999999999985</v>
      </c>
      <c r="FF102" s="18">
        <f>FE102*VLOOKUP('Données projet'!$B$16,Paramètres!$A$1:$I$89,3,0)*VLOOKUP('Données projet'!$B$16,Paramètres!$A$1:$I$89,5,0)</f>
        <v>288.32231999999988</v>
      </c>
      <c r="FG102" s="14">
        <f t="shared" si="101"/>
        <v>68.722745094590621</v>
      </c>
      <c r="FH102" s="22">
        <f t="shared" si="76"/>
        <v>621.85348837307845</v>
      </c>
      <c r="FI102" s="62">
        <f t="shared" si="77"/>
        <v>915.18682170641182</v>
      </c>
      <c r="FJ102" s="62">
        <f ca="1">AVERAGE(OFFSET($FI$3,0,0,'Données projet'!$E$16+1,1))-AVERAGE(OFFSET($H$3,0,0,'Données projet'!$E$16+1,1))</f>
        <v>455.50822833641354</v>
      </c>
      <c r="FK102" s="62">
        <f t="shared" si="102"/>
        <v>261.14722581688039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2.2737367544323206E-13</v>
      </c>
      <c r="O103" s="14">
        <f>N103*VLOOKUP('Données projet'!$B$9,Paramètres!$A$1:$I$89,3,0)*VLOOKUP('Données projet'!$B$9,Paramètres!$A$1:$I$89,5,0)</f>
        <v>1.2710188457276673E-13</v>
      </c>
      <c r="P103" s="14">
        <f t="shared" si="87"/>
        <v>1.856866851063998E-12</v>
      </c>
      <c r="Q103" s="22">
        <f t="shared" si="107"/>
        <v>3.4554122145673649E-12</v>
      </c>
      <c r="R103" s="62">
        <f t="shared" si="55"/>
        <v>293.33333333333678</v>
      </c>
      <c r="S103" s="62">
        <f ca="1">AVERAGE(OFFSET($R$3,0,0,'Données projet'!$E$9+1,1))-AVERAGE(OFFSET($H$3,0,0,'Données projet'!$E$9+1,1))</f>
        <v>323.98185264074681</v>
      </c>
      <c r="T103" s="62">
        <f t="shared" si="88"/>
        <v>301.22207291854005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1.1155802554671819</v>
      </c>
      <c r="AA103" s="23">
        <f>EXP(-LN(2)/25)*AA102+(1-EXP(-LN(2)/25))/(LN(2)/25)*Calculateur!V103*Calculateur!X103*VLOOKUP('Données projet'!$B$9,Paramètres!$A$1:$I$89,3,0)*0.475*44/12</f>
        <v>1.1842074413597801</v>
      </c>
      <c r="AB103" s="23">
        <f>EXP(-LN(2)/2)*AB102+(1-EXP(-LN(2)/2))/(LN(2)/2)*V103*Y103*VLOOKUP('Données projet'!$B$9,Paramètres!$A$1:$I$89,3,0)*0.475*44/12</f>
        <v>1.7717850800888906E-10</v>
      </c>
      <c r="AC103" s="24">
        <f t="shared" si="57"/>
        <v>2.2997876970041404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7.5199999999999934</v>
      </c>
      <c r="AI103" s="14">
        <f>IF('Données projet'!$A$62&gt;35,AI102+AH103-AQ102,IF(A103&lt;'Données projet'!$A$62,$AF$205^A103,IF(A103='Données projet'!$A$62,'Données projet'!$B$62,AI102+AH103-AQ102)))</f>
        <v>300.08769230769246</v>
      </c>
      <c r="AJ103" s="14">
        <f>AI103*VLOOKUP('Données projet'!$B$10,Paramètres!$A$1:$I$89,3,0)*VLOOKUP('Données projet'!$B$10,Paramètres!$A$1:$I$89,5,0)</f>
        <v>140.44104000000007</v>
      </c>
      <c r="AK103" s="14">
        <f t="shared" si="89"/>
        <v>36.398023062778648</v>
      </c>
      <c r="AL103" s="22">
        <f t="shared" si="58"/>
        <v>307.99470150100632</v>
      </c>
      <c r="AM103" s="62">
        <f t="shared" si="59"/>
        <v>601.32803483433963</v>
      </c>
      <c r="AN103" s="62">
        <f ca="1">AVERAGE(OFFSET($AM$3,0,0,'Données projet'!$E$10+1,1))-AVERAGE(OFFSET($H$3,0,0,'Données projet'!$E$10+1,1))</f>
        <v>276.78862011733338</v>
      </c>
      <c r="AO103" s="62">
        <f t="shared" si="90"/>
        <v>202.1678469635836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274.15439999999984</v>
      </c>
      <c r="BF103" s="14">
        <f t="shared" si="91"/>
        <v>65.730152764515779</v>
      </c>
      <c r="BG103" s="22">
        <f t="shared" si="61"/>
        <v>591.9655960648646</v>
      </c>
      <c r="BH103" s="62">
        <f t="shared" si="62"/>
        <v>885.29892939819797</v>
      </c>
      <c r="BI103" s="62">
        <f ca="1">AVERAGE(OFFSET($BH$3,0,0,'Données projet'!$E$11+1,1))-AVERAGE(OFFSET($H$3,0,0,'Données projet'!$E$11+1,1))</f>
        <v>428.8489304403459</v>
      </c>
      <c r="BJ103" s="62">
        <f t="shared" si="92"/>
        <v>247.01165577562966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-2.8421709430404007E-13</v>
      </c>
      <c r="BZ103" s="14">
        <f>BY103*VLOOKUP('Données projet'!$B$12,Paramètres!$A$1:$I$89,3,0)*VLOOKUP('Données projet'!$B$12,Paramètres!$A$1:$I$89,5,0)</f>
        <v>-1.69961822393816E-13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289.12367833861299</v>
      </c>
      <c r="CE103" s="62">
        <f t="shared" si="94"/>
        <v>229.06617320689003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1.2068878504288876E-10</v>
      </c>
      <c r="CN103" s="24">
        <f t="shared" si="66"/>
        <v>1.2068878504288876E-10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-4.5224624045658861E-14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370.59298168107364</v>
      </c>
      <c r="CZ103" s="62">
        <f t="shared" si="96"/>
        <v>404.61777090709171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251</v>
      </c>
      <c r="DM103" s="13">
        <f>VLOOKUP(A103,'Données projet'!$A$165:$I$185,9,0)</f>
        <v>3</v>
      </c>
      <c r="DN103" s="13">
        <f t="array" ref="DN103">INDEX(DM:DM,MIN(IF(ISNUMBER(DM103:DM299),ROW(DM103:DM299),"")))</f>
        <v>3</v>
      </c>
      <c r="DO103" s="13">
        <f>IF('Données projet'!$A$166&gt;35,DO102+DN103-DW102,IF(A103&lt;'Données projet'!$A$166,$DL$205^A103,IF(A103='Données projet'!$A$166,'Données projet'!$B$166,DO102+DN103-DW102)))</f>
        <v>250.99999999999994</v>
      </c>
      <c r="DP103" s="18">
        <f>DO103*VLOOKUP('Données projet'!$B$14,Paramètres!$A$1:$I$89,3,0)*VLOOKUP('Données projet'!$B$14,Paramètres!$A$1:$I$89,5,0)</f>
        <v>219.27359999999996</v>
      </c>
      <c r="DQ103" s="14">
        <f t="shared" si="97"/>
        <v>53.956975893220125</v>
      </c>
      <c r="DR103" s="22">
        <f t="shared" si="70"/>
        <v>475.87658634735823</v>
      </c>
      <c r="DS103" s="62">
        <f t="shared" si="71"/>
        <v>769.20991968069154</v>
      </c>
      <c r="DT103" s="62">
        <f ca="1">AVERAGE(OFFSET($DS$3,0,0,'Données projet'!$E$14+1,1))-AVERAGE(OFFSET($H$3,0,0,'Données projet'!$E$14+1,1))</f>
        <v>341.65872153228599</v>
      </c>
      <c r="DU103" s="62">
        <f t="shared" si="98"/>
        <v>339.49697153894937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251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307.69230769230768</v>
      </c>
      <c r="EH103" s="13">
        <f>VLOOKUP(A103,'Données projet'!$A$191:$I$211,9,0)</f>
        <v>3.5897435897435912</v>
      </c>
      <c r="EI103" s="13">
        <f t="array" ref="EI103">INDEX(EH:EH,MIN(IF(ISNUMBER(EH103:EH299),ROW(EH103:EH299),"")))</f>
        <v>3.5897435897435912</v>
      </c>
      <c r="EJ103" s="13">
        <f>IF('Données projet'!$A$192&gt;35,EJ102+EI103-ER102,IF(A103&lt;'Données projet'!$A$192,$EG$205^A103,IF(A103='Données projet'!$A$192,'Données projet'!$B$192,EJ102+EI103-ER102)))</f>
        <v>307.69230769230785</v>
      </c>
      <c r="EK103" s="18">
        <f>EJ103*VLOOKUP('Données projet'!$B$15,Paramètres!$A$1:$I$89,3,0)*VLOOKUP('Données projet'!$B$15,Paramètres!$A$1:$I$89,5,0)</f>
        <v>206.40000000000012</v>
      </c>
      <c r="EL103" s="14">
        <f t="shared" si="99"/>
        <v>51.148105178123259</v>
      </c>
      <c r="EM103" s="22">
        <f t="shared" si="73"/>
        <v>448.56294985189817</v>
      </c>
      <c r="EN103" s="62">
        <f t="shared" si="74"/>
        <v>741.89628318523148</v>
      </c>
      <c r="EO103" s="62">
        <f ca="1">AVERAGE(OFFSET($EN$3,0,0,'Données projet'!$E$15+1,1))-AVERAGE(OFFSET($H$3,0,0,'Données projet'!$E$15+1,1))</f>
        <v>312.06797204903796</v>
      </c>
      <c r="EP103" s="62">
        <f t="shared" si="100"/>
        <v>258.20189001775151</v>
      </c>
      <c r="EQ103" s="16">
        <f>IF(ISNA(VLOOKUP(A103,'Données projet'!$A$191:$I$211,3,0)),0,VLOOKUP(A103,'Données projet'!$A$191:$I$211,3,0))</f>
        <v>9</v>
      </c>
      <c r="ER103" s="16">
        <f>IF(ISNA(VLOOKUP(A103,'Données projet'!$A$191:$I$211,4,0)),0,VLOOKUP(A103,'Données projet'!$A$191:$I$211,4,0))</f>
        <v>22.435897435897434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303</v>
      </c>
      <c r="FC103" s="13">
        <f>VLOOKUP(A103,'Données projet'!$A$217:$I$237,9,0)</f>
        <v>4.9000000000000004</v>
      </c>
      <c r="FD103" s="13">
        <f t="array" ref="FD103">INDEX(FC:FC,MIN(IF(ISNUMBER(FC103:FC299),ROW(FC103:FC299),"")))</f>
        <v>4.9000000000000004</v>
      </c>
      <c r="FE103" s="13">
        <f>IF('Données projet'!$A$218&gt;35,FE102+FD103-FM102,IF(A103&lt;'Données projet'!$A$218,$FB$205^A103,IF(A103='Données projet'!$A$218,'Données projet'!$B$218,FE102+FD103-FM102)))</f>
        <v>302.99999999999983</v>
      </c>
      <c r="FF103" s="18">
        <f>FE103*VLOOKUP('Données projet'!$B$16,Paramètres!$A$1:$I$89,3,0)*VLOOKUP('Données projet'!$B$16,Paramètres!$A$1:$I$89,5,0)</f>
        <v>293.06159999999983</v>
      </c>
      <c r="FG103" s="14">
        <f t="shared" si="101"/>
        <v>69.719933365116546</v>
      </c>
      <c r="FH103" s="22">
        <f t="shared" si="76"/>
        <v>631.84450394424437</v>
      </c>
      <c r="FI103" s="62">
        <f t="shared" si="77"/>
        <v>925.17783727757774</v>
      </c>
      <c r="FJ103" s="62">
        <f ca="1">AVERAGE(OFFSET($FI$3,0,0,'Données projet'!$E$16+1,1))-AVERAGE(OFFSET($H$3,0,0,'Données projet'!$E$16+1,1))</f>
        <v>455.50822833641354</v>
      </c>
      <c r="FK103" s="62">
        <f t="shared" si="102"/>
        <v>261.14722581688039</v>
      </c>
      <c r="FL103" s="16">
        <f>IF(ISNA(VLOOKUP(A103,'Données projet'!$A$217:$I$237,3,0)),0,VLOOKUP(A103,'Données projet'!$A$217:$I$237,3,0))</f>
        <v>8</v>
      </c>
      <c r="FM103" s="16">
        <f>IF(ISNA(VLOOKUP(A103,'Données projet'!$A$217:$I$237,4,0)),0,VLOOKUP(A103,'Données projet'!$A$217:$I$237,4,0))</f>
        <v>42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2.2737367544323206E-13</v>
      </c>
      <c r="O104" s="14">
        <f>N104*VLOOKUP('Données projet'!$B$9,Paramètres!$A$1:$I$89,3,0)*VLOOKUP('Données projet'!$B$9,Paramètres!$A$1:$I$89,5,0)</f>
        <v>1.2710188457276673E-13</v>
      </c>
      <c r="P104" s="14">
        <f t="shared" si="87"/>
        <v>1.856866851063998E-12</v>
      </c>
      <c r="Q104" s="22">
        <f t="shared" si="107"/>
        <v>3.4554122145673649E-12</v>
      </c>
      <c r="R104" s="62">
        <f t="shared" si="55"/>
        <v>293.33333333333678</v>
      </c>
      <c r="S104" s="62">
        <f ca="1">AVERAGE(OFFSET($R$3,0,0,'Données projet'!$E$9+1,1))-AVERAGE(OFFSET($H$3,0,0,'Données projet'!$E$9+1,1))</f>
        <v>323.98185264074681</v>
      </c>
      <c r="T104" s="62">
        <f t="shared" si="88"/>
        <v>301.22207291854005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1.0937044070942388</v>
      </c>
      <c r="AA104" s="23">
        <f>EXP(-LN(2)/25)*AA103+(1-EXP(-LN(2)/25))/(LN(2)/25)*Calculateur!V104*Calculateur!X104*VLOOKUP('Données projet'!$B$9,Paramètres!$A$1:$I$89,3,0)*0.475*44/12</f>
        <v>1.151825226601034</v>
      </c>
      <c r="AB104" s="23">
        <f>EXP(-LN(2)/2)*AB103+(1-EXP(-LN(2)/2))/(LN(2)/2)*V104*Y104*VLOOKUP('Données projet'!$B$9,Paramètres!$A$1:$I$89,3,0)*0.475*44/12</f>
        <v>1.2528412449360047E-10</v>
      </c>
      <c r="AC104" s="24">
        <f t="shared" si="57"/>
        <v>2.2455296338205568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>
        <f>VLOOKUP(A104,'Données projet'!$A$61:$I$81,2,0)</f>
        <v>307.60769230769228</v>
      </c>
      <c r="AG104" s="13">
        <f>VLOOKUP(A104,'Données projet'!$A$61:$I$81,9,0)</f>
        <v>7.5199999999999934</v>
      </c>
      <c r="AH104" s="13">
        <f t="array" ref="AH104">INDEX(AG:AG,MIN(IF(ISNUMBER(AG104:AG300),ROW(AG104:AG300),"")))</f>
        <v>7.5199999999999934</v>
      </c>
      <c r="AI104" s="14">
        <f>IF('Données projet'!$A$62&gt;35,AI103+AH104-AQ103,IF(A104&lt;'Données projet'!$A$62,$AF$205^A104,IF(A104='Données projet'!$A$62,'Données projet'!$B$62,AI103+AH104-AQ103)))</f>
        <v>307.60769230769245</v>
      </c>
      <c r="AJ104" s="14">
        <f>AI104*VLOOKUP('Données projet'!$B$10,Paramètres!$A$1:$I$89,3,0)*VLOOKUP('Données projet'!$B$10,Paramètres!$A$1:$I$89,5,0)</f>
        <v>143.96040000000008</v>
      </c>
      <c r="AK104" s="14">
        <f t="shared" si="89"/>
        <v>37.202799286612269</v>
      </c>
      <c r="AL104" s="22">
        <f t="shared" si="58"/>
        <v>315.52590542418318</v>
      </c>
      <c r="AM104" s="62">
        <f t="shared" si="59"/>
        <v>608.85923875751655</v>
      </c>
      <c r="AN104" s="62">
        <f ca="1">AVERAGE(OFFSET($AM$3,0,0,'Données projet'!$E$10+1,1))-AVERAGE(OFFSET($H$3,0,0,'Données projet'!$E$10+1,1))</f>
        <v>276.78862011733338</v>
      </c>
      <c r="AO104" s="62">
        <f t="shared" si="90"/>
        <v>202.1678469635836</v>
      </c>
      <c r="AP104" s="16">
        <f>IF(ISNA(VLOOKUP(A104,'Données projet'!$A$61:$I$81,3,0)),0,VLOOKUP(A104,'Données projet'!$A$61:$I$81,3,0))</f>
        <v>8</v>
      </c>
      <c r="AQ104" s="16">
        <f>IF(ISNA(VLOOKUP(A104,'Données projet'!$A$61:$I$81,4,0)),0,VLOOKUP(A104,'Données projet'!$A$61:$I$81,4,0))</f>
        <v>307.60769230769228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240.13391999999982</v>
      </c>
      <c r="BF104" s="14">
        <f t="shared" si="91"/>
        <v>58.468343087048559</v>
      </c>
      <c r="BG104" s="22">
        <f t="shared" si="61"/>
        <v>520.06560820994252</v>
      </c>
      <c r="BH104" s="62">
        <f t="shared" si="62"/>
        <v>813.3989415432759</v>
      </c>
      <c r="BI104" s="62">
        <f ca="1">AVERAGE(OFFSET($BH$3,0,0,'Données projet'!$E$11+1,1))-AVERAGE(OFFSET($H$3,0,0,'Données projet'!$E$11+1,1))</f>
        <v>428.8489304403459</v>
      </c>
      <c r="BJ104" s="62">
        <f t="shared" si="92"/>
        <v>247.01165577562966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-2.8421709430404007E-13</v>
      </c>
      <c r="BZ104" s="14">
        <f>BY104*VLOOKUP('Données projet'!$B$12,Paramètres!$A$1:$I$89,3,0)*VLOOKUP('Données projet'!$B$12,Paramètres!$A$1:$I$89,5,0)</f>
        <v>-1.69961822393816E-13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289.12367833861299</v>
      </c>
      <c r="CE104" s="62">
        <f t="shared" si="94"/>
        <v>229.06617320689003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8.5339858316992214E-11</v>
      </c>
      <c r="CN104" s="24">
        <f t="shared" si="66"/>
        <v>8.5339858316992214E-11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-4.5224624045658861E-14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370.59298168107364</v>
      </c>
      <c r="CZ104" s="62">
        <f t="shared" si="96"/>
        <v>404.61777090709171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-5.6843418860808015E-14</v>
      </c>
      <c r="DP104" s="18">
        <f>DO104*VLOOKUP('Données projet'!$B$14,Paramètres!$A$1:$I$89,3,0)*VLOOKUP('Données projet'!$B$14,Paramètres!$A$1:$I$89,5,0)</f>
        <v>-4.9658410716801891E-14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341.65872153228599</v>
      </c>
      <c r="DU104" s="62">
        <f t="shared" si="98"/>
        <v>339.49697153894937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3.2051282051282102</v>
      </c>
      <c r="EJ104" s="13">
        <f>IF('Données projet'!$A$192&gt;35,EJ103+EI104-ER103,IF(A104&lt;'Données projet'!$A$192,$EG$205^A104,IF(A104='Données projet'!$A$192,'Données projet'!$B$192,EJ103+EI104-ER103)))</f>
        <v>288.46153846153862</v>
      </c>
      <c r="EK104" s="18">
        <f>EJ104*VLOOKUP('Données projet'!$B$15,Paramètres!$A$1:$I$89,3,0)*VLOOKUP('Données projet'!$B$15,Paramètres!$A$1:$I$89,5,0)</f>
        <v>193.50000000000011</v>
      </c>
      <c r="EL104" s="14">
        <f t="shared" si="99"/>
        <v>48.312929194247467</v>
      </c>
      <c r="EM104" s="22">
        <f t="shared" si="73"/>
        <v>421.15751834664781</v>
      </c>
      <c r="EN104" s="62">
        <f t="shared" si="74"/>
        <v>714.49085167998112</v>
      </c>
      <c r="EO104" s="62">
        <f ca="1">AVERAGE(OFFSET($EN$3,0,0,'Données projet'!$E$15+1,1))-AVERAGE(OFFSET($H$3,0,0,'Données projet'!$E$15+1,1))</f>
        <v>312.06797204903796</v>
      </c>
      <c r="EP104" s="62">
        <f t="shared" si="100"/>
        <v>258.20189001775151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4.4000000000000004</v>
      </c>
      <c r="FE104" s="13">
        <f>IF('Données projet'!$A$218&gt;35,FE103+FD104-FM103,IF(A104&lt;'Données projet'!$A$218,$FB$205^A104,IF(A104='Données projet'!$A$218,'Données projet'!$B$218,FE103+FD104-FM103)))</f>
        <v>265.39999999999981</v>
      </c>
      <c r="FF104" s="18">
        <f>FE104*VLOOKUP('Données projet'!$B$16,Paramètres!$A$1:$I$89,3,0)*VLOOKUP('Données projet'!$B$16,Paramètres!$A$1:$I$89,5,0)</f>
        <v>256.69487999999984</v>
      </c>
      <c r="FG104" s="14">
        <f t="shared" si="101"/>
        <v>62.017336223177502</v>
      </c>
      <c r="FH104" s="22">
        <f t="shared" si="76"/>
        <v>555.09044325536718</v>
      </c>
      <c r="FI104" s="62">
        <f t="shared" si="77"/>
        <v>848.42377658870055</v>
      </c>
      <c r="FJ104" s="62">
        <f ca="1">AVERAGE(OFFSET($FI$3,0,0,'Données projet'!$E$16+1,1))-AVERAGE(OFFSET($H$3,0,0,'Données projet'!$E$16+1,1))</f>
        <v>455.50822833641354</v>
      </c>
      <c r="FK104" s="62">
        <f t="shared" si="102"/>
        <v>261.14722581688039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2.2737367544323206E-13</v>
      </c>
      <c r="O105" s="14">
        <f>N105*VLOOKUP('Données projet'!$B$9,Paramètres!$A$1:$I$89,3,0)*VLOOKUP('Données projet'!$B$9,Paramètres!$A$1:$I$89,5,0)</f>
        <v>1.2710188457276673E-13</v>
      </c>
      <c r="P105" s="14">
        <f t="shared" si="87"/>
        <v>1.856866851063998E-12</v>
      </c>
      <c r="Q105" s="22">
        <f t="shared" si="107"/>
        <v>3.4554122145673649E-12</v>
      </c>
      <c r="R105" s="62">
        <f t="shared" si="55"/>
        <v>293.33333333333678</v>
      </c>
      <c r="S105" s="62">
        <f ca="1">AVERAGE(OFFSET($R$3,0,0,'Données projet'!$E$9+1,1))-AVERAGE(OFFSET($H$3,0,0,'Données projet'!$E$9+1,1))</f>
        <v>323.98185264074681</v>
      </c>
      <c r="T105" s="62">
        <f t="shared" si="88"/>
        <v>301.22207291854005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1.0722575307649391</v>
      </c>
      <c r="AA105" s="23">
        <f>EXP(-LN(2)/25)*AA104+(1-EXP(-LN(2)/25))/(LN(2)/25)*Calculateur!V105*Calculateur!X105*VLOOKUP('Données projet'!$B$9,Paramètres!$A$1:$I$89,3,0)*0.475*44/12</f>
        <v>1.1203285052077727</v>
      </c>
      <c r="AB105" s="23">
        <f>EXP(-LN(2)/2)*AB104+(1-EXP(-LN(2)/2))/(LN(2)/2)*V105*Y105*VLOOKUP('Données projet'!$B$9,Paramètres!$A$1:$I$89,3,0)*0.475*44/12</f>
        <v>8.8589254004444529E-11</v>
      </c>
      <c r="AC105" s="24">
        <f t="shared" si="57"/>
        <v>2.192586036061301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1.7053025658242404E-13</v>
      </c>
      <c r="AJ105" s="14">
        <f>AI105*VLOOKUP('Données projet'!$B$10,Paramètres!$A$1:$I$89,3,0)*VLOOKUP('Données projet'!$B$10,Paramètres!$A$1:$I$89,5,0)</f>
        <v>7.9808160080574461E-14</v>
      </c>
      <c r="AK105" s="14">
        <f t="shared" si="89"/>
        <v>1.2308384591775343E-12</v>
      </c>
      <c r="AL105" s="22">
        <f t="shared" si="58"/>
        <v>2.282709528541206E-12</v>
      </c>
      <c r="AM105" s="62">
        <f t="shared" si="59"/>
        <v>293.33333333333559</v>
      </c>
      <c r="AN105" s="62">
        <f ca="1">AVERAGE(OFFSET($AM$3,0,0,'Données projet'!$E$10+1,1))-AVERAGE(OFFSET($H$3,0,0,'Données projet'!$E$10+1,1))</f>
        <v>276.78862011733338</v>
      </c>
      <c r="AO105" s="62">
        <f t="shared" si="90"/>
        <v>202.1678469635836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244.11503999999979</v>
      </c>
      <c r="BF105" s="14">
        <f t="shared" si="91"/>
        <v>59.324023461759012</v>
      </c>
      <c r="BG105" s="22">
        <f t="shared" si="61"/>
        <v>528.48970219589648</v>
      </c>
      <c r="BH105" s="62">
        <f t="shared" si="62"/>
        <v>821.82303552922986</v>
      </c>
      <c r="BI105" s="62">
        <f ca="1">AVERAGE(OFFSET($BH$3,0,0,'Données projet'!$E$11+1,1))-AVERAGE(OFFSET($H$3,0,0,'Données projet'!$E$11+1,1))</f>
        <v>428.8489304403459</v>
      </c>
      <c r="BJ105" s="62">
        <f t="shared" si="92"/>
        <v>247.01165577562966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-2.8421709430404007E-13</v>
      </c>
      <c r="BZ105" s="14">
        <f>BY105*VLOOKUP('Données projet'!$B$12,Paramètres!$A$1:$I$89,3,0)*VLOOKUP('Données projet'!$B$12,Paramètres!$A$1:$I$89,5,0)</f>
        <v>-1.69961822393816E-13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289.12367833861299</v>
      </c>
      <c r="CE105" s="62">
        <f t="shared" si="94"/>
        <v>229.06617320689003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6.034439252144438E-11</v>
      </c>
      <c r="CN105" s="24">
        <f t="shared" si="66"/>
        <v>6.034439252144438E-11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-4.5224624045658861E-14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370.59298168107364</v>
      </c>
      <c r="CZ105" s="62">
        <f t="shared" si="96"/>
        <v>404.61777090709171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-5.6843418860808015E-14</v>
      </c>
      <c r="DP105" s="18">
        <f>DO105*VLOOKUP('Données projet'!$B$14,Paramètres!$A$1:$I$89,3,0)*VLOOKUP('Données projet'!$B$14,Paramètres!$A$1:$I$89,5,0)</f>
        <v>-4.9658410716801891E-14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341.65872153228599</v>
      </c>
      <c r="DU105" s="62">
        <f t="shared" si="98"/>
        <v>339.49697153894937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3.2051282051282102</v>
      </c>
      <c r="EJ105" s="13">
        <f>IF('Données projet'!$A$192&gt;35,EJ104+EI105-ER104,IF(A105&lt;'Données projet'!$A$192,$EG$205^A105,IF(A105='Données projet'!$A$192,'Données projet'!$B$192,EJ104+EI105-ER104)))</f>
        <v>291.66666666666686</v>
      </c>
      <c r="EK105" s="18">
        <f>EJ105*VLOOKUP('Données projet'!$B$15,Paramètres!$A$1:$I$89,3,0)*VLOOKUP('Données projet'!$B$15,Paramètres!$A$1:$I$89,5,0)</f>
        <v>195.65000000000012</v>
      </c>
      <c r="EL105" s="14">
        <f t="shared" si="99"/>
        <v>48.786949327182981</v>
      </c>
      <c r="EM105" s="22">
        <f t="shared" si="73"/>
        <v>425.72768674484382</v>
      </c>
      <c r="EN105" s="62">
        <f t="shared" si="74"/>
        <v>719.06102007817708</v>
      </c>
      <c r="EO105" s="62">
        <f ca="1">AVERAGE(OFFSET($EN$3,0,0,'Données projet'!$E$15+1,1))-AVERAGE(OFFSET($H$3,0,0,'Données projet'!$E$15+1,1))</f>
        <v>312.06797204903796</v>
      </c>
      <c r="EP105" s="62">
        <f t="shared" si="100"/>
        <v>258.20189001775151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4.4000000000000004</v>
      </c>
      <c r="FE105" s="13">
        <f>IF('Données projet'!$A$218&gt;35,FE104+FD105-FM104,IF(A105&lt;'Données projet'!$A$218,$FB$205^A105,IF(A105='Données projet'!$A$218,'Données projet'!$B$218,FE104+FD105-FM104)))</f>
        <v>269.79999999999978</v>
      </c>
      <c r="FF105" s="18">
        <f>FE105*VLOOKUP('Données projet'!$B$16,Paramètres!$A$1:$I$89,3,0)*VLOOKUP('Données projet'!$B$16,Paramètres!$A$1:$I$89,5,0)</f>
        <v>260.95055999999983</v>
      </c>
      <c r="FG105" s="14">
        <f t="shared" si="101"/>
        <v>62.924955880176938</v>
      </c>
      <c r="FH105" s="22">
        <f t="shared" si="76"/>
        <v>564.08319015797451</v>
      </c>
      <c r="FI105" s="62">
        <f t="shared" si="77"/>
        <v>857.41652349130777</v>
      </c>
      <c r="FJ105" s="62">
        <f ca="1">AVERAGE(OFFSET($FI$3,0,0,'Données projet'!$E$16+1,1))-AVERAGE(OFFSET($H$3,0,0,'Données projet'!$E$16+1,1))</f>
        <v>455.50822833641354</v>
      </c>
      <c r="FK105" s="62">
        <f t="shared" si="102"/>
        <v>261.14722581688039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2.2737367544323206E-13</v>
      </c>
      <c r="O106" s="14">
        <f>N106*VLOOKUP('Données projet'!$B$9,Paramètres!$A$1:$I$89,3,0)*VLOOKUP('Données projet'!$B$9,Paramètres!$A$1:$I$89,5,0)</f>
        <v>1.2710188457276673E-13</v>
      </c>
      <c r="P106" s="14">
        <f t="shared" si="87"/>
        <v>1.856866851063998E-12</v>
      </c>
      <c r="Q106" s="22">
        <f t="shared" si="107"/>
        <v>3.4554122145673649E-12</v>
      </c>
      <c r="R106" s="62">
        <f t="shared" si="55"/>
        <v>293.33333333333678</v>
      </c>
      <c r="S106" s="62">
        <f ca="1">AVERAGE(OFFSET($R$3,0,0,'Données projet'!$E$9+1,1))-AVERAGE(OFFSET($H$3,0,0,'Données projet'!$E$9+1,1))</f>
        <v>323.98185264074681</v>
      </c>
      <c r="T106" s="62">
        <f t="shared" si="88"/>
        <v>301.22207291854005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1.051231214599154</v>
      </c>
      <c r="AA106" s="23">
        <f>EXP(-LN(2)/25)*AA105+(1-EXP(-LN(2)/25))/(LN(2)/25)*Calculateur!V106*Calculateur!X106*VLOOKUP('Données projet'!$B$9,Paramètres!$A$1:$I$89,3,0)*0.475*44/12</f>
        <v>1.0896930633173507</v>
      </c>
      <c r="AB106" s="23">
        <f>EXP(-LN(2)/2)*AB105+(1-EXP(-LN(2)/2))/(LN(2)/2)*V106*Y106*VLOOKUP('Données projet'!$B$9,Paramètres!$A$1:$I$89,3,0)*0.475*44/12</f>
        <v>6.2642062246800235E-11</v>
      </c>
      <c r="AC106" s="24">
        <f t="shared" si="57"/>
        <v>2.1409242779791469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1.7053025658242404E-13</v>
      </c>
      <c r="AJ106" s="14">
        <f>AI106*VLOOKUP('Données projet'!$B$10,Paramètres!$A$1:$I$89,3,0)*VLOOKUP('Données projet'!$B$10,Paramètres!$A$1:$I$89,5,0)</f>
        <v>7.9808160080574461E-14</v>
      </c>
      <c r="AK106" s="14">
        <f t="shared" si="89"/>
        <v>1.2308384591775343E-12</v>
      </c>
      <c r="AL106" s="22">
        <f t="shared" si="58"/>
        <v>2.282709528541206E-12</v>
      </c>
      <c r="AM106" s="62">
        <f t="shared" si="59"/>
        <v>293.33333333333559</v>
      </c>
      <c r="AN106" s="62">
        <f ca="1">AVERAGE(OFFSET($AM$3,0,0,'Données projet'!$E$10+1,1))-AVERAGE(OFFSET($H$3,0,0,'Données projet'!$E$10+1,1))</f>
        <v>276.78862011733338</v>
      </c>
      <c r="AO106" s="62">
        <f t="shared" si="90"/>
        <v>202.1678469635836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248.0961599999998</v>
      </c>
      <c r="BF106" s="14">
        <f t="shared" si="91"/>
        <v>60.178080967364686</v>
      </c>
      <c r="BG106" s="22">
        <f t="shared" si="61"/>
        <v>536.91096968482657</v>
      </c>
      <c r="BH106" s="62">
        <f t="shared" si="62"/>
        <v>830.24430301815983</v>
      </c>
      <c r="BI106" s="62">
        <f ca="1">AVERAGE(OFFSET($BH$3,0,0,'Données projet'!$E$11+1,1))-AVERAGE(OFFSET($H$3,0,0,'Données projet'!$E$11+1,1))</f>
        <v>428.8489304403459</v>
      </c>
      <c r="BJ106" s="62">
        <f t="shared" si="92"/>
        <v>247.01165577562966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-2.8421709430404007E-13</v>
      </c>
      <c r="BZ106" s="14">
        <f>BY106*VLOOKUP('Données projet'!$B$12,Paramètres!$A$1:$I$89,3,0)*VLOOKUP('Données projet'!$B$12,Paramètres!$A$1:$I$89,5,0)</f>
        <v>-1.69961822393816E-13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289.12367833861299</v>
      </c>
      <c r="CE106" s="62">
        <f t="shared" si="94"/>
        <v>229.06617320689003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4.2669929158496107E-11</v>
      </c>
      <c r="CN106" s="24">
        <f t="shared" si="66"/>
        <v>4.2669929158496107E-11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-4.5224624045658861E-14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370.59298168107364</v>
      </c>
      <c r="CZ106" s="62">
        <f t="shared" si="96"/>
        <v>404.61777090709171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-5.6843418860808015E-14</v>
      </c>
      <c r="DP106" s="18">
        <f>DO106*VLOOKUP('Données projet'!$B$14,Paramètres!$A$1:$I$89,3,0)*VLOOKUP('Données projet'!$B$14,Paramètres!$A$1:$I$89,5,0)</f>
        <v>-4.9658410716801891E-14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341.65872153228599</v>
      </c>
      <c r="DU106" s="62">
        <f t="shared" si="98"/>
        <v>339.49697153894937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3.2051282051282102</v>
      </c>
      <c r="EJ106" s="13">
        <f>IF('Données projet'!$A$192&gt;35,EJ105+EI106-ER105,IF(A106&lt;'Données projet'!$A$192,$EG$205^A106,IF(A106='Données projet'!$A$192,'Données projet'!$B$192,EJ105+EI106-ER105)))</f>
        <v>294.87179487179509</v>
      </c>
      <c r="EK106" s="18">
        <f>EJ106*VLOOKUP('Données projet'!$B$15,Paramètres!$A$1:$I$89,3,0)*VLOOKUP('Données projet'!$B$15,Paramètres!$A$1:$I$89,5,0)</f>
        <v>197.80000000000015</v>
      </c>
      <c r="EL106" s="14">
        <f t="shared" si="99"/>
        <v>49.260363505790551</v>
      </c>
      <c r="EM106" s="22">
        <f t="shared" si="73"/>
        <v>430.29679977258542</v>
      </c>
      <c r="EN106" s="62">
        <f t="shared" si="74"/>
        <v>723.63013310591873</v>
      </c>
      <c r="EO106" s="62">
        <f ca="1">AVERAGE(OFFSET($EN$3,0,0,'Données projet'!$E$15+1,1))-AVERAGE(OFFSET($H$3,0,0,'Données projet'!$E$15+1,1))</f>
        <v>312.06797204903796</v>
      </c>
      <c r="EP106" s="62">
        <f t="shared" si="100"/>
        <v>258.20189001775151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4.4000000000000004</v>
      </c>
      <c r="FE106" s="13">
        <f>IF('Données projet'!$A$218&gt;35,FE105+FD106-FM105,IF(A106&lt;'Données projet'!$A$218,$FB$205^A106,IF(A106='Données projet'!$A$218,'Données projet'!$B$218,FE105+FD106-FM105)))</f>
        <v>274.19999999999976</v>
      </c>
      <c r="FF106" s="18">
        <f>FE106*VLOOKUP('Données projet'!$B$16,Paramètres!$A$1:$I$89,3,0)*VLOOKUP('Données projet'!$B$16,Paramètres!$A$1:$I$89,5,0)</f>
        <v>265.20623999999975</v>
      </c>
      <c r="FG106" s="14">
        <f t="shared" si="101"/>
        <v>63.830854160896386</v>
      </c>
      <c r="FH106" s="22">
        <f t="shared" si="76"/>
        <v>573.07293899689409</v>
      </c>
      <c r="FI106" s="62">
        <f t="shared" si="77"/>
        <v>866.40627233022747</v>
      </c>
      <c r="FJ106" s="62">
        <f ca="1">AVERAGE(OFFSET($FI$3,0,0,'Données projet'!$E$16+1,1))-AVERAGE(OFFSET($H$3,0,0,'Données projet'!$E$16+1,1))</f>
        <v>455.50822833641354</v>
      </c>
      <c r="FK106" s="62">
        <f t="shared" si="102"/>
        <v>261.14722581688039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2.2737367544323206E-13</v>
      </c>
      <c r="O107" s="14">
        <f>N107*VLOOKUP('Données projet'!$B$9,Paramètres!$A$1:$I$89,3,0)*VLOOKUP('Données projet'!$B$9,Paramètres!$A$1:$I$89,5,0)</f>
        <v>1.2710188457276673E-13</v>
      </c>
      <c r="P107" s="14">
        <f t="shared" si="87"/>
        <v>1.856866851063998E-12</v>
      </c>
      <c r="Q107" s="22">
        <f t="shared" si="107"/>
        <v>3.4554122145673649E-12</v>
      </c>
      <c r="R107" s="62">
        <f t="shared" si="55"/>
        <v>293.33333333333678</v>
      </c>
      <c r="S107" s="62">
        <f ca="1">AVERAGE(OFFSET($R$3,0,0,'Données projet'!$E$9+1,1))-AVERAGE(OFFSET($H$3,0,0,'Données projet'!$E$9+1,1))</f>
        <v>323.98185264074681</v>
      </c>
      <c r="T107" s="62">
        <f t="shared" si="88"/>
        <v>301.22207291854005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1.0306172116685934</v>
      </c>
      <c r="AA107" s="23">
        <f>EXP(-LN(2)/25)*AA106+(1-EXP(-LN(2)/25))/(LN(2)/25)*Calculateur!V107*Calculateur!X107*VLOOKUP('Données projet'!$B$9,Paramètres!$A$1:$I$89,3,0)*0.475*44/12</f>
        <v>1.05989534919647</v>
      </c>
      <c r="AB107" s="23">
        <f>EXP(-LN(2)/2)*AB106+(1-EXP(-LN(2)/2))/(LN(2)/2)*V107*Y107*VLOOKUP('Données projet'!$B$9,Paramètres!$A$1:$I$89,3,0)*0.475*44/12</f>
        <v>4.4294627002222264E-11</v>
      </c>
      <c r="AC107" s="24">
        <f t="shared" si="57"/>
        <v>2.090512560909358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1.7053025658242404E-13</v>
      </c>
      <c r="AJ107" s="14">
        <f>AI107*VLOOKUP('Données projet'!$B$10,Paramètres!$A$1:$I$89,3,0)*VLOOKUP('Données projet'!$B$10,Paramètres!$A$1:$I$89,5,0)</f>
        <v>7.9808160080574461E-14</v>
      </c>
      <c r="AK107" s="14">
        <f t="shared" si="89"/>
        <v>1.2308384591775343E-12</v>
      </c>
      <c r="AL107" s="22">
        <f t="shared" si="58"/>
        <v>2.282709528541206E-12</v>
      </c>
      <c r="AM107" s="62">
        <f t="shared" si="59"/>
        <v>293.33333333333559</v>
      </c>
      <c r="AN107" s="62">
        <f ca="1">AVERAGE(OFFSET($AM$3,0,0,'Données projet'!$E$10+1,1))-AVERAGE(OFFSET($H$3,0,0,'Données projet'!$E$10+1,1))</f>
        <v>276.78862011733338</v>
      </c>
      <c r="AO107" s="62">
        <f t="shared" si="90"/>
        <v>202.1678469635836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252.07727999999975</v>
      </c>
      <c r="BF107" s="14">
        <f t="shared" si="91"/>
        <v>61.03054465215493</v>
      </c>
      <c r="BG107" s="22">
        <f t="shared" si="61"/>
        <v>545.32946126916943</v>
      </c>
      <c r="BH107" s="62">
        <f t="shared" si="62"/>
        <v>838.6627946025028</v>
      </c>
      <c r="BI107" s="62">
        <f ca="1">AVERAGE(OFFSET($BH$3,0,0,'Données projet'!$E$11+1,1))-AVERAGE(OFFSET($H$3,0,0,'Données projet'!$E$11+1,1))</f>
        <v>428.8489304403459</v>
      </c>
      <c r="BJ107" s="62">
        <f t="shared" si="92"/>
        <v>247.01165577562966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-2.8421709430404007E-13</v>
      </c>
      <c r="BZ107" s="14">
        <f>BY107*VLOOKUP('Données projet'!$B$12,Paramètres!$A$1:$I$89,3,0)*VLOOKUP('Données projet'!$B$12,Paramètres!$A$1:$I$89,5,0)</f>
        <v>-1.69961822393816E-13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289.12367833861299</v>
      </c>
      <c r="CE107" s="62">
        <f t="shared" si="94"/>
        <v>229.06617320689003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3.017219626072219E-11</v>
      </c>
      <c r="CN107" s="24">
        <f t="shared" si="66"/>
        <v>3.017219626072219E-11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-4.5224624045658861E-14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370.59298168107364</v>
      </c>
      <c r="CZ107" s="62">
        <f t="shared" si="96"/>
        <v>404.61777090709171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-5.6843418860808015E-14</v>
      </c>
      <c r="DP107" s="18">
        <f>DO107*VLOOKUP('Données projet'!$B$14,Paramètres!$A$1:$I$89,3,0)*VLOOKUP('Données projet'!$B$14,Paramètres!$A$1:$I$89,5,0)</f>
        <v>-4.9658410716801891E-14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341.65872153228599</v>
      </c>
      <c r="DU107" s="62">
        <f t="shared" si="98"/>
        <v>339.49697153894937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3.2051282051282102</v>
      </c>
      <c r="EJ107" s="13">
        <f>IF('Données projet'!$A$192&gt;35,EJ106+EI107-ER106,IF(A107&lt;'Données projet'!$A$192,$EG$205^A107,IF(A107='Données projet'!$A$192,'Données projet'!$B$192,EJ106+EI107-ER106)))</f>
        <v>298.07692307692332</v>
      </c>
      <c r="EK107" s="18">
        <f>EJ107*VLOOKUP('Données projet'!$B$15,Paramètres!$A$1:$I$89,3,0)*VLOOKUP('Données projet'!$B$15,Paramètres!$A$1:$I$89,5,0)</f>
        <v>199.95000000000016</v>
      </c>
      <c r="EL107" s="14">
        <f t="shared" si="99"/>
        <v>49.733179078835313</v>
      </c>
      <c r="EM107" s="22">
        <f t="shared" si="73"/>
        <v>434.86487022897177</v>
      </c>
      <c r="EN107" s="62">
        <f t="shared" si="74"/>
        <v>728.19820356230503</v>
      </c>
      <c r="EO107" s="62">
        <f ca="1">AVERAGE(OFFSET($EN$3,0,0,'Données projet'!$E$15+1,1))-AVERAGE(OFFSET($H$3,0,0,'Données projet'!$E$15+1,1))</f>
        <v>312.06797204903796</v>
      </c>
      <c r="EP107" s="62">
        <f t="shared" si="100"/>
        <v>258.20189001775151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4.4000000000000004</v>
      </c>
      <c r="FE107" s="13">
        <f>IF('Données projet'!$A$218&gt;35,FE106+FD107-FM106,IF(A107&lt;'Données projet'!$A$218,$FB$205^A107,IF(A107='Données projet'!$A$218,'Données projet'!$B$218,FE106+FD107-FM106)))</f>
        <v>278.59999999999974</v>
      </c>
      <c r="FF107" s="18">
        <f>FE107*VLOOKUP('Données projet'!$B$16,Paramètres!$A$1:$I$89,3,0)*VLOOKUP('Données projet'!$B$16,Paramètres!$A$1:$I$89,5,0)</f>
        <v>269.46191999999974</v>
      </c>
      <c r="FG107" s="14">
        <f t="shared" si="101"/>
        <v>64.735061876839055</v>
      </c>
      <c r="FH107" s="22">
        <f t="shared" si="76"/>
        <v>582.05974343549417</v>
      </c>
      <c r="FI107" s="62">
        <f t="shared" si="77"/>
        <v>875.39307676882754</v>
      </c>
      <c r="FJ107" s="62">
        <f ca="1">AVERAGE(OFFSET($FI$3,0,0,'Données projet'!$E$16+1,1))-AVERAGE(OFFSET($H$3,0,0,'Données projet'!$E$16+1,1))</f>
        <v>455.50822833641354</v>
      </c>
      <c r="FK107" s="62">
        <f t="shared" si="102"/>
        <v>261.14722581688039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2.2737367544323206E-13</v>
      </c>
      <c r="O108" s="14">
        <f>N108*VLOOKUP('Données projet'!$B$9,Paramètres!$A$1:$I$89,3,0)*VLOOKUP('Données projet'!$B$9,Paramètres!$A$1:$I$89,5,0)</f>
        <v>1.2710188457276673E-13</v>
      </c>
      <c r="P108" s="14">
        <f t="shared" si="87"/>
        <v>1.856866851063998E-12</v>
      </c>
      <c r="Q108" s="22">
        <f t="shared" si="107"/>
        <v>3.4554122145673649E-12</v>
      </c>
      <c r="R108" s="62">
        <f t="shared" si="55"/>
        <v>293.33333333333678</v>
      </c>
      <c r="S108" s="62">
        <f ca="1">AVERAGE(OFFSET($R$3,0,0,'Données projet'!$E$9+1,1))-AVERAGE(OFFSET($H$3,0,0,'Données projet'!$E$9+1,1))</f>
        <v>323.98185264074681</v>
      </c>
      <c r="T108" s="62">
        <f t="shared" si="88"/>
        <v>301.22207291854005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1.0104074367622009</v>
      </c>
      <c r="AA108" s="23">
        <f>EXP(-LN(2)/25)*AA107+(1-EXP(-LN(2)/25))/(LN(2)/25)*Calculateur!V108*Calculateur!X108*VLOOKUP('Données projet'!$B$9,Paramètres!$A$1:$I$89,3,0)*0.475*44/12</f>
        <v>1.0309124551352185</v>
      </c>
      <c r="AB108" s="23">
        <f>EXP(-LN(2)/2)*AB107+(1-EXP(-LN(2)/2))/(LN(2)/2)*V108*Y108*VLOOKUP('Données projet'!$B$9,Paramètres!$A$1:$I$89,3,0)*0.475*44/12</f>
        <v>3.1321031123400118E-11</v>
      </c>
      <c r="AC108" s="24">
        <f t="shared" si="57"/>
        <v>2.0413198919287407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1.7053025658242404E-13</v>
      </c>
      <c r="AJ108" s="14">
        <f>AI108*VLOOKUP('Données projet'!$B$10,Paramètres!$A$1:$I$89,3,0)*VLOOKUP('Données projet'!$B$10,Paramètres!$A$1:$I$89,5,0)</f>
        <v>7.9808160080574461E-14</v>
      </c>
      <c r="AK108" s="14">
        <f t="shared" si="89"/>
        <v>1.2308384591775343E-12</v>
      </c>
      <c r="AL108" s="22">
        <f t="shared" si="58"/>
        <v>2.282709528541206E-12</v>
      </c>
      <c r="AM108" s="62">
        <f t="shared" si="59"/>
        <v>293.33333333333559</v>
      </c>
      <c r="AN108" s="62">
        <f ca="1">AVERAGE(OFFSET($AM$3,0,0,'Données projet'!$E$10+1,1))-AVERAGE(OFFSET($H$3,0,0,'Données projet'!$E$10+1,1))</f>
        <v>276.78862011733338</v>
      </c>
      <c r="AO108" s="62">
        <f t="shared" si="90"/>
        <v>202.1678469635836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256.05839999999972</v>
      </c>
      <c r="BF108" s="14">
        <f t="shared" si="91"/>
        <v>61.881442594256434</v>
      </c>
      <c r="BG108" s="22">
        <f t="shared" si="61"/>
        <v>553.74522585166278</v>
      </c>
      <c r="BH108" s="62">
        <f t="shared" si="62"/>
        <v>847.07855918499604</v>
      </c>
      <c r="BI108" s="62">
        <f ca="1">AVERAGE(OFFSET($BH$3,0,0,'Données projet'!$E$11+1,1))-AVERAGE(OFFSET($H$3,0,0,'Données projet'!$E$11+1,1))</f>
        <v>428.8489304403459</v>
      </c>
      <c r="BJ108" s="62">
        <f t="shared" si="92"/>
        <v>247.01165577562966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-2.8421709430404007E-13</v>
      </c>
      <c r="BZ108" s="14">
        <f>BY108*VLOOKUP('Données projet'!$B$12,Paramètres!$A$1:$I$89,3,0)*VLOOKUP('Données projet'!$B$12,Paramètres!$A$1:$I$89,5,0)</f>
        <v>-1.69961822393816E-13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289.12367833861299</v>
      </c>
      <c r="CE108" s="62">
        <f t="shared" si="94"/>
        <v>229.06617320689003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2.1334964579248054E-11</v>
      </c>
      <c r="CN108" s="24">
        <f t="shared" si="66"/>
        <v>2.1334964579248054E-11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-4.5224624045658861E-14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370.59298168107364</v>
      </c>
      <c r="CZ108" s="62">
        <f t="shared" si="96"/>
        <v>404.61777090709171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-5.6843418860808015E-14</v>
      </c>
      <c r="DP108" s="18">
        <f>DO108*VLOOKUP('Données projet'!$B$14,Paramètres!$A$1:$I$89,3,0)*VLOOKUP('Données projet'!$B$14,Paramètres!$A$1:$I$89,5,0)</f>
        <v>-4.9658410716801891E-14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341.65872153228599</v>
      </c>
      <c r="DU108" s="62">
        <f t="shared" si="98"/>
        <v>339.49697153894937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301.28205128205127</v>
      </c>
      <c r="EH108" s="13">
        <f>VLOOKUP(A108,'Données projet'!$A$191:$I$211,9,0)</f>
        <v>3.2051282051282102</v>
      </c>
      <c r="EI108" s="13">
        <f t="array" ref="EI108">INDEX(EH:EH,MIN(IF(ISNUMBER(EH108:EH304),ROW(EH108:EH304),"")))</f>
        <v>3.2051282051282102</v>
      </c>
      <c r="EJ108" s="13">
        <f>IF('Données projet'!$A$192&gt;35,EJ107+EI108-ER107,IF(A108&lt;'Données projet'!$A$192,$EG$205^A108,IF(A108='Données projet'!$A$192,'Données projet'!$B$192,EJ107+EI108-ER107)))</f>
        <v>301.28205128205155</v>
      </c>
      <c r="EK108" s="18">
        <f>EJ108*VLOOKUP('Données projet'!$B$15,Paramètres!$A$1:$I$89,3,0)*VLOOKUP('Données projet'!$B$15,Paramètres!$A$1:$I$89,5,0)</f>
        <v>202.10000000000016</v>
      </c>
      <c r="EL108" s="14">
        <f t="shared" si="99"/>
        <v>50.205403227941737</v>
      </c>
      <c r="EM108" s="22">
        <f t="shared" si="73"/>
        <v>439.43191062199884</v>
      </c>
      <c r="EN108" s="62">
        <f t="shared" si="74"/>
        <v>732.76524395533215</v>
      </c>
      <c r="EO108" s="62">
        <f ca="1">AVERAGE(OFFSET($EN$3,0,0,'Données projet'!$E$15+1,1))-AVERAGE(OFFSET($H$3,0,0,'Données projet'!$E$15+1,1))</f>
        <v>312.06797204903796</v>
      </c>
      <c r="EP108" s="62">
        <f t="shared" si="100"/>
        <v>258.20189001775151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4.4000000000000004</v>
      </c>
      <c r="FE108" s="13">
        <f>IF('Données projet'!$A$218&gt;35,FE107+FD108-FM107,IF(A108&lt;'Données projet'!$A$218,$FB$205^A108,IF(A108='Données projet'!$A$218,'Données projet'!$B$218,FE107+FD108-FM107)))</f>
        <v>282.99999999999972</v>
      </c>
      <c r="FF108" s="18">
        <f>FE108*VLOOKUP('Données projet'!$B$16,Paramètres!$A$1:$I$89,3,0)*VLOOKUP('Données projet'!$B$16,Paramètres!$A$1:$I$89,5,0)</f>
        <v>273.71759999999972</v>
      </c>
      <c r="FG108" s="14">
        <f t="shared" si="101"/>
        <v>65.637608810456612</v>
      </c>
      <c r="FH108" s="22">
        <f t="shared" si="76"/>
        <v>591.04365534487806</v>
      </c>
      <c r="FI108" s="62">
        <f t="shared" si="77"/>
        <v>884.37698867821132</v>
      </c>
      <c r="FJ108" s="62">
        <f ca="1">AVERAGE(OFFSET($FI$3,0,0,'Données projet'!$E$16+1,1))-AVERAGE(OFFSET($H$3,0,0,'Données projet'!$E$16+1,1))</f>
        <v>455.50822833641354</v>
      </c>
      <c r="FK108" s="62">
        <f t="shared" si="102"/>
        <v>261.14722581688039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2.2737367544323206E-13</v>
      </c>
      <c r="O109" s="14">
        <f>N109*VLOOKUP('Données projet'!$B$9,Paramètres!$A$1:$I$89,3,0)*VLOOKUP('Données projet'!$B$9,Paramètres!$A$1:$I$89,5,0)</f>
        <v>1.2710188457276673E-13</v>
      </c>
      <c r="P109" s="14">
        <f t="shared" si="87"/>
        <v>1.856866851063998E-12</v>
      </c>
      <c r="Q109" s="22">
        <f t="shared" si="107"/>
        <v>3.4554122145673649E-12</v>
      </c>
      <c r="R109" s="62">
        <f t="shared" si="55"/>
        <v>293.33333333333678</v>
      </c>
      <c r="S109" s="62">
        <f ca="1">AVERAGE(OFFSET($R$3,0,0,'Données projet'!$E$9+1,1))-AVERAGE(OFFSET($H$3,0,0,'Données projet'!$E$9+1,1))</f>
        <v>323.98185264074681</v>
      </c>
      <c r="T109" s="62">
        <f t="shared" si="88"/>
        <v>301.22207291854005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0.99059396321497717</v>
      </c>
      <c r="AA109" s="23">
        <f>EXP(-LN(2)/25)*AA108+(1-EXP(-LN(2)/25))/(LN(2)/25)*Calculateur!V109*Calculateur!X109*VLOOKUP('Données projet'!$B$9,Paramètres!$A$1:$I$89,3,0)*0.475*44/12</f>
        <v>1.0027220998362161</v>
      </c>
      <c r="AB109" s="23">
        <f>EXP(-LN(2)/2)*AB108+(1-EXP(-LN(2)/2))/(LN(2)/2)*V109*Y109*VLOOKUP('Données projet'!$B$9,Paramètres!$A$1:$I$89,3,0)*0.475*44/12</f>
        <v>2.2147313501111132E-11</v>
      </c>
      <c r="AC109" s="24">
        <f t="shared" si="57"/>
        <v>1.9933160630733406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1.7053025658242404E-13</v>
      </c>
      <c r="AJ109" s="14">
        <f>AI109*VLOOKUP('Données projet'!$B$10,Paramètres!$A$1:$I$89,3,0)*VLOOKUP('Données projet'!$B$10,Paramètres!$A$1:$I$89,5,0)</f>
        <v>7.9808160080574461E-14</v>
      </c>
      <c r="AK109" s="14">
        <f t="shared" si="89"/>
        <v>1.2308384591775343E-12</v>
      </c>
      <c r="AL109" s="22">
        <f t="shared" si="58"/>
        <v>2.282709528541206E-12</v>
      </c>
      <c r="AM109" s="62">
        <f t="shared" si="59"/>
        <v>293.33333333333559</v>
      </c>
      <c r="AN109" s="62">
        <f ca="1">AVERAGE(OFFSET($AM$3,0,0,'Données projet'!$E$10+1,1))-AVERAGE(OFFSET($H$3,0,0,'Données projet'!$E$10+1,1))</f>
        <v>276.78862011733338</v>
      </c>
      <c r="AO109" s="62">
        <f t="shared" si="90"/>
        <v>202.1678469635836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260.0395199999997</v>
      </c>
      <c r="BF109" s="14">
        <f t="shared" si="91"/>
        <v>62.730801948604821</v>
      </c>
      <c r="BG109" s="22">
        <f t="shared" si="61"/>
        <v>562.15831072715287</v>
      </c>
      <c r="BH109" s="62">
        <f t="shared" si="62"/>
        <v>855.49164406048612</v>
      </c>
      <c r="BI109" s="62">
        <f ca="1">AVERAGE(OFFSET($BH$3,0,0,'Données projet'!$E$11+1,1))-AVERAGE(OFFSET($H$3,0,0,'Données projet'!$E$11+1,1))</f>
        <v>428.8489304403459</v>
      </c>
      <c r="BJ109" s="62">
        <f t="shared" si="92"/>
        <v>247.01165577562966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-2.8421709430404007E-13</v>
      </c>
      <c r="BZ109" s="14">
        <f>BY109*VLOOKUP('Données projet'!$B$12,Paramètres!$A$1:$I$89,3,0)*VLOOKUP('Données projet'!$B$12,Paramètres!$A$1:$I$89,5,0)</f>
        <v>-1.69961822393816E-13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289.12367833861299</v>
      </c>
      <c r="CE109" s="62">
        <f t="shared" si="94"/>
        <v>229.06617320689003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1.5086098130361095E-11</v>
      </c>
      <c r="CN109" s="24">
        <f t="shared" si="66"/>
        <v>1.5086098130361095E-11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-4.5224624045658861E-14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370.59298168107364</v>
      </c>
      <c r="CZ109" s="62">
        <f t="shared" si="96"/>
        <v>404.61777090709171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-5.6843418860808015E-14</v>
      </c>
      <c r="DP109" s="18">
        <f>DO109*VLOOKUP('Données projet'!$B$14,Paramètres!$A$1:$I$89,3,0)*VLOOKUP('Données projet'!$B$14,Paramètres!$A$1:$I$89,5,0)</f>
        <v>-4.9658410716801891E-14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341.65872153228599</v>
      </c>
      <c r="DU109" s="62">
        <f t="shared" si="98"/>
        <v>339.49697153894937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3.333333333333337</v>
      </c>
      <c r="EJ109" s="13">
        <f>IF('Données projet'!$A$192&gt;35,EJ108+EI109-ER108,IF(A109&lt;'Données projet'!$A$192,$EG$205^A109,IF(A109='Données projet'!$A$192,'Données projet'!$B$192,EJ108+EI109-ER108)))</f>
        <v>304.61538461538487</v>
      </c>
      <c r="EK109" s="18">
        <f>EJ109*VLOOKUP('Données projet'!$B$15,Paramètres!$A$1:$I$89,3,0)*VLOOKUP('Données projet'!$B$15,Paramètres!$A$1:$I$89,5,0)</f>
        <v>204.33600000000018</v>
      </c>
      <c r="EL109" s="14">
        <f t="shared" si="99"/>
        <v>50.695896504938347</v>
      </c>
      <c r="EM109" s="22">
        <f t="shared" si="73"/>
        <v>444.18055307943456</v>
      </c>
      <c r="EN109" s="62">
        <f t="shared" si="74"/>
        <v>737.51388641276787</v>
      </c>
      <c r="EO109" s="62">
        <f ca="1">AVERAGE(OFFSET($EN$3,0,0,'Données projet'!$E$15+1,1))-AVERAGE(OFFSET($H$3,0,0,'Données projet'!$E$15+1,1))</f>
        <v>312.06797204903796</v>
      </c>
      <c r="EP109" s="62">
        <f t="shared" si="100"/>
        <v>258.20189001775151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4.4000000000000004</v>
      </c>
      <c r="FE109" s="13">
        <f>IF('Données projet'!$A$218&gt;35,FE108+FD109-FM108,IF(A109&lt;'Données projet'!$A$218,$FB$205^A109,IF(A109='Données projet'!$A$218,'Données projet'!$B$218,FE108+FD109-FM108)))</f>
        <v>287.39999999999969</v>
      </c>
      <c r="FF109" s="18">
        <f>FE109*VLOOKUP('Données projet'!$B$16,Paramètres!$A$1:$I$89,3,0)*VLOOKUP('Données projet'!$B$16,Paramètres!$A$1:$I$89,5,0)</f>
        <v>277.9732799999997</v>
      </c>
      <c r="FG109" s="14">
        <f t="shared" si="101"/>
        <v>66.538523764973135</v>
      </c>
      <c r="FH109" s="22">
        <f t="shared" si="76"/>
        <v>600.0247248906611</v>
      </c>
      <c r="FI109" s="62">
        <f t="shared" si="77"/>
        <v>893.35805822399448</v>
      </c>
      <c r="FJ109" s="62">
        <f ca="1">AVERAGE(OFFSET($FI$3,0,0,'Données projet'!$E$16+1,1))-AVERAGE(OFFSET($H$3,0,0,'Données projet'!$E$16+1,1))</f>
        <v>455.50822833641354</v>
      </c>
      <c r="FK109" s="62">
        <f t="shared" si="102"/>
        <v>261.14722581688039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2.2737367544323206E-13</v>
      </c>
      <c r="O110" s="14">
        <f>N110*VLOOKUP('Données projet'!$B$9,Paramètres!$A$1:$I$89,3,0)*VLOOKUP('Données projet'!$B$9,Paramètres!$A$1:$I$89,5,0)</f>
        <v>1.2710188457276673E-13</v>
      </c>
      <c r="P110" s="14">
        <f t="shared" si="87"/>
        <v>1.856866851063998E-12</v>
      </c>
      <c r="Q110" s="22">
        <f t="shared" si="107"/>
        <v>3.4554122145673649E-12</v>
      </c>
      <c r="R110" s="62">
        <f t="shared" si="55"/>
        <v>293.33333333333678</v>
      </c>
      <c r="S110" s="62">
        <f ca="1">AVERAGE(OFFSET($R$3,0,0,'Données projet'!$E$9+1,1))-AVERAGE(OFFSET($H$3,0,0,'Données projet'!$E$9+1,1))</f>
        <v>323.98185264074681</v>
      </c>
      <c r="T110" s="62">
        <f t="shared" si="88"/>
        <v>301.22207291854005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0.97116901979898895</v>
      </c>
      <c r="AA110" s="23">
        <f>EXP(-LN(2)/25)*AA109+(1-EXP(-LN(2)/25))/(LN(2)/25)*Calculateur!V110*Calculateur!X110*VLOOKUP('Données projet'!$B$9,Paramètres!$A$1:$I$89,3,0)*0.475*44/12</f>
        <v>0.97530261128533124</v>
      </c>
      <c r="AB110" s="23">
        <f>EXP(-LN(2)/2)*AB109+(1-EXP(-LN(2)/2))/(LN(2)/2)*V110*Y110*VLOOKUP('Données projet'!$B$9,Paramètres!$A$1:$I$89,3,0)*0.475*44/12</f>
        <v>1.5660515561700059E-11</v>
      </c>
      <c r="AC110" s="24">
        <f t="shared" si="57"/>
        <v>1.9464716310999808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1.7053025658242404E-13</v>
      </c>
      <c r="AJ110" s="14">
        <f>AI110*VLOOKUP('Données projet'!$B$10,Paramètres!$A$1:$I$89,3,0)*VLOOKUP('Données projet'!$B$10,Paramètres!$A$1:$I$89,5,0)</f>
        <v>7.9808160080574461E-14</v>
      </c>
      <c r="AK110" s="14">
        <f t="shared" si="89"/>
        <v>1.2308384591775343E-12</v>
      </c>
      <c r="AL110" s="22">
        <f t="shared" si="58"/>
        <v>2.282709528541206E-12</v>
      </c>
      <c r="AM110" s="62">
        <f t="shared" si="59"/>
        <v>293.33333333333559</v>
      </c>
      <c r="AN110" s="62">
        <f ca="1">AVERAGE(OFFSET($AM$3,0,0,'Données projet'!$E$10+1,1))-AVERAGE(OFFSET($H$3,0,0,'Données projet'!$E$10+1,1))</f>
        <v>276.78862011733338</v>
      </c>
      <c r="AO110" s="62">
        <f t="shared" si="90"/>
        <v>202.1678469635836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264.02063999999967</v>
      </c>
      <c r="BF110" s="14">
        <f t="shared" si="91"/>
        <v>63.57864899095906</v>
      </c>
      <c r="BG110" s="22">
        <f t="shared" si="61"/>
        <v>570.56876165925303</v>
      </c>
      <c r="BH110" s="62">
        <f t="shared" si="62"/>
        <v>863.9020949925864</v>
      </c>
      <c r="BI110" s="62">
        <f ca="1">AVERAGE(OFFSET($BH$3,0,0,'Données projet'!$E$11+1,1))-AVERAGE(OFFSET($H$3,0,0,'Données projet'!$E$11+1,1))</f>
        <v>428.8489304403459</v>
      </c>
      <c r="BJ110" s="62">
        <f t="shared" si="92"/>
        <v>247.01165577562966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-2.8421709430404007E-13</v>
      </c>
      <c r="BZ110" s="14">
        <f>BY110*VLOOKUP('Données projet'!$B$12,Paramètres!$A$1:$I$89,3,0)*VLOOKUP('Données projet'!$B$12,Paramètres!$A$1:$I$89,5,0)</f>
        <v>-1.69961822393816E-13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289.12367833861299</v>
      </c>
      <c r="CE110" s="62">
        <f t="shared" si="94"/>
        <v>229.06617320689003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1.0667482289624027E-11</v>
      </c>
      <c r="CN110" s="24">
        <f t="shared" si="66"/>
        <v>1.0667482289624027E-11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-4.5224624045658861E-14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370.59298168107364</v>
      </c>
      <c r="CZ110" s="62">
        <f t="shared" si="96"/>
        <v>404.61777090709171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-5.6843418860808015E-14</v>
      </c>
      <c r="DP110" s="18">
        <f>DO110*VLOOKUP('Données projet'!$B$14,Paramètres!$A$1:$I$89,3,0)*VLOOKUP('Données projet'!$B$14,Paramètres!$A$1:$I$89,5,0)</f>
        <v>-4.9658410716801891E-14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341.65872153228599</v>
      </c>
      <c r="DU110" s="62">
        <f t="shared" si="98"/>
        <v>339.49697153894937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3.333333333333337</v>
      </c>
      <c r="EJ110" s="13">
        <f>IF('Données projet'!$A$192&gt;35,EJ109+EI110-ER109,IF(A110&lt;'Données projet'!$A$192,$EG$205^A110,IF(A110='Données projet'!$A$192,'Données projet'!$B$192,EJ109+EI110-ER109)))</f>
        <v>307.94871794871818</v>
      </c>
      <c r="EK110" s="18">
        <f>EJ110*VLOOKUP('Données projet'!$B$15,Paramètres!$A$1:$I$89,3,0)*VLOOKUP('Données projet'!$B$15,Paramètres!$A$1:$I$89,5,0)</f>
        <v>206.57200000000014</v>
      </c>
      <c r="EL110" s="14">
        <f t="shared" si="99"/>
        <v>51.185765406859268</v>
      </c>
      <c r="EM110" s="22">
        <f t="shared" si="73"/>
        <v>448.92810808361338</v>
      </c>
      <c r="EN110" s="62">
        <f t="shared" si="74"/>
        <v>742.2614414169467</v>
      </c>
      <c r="EO110" s="62">
        <f ca="1">AVERAGE(OFFSET($EN$3,0,0,'Données projet'!$E$15+1,1))-AVERAGE(OFFSET($H$3,0,0,'Données projet'!$E$15+1,1))</f>
        <v>312.06797204903796</v>
      </c>
      <c r="EP110" s="62">
        <f t="shared" si="100"/>
        <v>258.20189001775151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4.4000000000000004</v>
      </c>
      <c r="FE110" s="13">
        <f>IF('Données projet'!$A$218&gt;35,FE109+FD110-FM109,IF(A110&lt;'Données projet'!$A$218,$FB$205^A110,IF(A110='Données projet'!$A$218,'Données projet'!$B$218,FE109+FD110-FM109)))</f>
        <v>291.79999999999967</v>
      </c>
      <c r="FF110" s="18">
        <f>FE110*VLOOKUP('Données projet'!$B$16,Paramètres!$A$1:$I$89,3,0)*VLOOKUP('Données projet'!$B$16,Paramètres!$A$1:$I$89,5,0)</f>
        <v>282.22895999999969</v>
      </c>
      <c r="FG110" s="14">
        <f t="shared" si="101"/>
        <v>67.437834611070301</v>
      </c>
      <c r="FH110" s="22">
        <f t="shared" si="76"/>
        <v>609.00300061428027</v>
      </c>
      <c r="FI110" s="62">
        <f t="shared" si="77"/>
        <v>902.33633394761364</v>
      </c>
      <c r="FJ110" s="62">
        <f ca="1">AVERAGE(OFFSET($FI$3,0,0,'Données projet'!$E$16+1,1))-AVERAGE(OFFSET($H$3,0,0,'Données projet'!$E$16+1,1))</f>
        <v>455.50822833641354</v>
      </c>
      <c r="FK110" s="62">
        <f t="shared" si="102"/>
        <v>261.14722581688039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2.2737367544323206E-13</v>
      </c>
      <c r="O111" s="14">
        <f>N111*VLOOKUP('Données projet'!$B$9,Paramètres!$A$1:$I$89,3,0)*VLOOKUP('Données projet'!$B$9,Paramètres!$A$1:$I$89,5,0)</f>
        <v>1.2710188457276673E-13</v>
      </c>
      <c r="P111" s="14">
        <f t="shared" si="87"/>
        <v>1.856866851063998E-12</v>
      </c>
      <c r="Q111" s="22">
        <f t="shared" si="107"/>
        <v>3.4554122145673649E-12</v>
      </c>
      <c r="R111" s="62">
        <f t="shared" si="55"/>
        <v>293.33333333333678</v>
      </c>
      <c r="S111" s="62">
        <f ca="1">AVERAGE(OFFSET($R$3,0,0,'Données projet'!$E$9+1,1))-AVERAGE(OFFSET($H$3,0,0,'Données projet'!$E$9+1,1))</f>
        <v>323.98185264074681</v>
      </c>
      <c r="T111" s="62">
        <f t="shared" si="88"/>
        <v>301.22207291854005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0.9521249876753427</v>
      </c>
      <c r="AA111" s="23">
        <f>EXP(-LN(2)/25)*AA110+(1-EXP(-LN(2)/25))/(LN(2)/25)*Calculateur!V111*Calculateur!X111*VLOOKUP('Données projet'!$B$9,Paramètres!$A$1:$I$89,3,0)*0.475*44/12</f>
        <v>0.94863291009079864</v>
      </c>
      <c r="AB111" s="23">
        <f>EXP(-LN(2)/2)*AB110+(1-EXP(-LN(2)/2))/(LN(2)/2)*V111*Y111*VLOOKUP('Données projet'!$B$9,Paramètres!$A$1:$I$89,3,0)*0.475*44/12</f>
        <v>1.1073656750555566E-11</v>
      </c>
      <c r="AC111" s="24">
        <f t="shared" si="57"/>
        <v>1.900757897777215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1.7053025658242404E-13</v>
      </c>
      <c r="AJ111" s="14">
        <f>AI111*VLOOKUP('Données projet'!$B$10,Paramètres!$A$1:$I$89,3,0)*VLOOKUP('Données projet'!$B$10,Paramètres!$A$1:$I$89,5,0)</f>
        <v>7.9808160080574461E-14</v>
      </c>
      <c r="AK111" s="14">
        <f t="shared" si="89"/>
        <v>1.2308384591775343E-12</v>
      </c>
      <c r="AL111" s="22">
        <f t="shared" si="58"/>
        <v>2.282709528541206E-12</v>
      </c>
      <c r="AM111" s="62">
        <f t="shared" si="59"/>
        <v>293.33333333333559</v>
      </c>
      <c r="AN111" s="62">
        <f ca="1">AVERAGE(OFFSET($AM$3,0,0,'Données projet'!$E$10+1,1))-AVERAGE(OFFSET($H$3,0,0,'Données projet'!$E$10+1,1))</f>
        <v>276.78862011733338</v>
      </c>
      <c r="AO111" s="62">
        <f t="shared" si="90"/>
        <v>202.1678469635836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268.00175999999971</v>
      </c>
      <c r="BF111" s="14">
        <f t="shared" si="91"/>
        <v>64.425009159185521</v>
      </c>
      <c r="BG111" s="22">
        <f t="shared" si="61"/>
        <v>578.97662295224757</v>
      </c>
      <c r="BH111" s="62">
        <f t="shared" si="62"/>
        <v>872.30995628558094</v>
      </c>
      <c r="BI111" s="62">
        <f ca="1">AVERAGE(OFFSET($BH$3,0,0,'Données projet'!$E$11+1,1))-AVERAGE(OFFSET($H$3,0,0,'Données projet'!$E$11+1,1))</f>
        <v>428.8489304403459</v>
      </c>
      <c r="BJ111" s="62">
        <f t="shared" si="92"/>
        <v>247.01165577562966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-2.8421709430404007E-13</v>
      </c>
      <c r="BZ111" s="14">
        <f>BY111*VLOOKUP('Données projet'!$B$12,Paramètres!$A$1:$I$89,3,0)*VLOOKUP('Données projet'!$B$12,Paramètres!$A$1:$I$89,5,0)</f>
        <v>-1.69961822393816E-13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289.12367833861299</v>
      </c>
      <c r="CE111" s="62">
        <f t="shared" si="94"/>
        <v>229.06617320689003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7.5430490651805476E-12</v>
      </c>
      <c r="CN111" s="24">
        <f t="shared" si="66"/>
        <v>7.5430490651805476E-12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-4.5224624045658861E-14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370.59298168107364</v>
      </c>
      <c r="CZ111" s="62">
        <f t="shared" si="96"/>
        <v>404.61777090709171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-5.6843418860808015E-14</v>
      </c>
      <c r="DP111" s="18">
        <f>DO111*VLOOKUP('Données projet'!$B$14,Paramètres!$A$1:$I$89,3,0)*VLOOKUP('Données projet'!$B$14,Paramètres!$A$1:$I$89,5,0)</f>
        <v>-4.9658410716801891E-14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341.65872153228599</v>
      </c>
      <c r="DU111" s="62">
        <f t="shared" si="98"/>
        <v>339.49697153894937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3.333333333333337</v>
      </c>
      <c r="EJ111" s="13">
        <f>IF('Données projet'!$A$192&gt;35,EJ110+EI111-ER110,IF(A111&lt;'Données projet'!$A$192,$EG$205^A111,IF(A111='Données projet'!$A$192,'Données projet'!$B$192,EJ110+EI111-ER110)))</f>
        <v>311.2820512820515</v>
      </c>
      <c r="EK111" s="18">
        <f>EJ111*VLOOKUP('Données projet'!$B$15,Paramètres!$A$1:$I$89,3,0)*VLOOKUP('Données projet'!$B$15,Paramètres!$A$1:$I$89,5,0)</f>
        <v>208.80800000000013</v>
      </c>
      <c r="EL111" s="14">
        <f t="shared" si="99"/>
        <v>51.675017474362051</v>
      </c>
      <c r="EM111" s="22">
        <f t="shared" si="73"/>
        <v>453.67458876784752</v>
      </c>
      <c r="EN111" s="62">
        <f t="shared" si="74"/>
        <v>747.00792210118084</v>
      </c>
      <c r="EO111" s="62">
        <f ca="1">AVERAGE(OFFSET($EN$3,0,0,'Données projet'!$E$15+1,1))-AVERAGE(OFFSET($H$3,0,0,'Données projet'!$E$15+1,1))</f>
        <v>312.06797204903796</v>
      </c>
      <c r="EP111" s="62">
        <f t="shared" si="100"/>
        <v>258.20189001775151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4.4000000000000004</v>
      </c>
      <c r="FE111" s="13">
        <f>IF('Données projet'!$A$218&gt;35,FE110+FD111-FM110,IF(A111&lt;'Données projet'!$A$218,$FB$205^A111,IF(A111='Données projet'!$A$218,'Données projet'!$B$218,FE110+FD111-FM110)))</f>
        <v>296.19999999999965</v>
      </c>
      <c r="FF111" s="18">
        <f>FE111*VLOOKUP('Données projet'!$B$16,Paramètres!$A$1:$I$89,3,0)*VLOOKUP('Données projet'!$B$16,Paramètres!$A$1:$I$89,5,0)</f>
        <v>286.48463999999967</v>
      </c>
      <c r="FG111" s="14">
        <f t="shared" si="101"/>
        <v>68.335568330677432</v>
      </c>
      <c r="FH111" s="22">
        <f t="shared" si="76"/>
        <v>617.97852950926267</v>
      </c>
      <c r="FI111" s="62">
        <f t="shared" si="77"/>
        <v>911.31186284259593</v>
      </c>
      <c r="FJ111" s="62">
        <f ca="1">AVERAGE(OFFSET($FI$3,0,0,'Données projet'!$E$16+1,1))-AVERAGE(OFFSET($H$3,0,0,'Données projet'!$E$16+1,1))</f>
        <v>455.50822833641354</v>
      </c>
      <c r="FK111" s="62">
        <f t="shared" si="102"/>
        <v>261.14722581688039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2.2737367544323206E-13</v>
      </c>
      <c r="O112" s="14">
        <f>N112*VLOOKUP('Données projet'!$B$9,Paramètres!$A$1:$I$89,3,0)*VLOOKUP('Données projet'!$B$9,Paramètres!$A$1:$I$89,5,0)</f>
        <v>1.2710188457276673E-13</v>
      </c>
      <c r="P112" s="14">
        <f t="shared" si="87"/>
        <v>1.856866851063998E-12</v>
      </c>
      <c r="Q112" s="22">
        <f t="shared" si="107"/>
        <v>3.4554122145673649E-12</v>
      </c>
      <c r="R112" s="62">
        <f t="shared" si="55"/>
        <v>293.33333333333678</v>
      </c>
      <c r="S112" s="62">
        <f ca="1">AVERAGE(OFFSET($R$3,0,0,'Données projet'!$E$9+1,1))-AVERAGE(OFFSET($H$3,0,0,'Données projet'!$E$9+1,1))</f>
        <v>323.98185264074681</v>
      </c>
      <c r="T112" s="62">
        <f t="shared" si="88"/>
        <v>301.22207291854005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0.9334543974059285</v>
      </c>
      <c r="AA112" s="23">
        <f>EXP(-LN(2)/25)*AA111+(1-EXP(-LN(2)/25))/(LN(2)/25)*Calculateur!V112*Calculateur!X112*VLOOKUP('Données projet'!$B$9,Paramètres!$A$1:$I$89,3,0)*0.475*44/12</f>
        <v>0.92269249327792913</v>
      </c>
      <c r="AB112" s="23">
        <f>EXP(-LN(2)/2)*AB111+(1-EXP(-LN(2)/2))/(LN(2)/2)*V112*Y112*VLOOKUP('Données projet'!$B$9,Paramètres!$A$1:$I$89,3,0)*0.475*44/12</f>
        <v>7.8302577808500294E-12</v>
      </c>
      <c r="AC112" s="24">
        <f t="shared" si="57"/>
        <v>1.8561468906916878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1.7053025658242404E-13</v>
      </c>
      <c r="AJ112" s="14">
        <f>AI112*VLOOKUP('Données projet'!$B$10,Paramètres!$A$1:$I$89,3,0)*VLOOKUP('Données projet'!$B$10,Paramètres!$A$1:$I$89,5,0)</f>
        <v>7.9808160080574461E-14</v>
      </c>
      <c r="AK112" s="14">
        <f t="shared" si="89"/>
        <v>1.2308384591775343E-12</v>
      </c>
      <c r="AL112" s="22">
        <f t="shared" si="58"/>
        <v>2.282709528541206E-12</v>
      </c>
      <c r="AM112" s="62">
        <f t="shared" si="59"/>
        <v>293.33333333333559</v>
      </c>
      <c r="AN112" s="62">
        <f ca="1">AVERAGE(OFFSET($AM$3,0,0,'Données projet'!$E$10+1,1))-AVERAGE(OFFSET($H$3,0,0,'Données projet'!$E$10+1,1))</f>
        <v>276.78862011733338</v>
      </c>
      <c r="AO112" s="62">
        <f t="shared" si="90"/>
        <v>202.1678469635836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271.98287999999962</v>
      </c>
      <c r="BF112" s="14">
        <f t="shared" si="91"/>
        <v>65.269907092018684</v>
      </c>
      <c r="BG112" s="22">
        <f t="shared" si="61"/>
        <v>587.38193751859842</v>
      </c>
      <c r="BH112" s="62">
        <f t="shared" si="62"/>
        <v>880.71527085193179</v>
      </c>
      <c r="BI112" s="62">
        <f ca="1">AVERAGE(OFFSET($BH$3,0,0,'Données projet'!$E$11+1,1))-AVERAGE(OFFSET($H$3,0,0,'Données projet'!$E$11+1,1))</f>
        <v>428.8489304403459</v>
      </c>
      <c r="BJ112" s="62">
        <f t="shared" si="92"/>
        <v>247.01165577562966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-2.8421709430404007E-13</v>
      </c>
      <c r="BZ112" s="14">
        <f>BY112*VLOOKUP('Données projet'!$B$12,Paramètres!$A$1:$I$89,3,0)*VLOOKUP('Données projet'!$B$12,Paramètres!$A$1:$I$89,5,0)</f>
        <v>-1.69961822393816E-13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289.12367833861299</v>
      </c>
      <c r="CE112" s="62">
        <f t="shared" si="94"/>
        <v>229.06617320689003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5.3337411448120134E-12</v>
      </c>
      <c r="CN112" s="24">
        <f t="shared" si="66"/>
        <v>5.3337411448120134E-12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-4.5224624045658861E-14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370.59298168107364</v>
      </c>
      <c r="CZ112" s="62">
        <f t="shared" si="96"/>
        <v>404.61777090709171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-5.6843418860808015E-14</v>
      </c>
      <c r="DP112" s="18">
        <f>DO112*VLOOKUP('Données projet'!$B$14,Paramètres!$A$1:$I$89,3,0)*VLOOKUP('Données projet'!$B$14,Paramètres!$A$1:$I$89,5,0)</f>
        <v>-4.9658410716801891E-14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341.65872153228599</v>
      </c>
      <c r="DU112" s="62">
        <f t="shared" si="98"/>
        <v>339.49697153894937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3.333333333333337</v>
      </c>
      <c r="EJ112" s="13">
        <f>IF('Données projet'!$A$192&gt;35,EJ111+EI112-ER111,IF(A112&lt;'Données projet'!$A$192,$EG$205^A112,IF(A112='Données projet'!$A$192,'Données projet'!$B$192,EJ111+EI112-ER111)))</f>
        <v>314.61538461538481</v>
      </c>
      <c r="EK112" s="18">
        <f>EJ112*VLOOKUP('Données projet'!$B$15,Paramètres!$A$1:$I$89,3,0)*VLOOKUP('Données projet'!$B$15,Paramètres!$A$1:$I$89,5,0)</f>
        <v>211.04400000000015</v>
      </c>
      <c r="EL112" s="14">
        <f t="shared" si="99"/>
        <v>52.163660077304868</v>
      </c>
      <c r="EM112" s="22">
        <f t="shared" si="73"/>
        <v>458.42000796797294</v>
      </c>
      <c r="EN112" s="62">
        <f t="shared" si="74"/>
        <v>751.75334130130625</v>
      </c>
      <c r="EO112" s="62">
        <f ca="1">AVERAGE(OFFSET($EN$3,0,0,'Données projet'!$E$15+1,1))-AVERAGE(OFFSET($H$3,0,0,'Données projet'!$E$15+1,1))</f>
        <v>312.06797204903796</v>
      </c>
      <c r="EP112" s="62">
        <f t="shared" si="100"/>
        <v>258.20189001775151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4.4000000000000004</v>
      </c>
      <c r="FE112" s="13">
        <f>IF('Données projet'!$A$218&gt;35,FE111+FD112-FM111,IF(A112&lt;'Données projet'!$A$218,$FB$205^A112,IF(A112='Données projet'!$A$218,'Données projet'!$B$218,FE111+FD112-FM111)))</f>
        <v>300.59999999999962</v>
      </c>
      <c r="FF112" s="18">
        <f>FE112*VLOOKUP('Données projet'!$B$16,Paramètres!$A$1:$I$89,3,0)*VLOOKUP('Données projet'!$B$16,Paramètres!$A$1:$I$89,5,0)</f>
        <v>290.74031999999966</v>
      </c>
      <c r="FG112" s="14">
        <f t="shared" si="101"/>
        <v>69.231751058085507</v>
      </c>
      <c r="FH112" s="22">
        <f t="shared" si="76"/>
        <v>626.95135709283159</v>
      </c>
      <c r="FI112" s="62">
        <f t="shared" si="77"/>
        <v>920.28469042616484</v>
      </c>
      <c r="FJ112" s="62">
        <f ca="1">AVERAGE(OFFSET($FI$3,0,0,'Données projet'!$E$16+1,1))-AVERAGE(OFFSET($H$3,0,0,'Données projet'!$E$16+1,1))</f>
        <v>455.50822833641354</v>
      </c>
      <c r="FK112" s="62">
        <f t="shared" si="102"/>
        <v>261.14722581688039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2.2737367544323206E-13</v>
      </c>
      <c r="O113" s="14">
        <f>N113*VLOOKUP('Données projet'!$B$9,Paramètres!$A$1:$I$89,3,0)*VLOOKUP('Données projet'!$B$9,Paramètres!$A$1:$I$89,5,0)</f>
        <v>1.2710188457276673E-13</v>
      </c>
      <c r="P113" s="14">
        <f t="shared" si="87"/>
        <v>1.856866851063998E-12</v>
      </c>
      <c r="Q113" s="22">
        <f t="shared" si="107"/>
        <v>3.4554122145673649E-12</v>
      </c>
      <c r="R113" s="62">
        <f t="shared" si="55"/>
        <v>293.33333333333678</v>
      </c>
      <c r="S113" s="62">
        <f ca="1">AVERAGE(OFFSET($R$3,0,0,'Données projet'!$E$9+1,1))-AVERAGE(OFFSET($H$3,0,0,'Données projet'!$E$9+1,1))</f>
        <v>323.98185264074681</v>
      </c>
      <c r="T113" s="62">
        <f t="shared" si="88"/>
        <v>301.22207291854005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0.91514992602376188</v>
      </c>
      <c r="AA113" s="23">
        <f>EXP(-LN(2)/25)*AA112+(1-EXP(-LN(2)/25))/(LN(2)/25)*Calculateur!V113*Calculateur!X113*VLOOKUP('Données projet'!$B$9,Paramètres!$A$1:$I$89,3,0)*0.475*44/12</f>
        <v>0.89746141852695482</v>
      </c>
      <c r="AB113" s="23">
        <f>EXP(-LN(2)/2)*AB112+(1-EXP(-LN(2)/2))/(LN(2)/2)*V113*Y113*VLOOKUP('Données projet'!$B$9,Paramètres!$A$1:$I$89,3,0)*0.475*44/12</f>
        <v>5.5368283752777831E-12</v>
      </c>
      <c r="AC113" s="24">
        <f t="shared" si="57"/>
        <v>1.8126113445562537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1.7053025658242404E-13</v>
      </c>
      <c r="AJ113" s="14">
        <f>AI113*VLOOKUP('Données projet'!$B$10,Paramètres!$A$1:$I$89,3,0)*VLOOKUP('Données projet'!$B$10,Paramètres!$A$1:$I$89,5,0)</f>
        <v>7.9808160080574461E-14</v>
      </c>
      <c r="AK113" s="14">
        <f t="shared" si="89"/>
        <v>1.2308384591775343E-12</v>
      </c>
      <c r="AL113" s="22">
        <f t="shared" si="58"/>
        <v>2.282709528541206E-12</v>
      </c>
      <c r="AM113" s="62">
        <f t="shared" si="59"/>
        <v>293.33333333333559</v>
      </c>
      <c r="AN113" s="62">
        <f ca="1">AVERAGE(OFFSET($AM$3,0,0,'Données projet'!$E$10+1,1))-AVERAGE(OFFSET($H$3,0,0,'Données projet'!$E$10+1,1))</f>
        <v>276.78862011733338</v>
      </c>
      <c r="AO113" s="62">
        <f t="shared" si="90"/>
        <v>202.1678469635836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275.9639999999996</v>
      </c>
      <c r="BF113" s="14">
        <f t="shared" si="91"/>
        <v>66.113366665488797</v>
      </c>
      <c r="BG113" s="22">
        <f t="shared" si="61"/>
        <v>595.7847469423923</v>
      </c>
      <c r="BH113" s="62">
        <f t="shared" si="62"/>
        <v>889.11808027572556</v>
      </c>
      <c r="BI113" s="62">
        <f ca="1">AVERAGE(OFFSET($BH$3,0,0,'Données projet'!$E$11+1,1))-AVERAGE(OFFSET($H$3,0,0,'Données projet'!$E$11+1,1))</f>
        <v>428.8489304403459</v>
      </c>
      <c r="BJ113" s="62">
        <f t="shared" si="92"/>
        <v>247.01165577562966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-2.8421709430404007E-13</v>
      </c>
      <c r="BZ113" s="14">
        <f>BY113*VLOOKUP('Données projet'!$B$12,Paramètres!$A$1:$I$89,3,0)*VLOOKUP('Données projet'!$B$12,Paramètres!$A$1:$I$89,5,0)</f>
        <v>-1.69961822393816E-13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289.12367833861299</v>
      </c>
      <c r="CE113" s="62">
        <f t="shared" si="94"/>
        <v>229.06617320689003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3.7715245325902738E-12</v>
      </c>
      <c r="CN113" s="24">
        <f t="shared" si="66"/>
        <v>3.7715245325902738E-12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-4.5224624045658861E-14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370.59298168107364</v>
      </c>
      <c r="CZ113" s="62">
        <f t="shared" si="96"/>
        <v>404.61777090709171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-5.6843418860808015E-14</v>
      </c>
      <c r="DP113" s="18">
        <f>DO113*VLOOKUP('Données projet'!$B$14,Paramètres!$A$1:$I$89,3,0)*VLOOKUP('Données projet'!$B$14,Paramètres!$A$1:$I$89,5,0)</f>
        <v>-4.9658410716801891E-14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341.65872153228599</v>
      </c>
      <c r="DU113" s="62">
        <f t="shared" si="98"/>
        <v>339.49697153894937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317.94871794871796</v>
      </c>
      <c r="EH113" s="13">
        <f>VLOOKUP(A113,'Données projet'!$A$191:$I$211,9,0)</f>
        <v>3.333333333333337</v>
      </c>
      <c r="EI113" s="13">
        <f t="array" ref="EI113">INDEX(EH:EH,MIN(IF(ISNUMBER(EH113:EH309),ROW(EH113:EH309),"")))</f>
        <v>3.333333333333337</v>
      </c>
      <c r="EJ113" s="13">
        <f>IF('Données projet'!$A$192&gt;35,EJ112+EI113-ER112,IF(A113&lt;'Données projet'!$A$192,$EG$205^A113,IF(A113='Données projet'!$A$192,'Données projet'!$B$192,EJ112+EI113-ER112)))</f>
        <v>317.94871794871813</v>
      </c>
      <c r="EK113" s="18">
        <f>EJ113*VLOOKUP('Données projet'!$B$15,Paramètres!$A$1:$I$89,3,0)*VLOOKUP('Données projet'!$B$15,Paramètres!$A$1:$I$89,5,0)</f>
        <v>213.28000000000011</v>
      </c>
      <c r="EL113" s="14">
        <f t="shared" si="99"/>
        <v>52.651700420383257</v>
      </c>
      <c r="EM113" s="22">
        <f t="shared" si="73"/>
        <v>463.16437823216773</v>
      </c>
      <c r="EN113" s="62">
        <f t="shared" si="74"/>
        <v>756.49771156550105</v>
      </c>
      <c r="EO113" s="62">
        <f ca="1">AVERAGE(OFFSET($EN$3,0,0,'Données projet'!$E$15+1,1))-AVERAGE(OFFSET($H$3,0,0,'Données projet'!$E$15+1,1))</f>
        <v>312.06797204903796</v>
      </c>
      <c r="EP113" s="62">
        <f t="shared" si="100"/>
        <v>258.20189001775151</v>
      </c>
      <c r="EQ113" s="16">
        <f>IF(ISNA(VLOOKUP(A113,'Données projet'!$A$191:$I$211,3,0)),0,VLOOKUP(A113,'Données projet'!$A$191:$I$211,3,0))</f>
        <v>10</v>
      </c>
      <c r="ER113" s="16">
        <f>IF(ISNA(VLOOKUP(A113,'Données projet'!$A$191:$I$211,4,0)),0,VLOOKUP(A113,'Données projet'!$A$191:$I$211,4,0))</f>
        <v>317.94871794871796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305</v>
      </c>
      <c r="FC113" s="13">
        <f>VLOOKUP(A113,'Données projet'!$A$217:$I$237,9,0)</f>
        <v>4.4000000000000004</v>
      </c>
      <c r="FD113" s="13">
        <f t="array" ref="FD113">INDEX(FC:FC,MIN(IF(ISNUMBER(FC113:FC309),ROW(FC113:FC309),"")))</f>
        <v>4.4000000000000004</v>
      </c>
      <c r="FE113" s="13">
        <f>IF('Données projet'!$A$218&gt;35,FE112+FD113-FM112,IF(A113&lt;'Données projet'!$A$218,$FB$205^A113,IF(A113='Données projet'!$A$218,'Données projet'!$B$218,FE112+FD113-FM112)))</f>
        <v>304.9999999999996</v>
      </c>
      <c r="FF113" s="18">
        <f>FE113*VLOOKUP('Données projet'!$B$16,Paramètres!$A$1:$I$89,3,0)*VLOOKUP('Données projet'!$B$16,Paramètres!$A$1:$I$89,5,0)</f>
        <v>294.99599999999958</v>
      </c>
      <c r="FG113" s="14">
        <f t="shared" si="101"/>
        <v>70.126408118585317</v>
      </c>
      <c r="FH113" s="22">
        <f t="shared" si="76"/>
        <v>635.92152747320199</v>
      </c>
      <c r="FI113" s="62">
        <f t="shared" si="77"/>
        <v>929.25486080653536</v>
      </c>
      <c r="FJ113" s="62">
        <f ca="1">AVERAGE(OFFSET($FI$3,0,0,'Données projet'!$E$16+1,1))-AVERAGE(OFFSET($H$3,0,0,'Données projet'!$E$16+1,1))</f>
        <v>455.50822833641354</v>
      </c>
      <c r="FK113" s="62">
        <f t="shared" si="102"/>
        <v>261.14722581688039</v>
      </c>
      <c r="FL113" s="16">
        <f>IF(ISNA(VLOOKUP(A113,'Données projet'!$A$217:$I$237,3,0)),0,VLOOKUP(A113,'Données projet'!$A$217:$I$237,3,0))</f>
        <v>9</v>
      </c>
      <c r="FM113" s="16">
        <f>IF(ISNA(VLOOKUP(A113,'Données projet'!$A$217:$I$237,4,0)),0,VLOOKUP(A113,'Données projet'!$A$217:$I$237,4,0))</f>
        <v>39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2.2737367544323206E-13</v>
      </c>
      <c r="O114" s="14">
        <f>N114*VLOOKUP('Données projet'!$B$9,Paramètres!$A$1:$I$89,3,0)*VLOOKUP('Données projet'!$B$9,Paramètres!$A$1:$I$89,5,0)</f>
        <v>1.2710188457276673E-13</v>
      </c>
      <c r="P114" s="14">
        <f t="shared" si="87"/>
        <v>1.856866851063998E-12</v>
      </c>
      <c r="Q114" s="22">
        <f t="shared" si="107"/>
        <v>3.4554122145673649E-12</v>
      </c>
      <c r="R114" s="62">
        <f t="shared" si="55"/>
        <v>293.33333333333678</v>
      </c>
      <c r="S114" s="62">
        <f ca="1">AVERAGE(OFFSET($R$3,0,0,'Données projet'!$E$9+1,1))-AVERAGE(OFFSET($H$3,0,0,'Données projet'!$E$9+1,1))</f>
        <v>323.98185264074681</v>
      </c>
      <c r="T114" s="62">
        <f t="shared" si="88"/>
        <v>301.22207291854005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0.89720439416077447</v>
      </c>
      <c r="AA114" s="23">
        <f>EXP(-LN(2)/25)*AA113+(1-EXP(-LN(2)/25))/(LN(2)/25)*Calculateur!V114*Calculateur!X114*VLOOKUP('Données projet'!$B$9,Paramètres!$A$1:$I$89,3,0)*0.475*44/12</f>
        <v>0.87292028884189043</v>
      </c>
      <c r="AB114" s="23">
        <f>EXP(-LN(2)/2)*AB113+(1-EXP(-LN(2)/2))/(LN(2)/2)*V114*Y114*VLOOKUP('Données projet'!$B$9,Paramètres!$A$1:$I$89,3,0)*0.475*44/12</f>
        <v>3.9151288904250147E-12</v>
      </c>
      <c r="AC114" s="24">
        <f t="shared" si="57"/>
        <v>1.77012468300658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1.7053025658242404E-13</v>
      </c>
      <c r="AJ114" s="14">
        <f>AI114*VLOOKUP('Données projet'!$B$10,Paramètres!$A$1:$I$89,3,0)*VLOOKUP('Données projet'!$B$10,Paramètres!$A$1:$I$89,5,0)</f>
        <v>7.9808160080574461E-14</v>
      </c>
      <c r="AK114" s="14">
        <f t="shared" si="89"/>
        <v>1.2308384591775343E-12</v>
      </c>
      <c r="AL114" s="22">
        <f t="shared" si="58"/>
        <v>2.282709528541206E-12</v>
      </c>
      <c r="AM114" s="62">
        <f t="shared" si="59"/>
        <v>293.33333333333559</v>
      </c>
      <c r="AN114" s="62">
        <f ca="1">AVERAGE(OFFSET($AM$3,0,0,'Données projet'!$E$10+1,1))-AVERAGE(OFFSET($H$3,0,0,'Données projet'!$E$10+1,1))</f>
        <v>276.78862011733338</v>
      </c>
      <c r="AO114" s="62">
        <f t="shared" si="90"/>
        <v>202.1678469635836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244.02455999999964</v>
      </c>
      <c r="BF114" s="14">
        <f t="shared" si="91"/>
        <v>59.304594314969229</v>
      </c>
      <c r="BG114" s="22">
        <f t="shared" si="61"/>
        <v>528.29827709857079</v>
      </c>
      <c r="BH114" s="62">
        <f t="shared" si="62"/>
        <v>821.63161043190416</v>
      </c>
      <c r="BI114" s="62">
        <f ca="1">AVERAGE(OFFSET($BH$3,0,0,'Données projet'!$E$11+1,1))-AVERAGE(OFFSET($H$3,0,0,'Données projet'!$E$11+1,1))</f>
        <v>428.8489304403459</v>
      </c>
      <c r="BJ114" s="62">
        <f t="shared" si="92"/>
        <v>247.01165577562966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-2.8421709430404007E-13</v>
      </c>
      <c r="BZ114" s="14">
        <f>BY114*VLOOKUP('Données projet'!$B$12,Paramètres!$A$1:$I$89,3,0)*VLOOKUP('Données projet'!$B$12,Paramètres!$A$1:$I$89,5,0)</f>
        <v>-1.69961822393816E-13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289.12367833861299</v>
      </c>
      <c r="CE114" s="62">
        <f t="shared" si="94"/>
        <v>229.06617320689003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2.6668705724060067E-12</v>
      </c>
      <c r="CN114" s="24">
        <f t="shared" si="66"/>
        <v>2.6668705724060067E-12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-4.5224624045658861E-14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370.59298168107364</v>
      </c>
      <c r="CZ114" s="62">
        <f t="shared" si="96"/>
        <v>404.61777090709171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-5.6843418860808015E-14</v>
      </c>
      <c r="DP114" s="18">
        <f>DO114*VLOOKUP('Données projet'!$B$14,Paramètres!$A$1:$I$89,3,0)*VLOOKUP('Données projet'!$B$14,Paramètres!$A$1:$I$89,5,0)</f>
        <v>-4.9658410716801891E-14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341.65872153228599</v>
      </c>
      <c r="DU114" s="62">
        <f t="shared" si="98"/>
        <v>339.49697153894937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1.7053025658242404E-13</v>
      </c>
      <c r="EK114" s="18">
        <f>EJ114*VLOOKUP('Données projet'!$B$15,Paramètres!$A$1:$I$89,3,0)*VLOOKUP('Données projet'!$B$15,Paramètres!$A$1:$I$89,5,0)</f>
        <v>1.1439169611549005E-13</v>
      </c>
      <c r="EL114" s="14">
        <f t="shared" si="99"/>
        <v>1.6918016515029816E-12</v>
      </c>
      <c r="EM114" s="22">
        <f t="shared" si="73"/>
        <v>3.1457867471021712E-12</v>
      </c>
      <c r="EN114" s="62">
        <f t="shared" si="74"/>
        <v>293.33333333333644</v>
      </c>
      <c r="EO114" s="62">
        <f ca="1">AVERAGE(OFFSET($EN$3,0,0,'Données projet'!$E$15+1,1))-AVERAGE(OFFSET($H$3,0,0,'Données projet'!$E$15+1,1))</f>
        <v>312.06797204903796</v>
      </c>
      <c r="EP114" s="62">
        <f t="shared" si="100"/>
        <v>258.20189001775151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3.7</v>
      </c>
      <c r="FE114" s="13">
        <f>IF('Données projet'!$A$218&gt;35,FE113+FD114-FM113,IF(A114&lt;'Données projet'!$A$218,$FB$205^A114,IF(A114='Données projet'!$A$218,'Données projet'!$B$218,FE113+FD114-FM113)))</f>
        <v>269.69999999999959</v>
      </c>
      <c r="FF114" s="18">
        <f>FE114*VLOOKUP('Données projet'!$B$16,Paramètres!$A$1:$I$89,3,0)*VLOOKUP('Données projet'!$B$16,Paramètres!$A$1:$I$89,5,0)</f>
        <v>260.85383999999959</v>
      </c>
      <c r="FG114" s="14">
        <f t="shared" si="101"/>
        <v>62.904347395903649</v>
      </c>
      <c r="FH114" s="22">
        <f t="shared" si="76"/>
        <v>563.87884304786473</v>
      </c>
      <c r="FI114" s="62">
        <f t="shared" si="77"/>
        <v>857.21217638119811</v>
      </c>
      <c r="FJ114" s="62">
        <f ca="1">AVERAGE(OFFSET($FI$3,0,0,'Données projet'!$E$16+1,1))-AVERAGE(OFFSET($H$3,0,0,'Données projet'!$E$16+1,1))</f>
        <v>455.50822833641354</v>
      </c>
      <c r="FK114" s="62">
        <f t="shared" si="102"/>
        <v>261.14722581688039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2.2737367544323206E-13</v>
      </c>
      <c r="O115" s="14">
        <f>N115*VLOOKUP('Données projet'!$B$9,Paramètres!$A$1:$I$89,3,0)*VLOOKUP('Données projet'!$B$9,Paramètres!$A$1:$I$89,5,0)</f>
        <v>1.2710188457276673E-13</v>
      </c>
      <c r="P115" s="14">
        <f t="shared" si="87"/>
        <v>1.856866851063998E-12</v>
      </c>
      <c r="Q115" s="22">
        <f t="shared" si="107"/>
        <v>3.4554122145673649E-12</v>
      </c>
      <c r="R115" s="62">
        <f t="shared" si="55"/>
        <v>293.33333333333678</v>
      </c>
      <c r="S115" s="62">
        <f ca="1">AVERAGE(OFFSET($R$3,0,0,'Données projet'!$E$9+1,1))-AVERAGE(OFFSET($H$3,0,0,'Données projet'!$E$9+1,1))</f>
        <v>323.98185264074681</v>
      </c>
      <c r="T115" s="62">
        <f t="shared" si="88"/>
        <v>301.22207291854005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0.87961076323192655</v>
      </c>
      <c r="AA115" s="23">
        <f>EXP(-LN(2)/25)*AA114+(1-EXP(-LN(2)/25))/(LN(2)/25)*Calculateur!V115*Calculateur!X115*VLOOKUP('Données projet'!$B$9,Paramètres!$A$1:$I$89,3,0)*0.475*44/12</f>
        <v>0.84905023763862608</v>
      </c>
      <c r="AB115" s="23">
        <f>EXP(-LN(2)/2)*AB114+(1-EXP(-LN(2)/2))/(LN(2)/2)*V115*Y115*VLOOKUP('Données projet'!$B$9,Paramètres!$A$1:$I$89,3,0)*0.475*44/12</f>
        <v>2.7684141876388915E-12</v>
      </c>
      <c r="AC115" s="24">
        <f t="shared" si="57"/>
        <v>1.7286610008733212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1.7053025658242404E-13</v>
      </c>
      <c r="AJ115" s="14">
        <f>AI115*VLOOKUP('Données projet'!$B$10,Paramètres!$A$1:$I$89,3,0)*VLOOKUP('Données projet'!$B$10,Paramètres!$A$1:$I$89,5,0)</f>
        <v>7.9808160080574461E-14</v>
      </c>
      <c r="AK115" s="14">
        <f t="shared" si="89"/>
        <v>1.2308384591775343E-12</v>
      </c>
      <c r="AL115" s="22">
        <f t="shared" si="58"/>
        <v>2.282709528541206E-12</v>
      </c>
      <c r="AM115" s="62">
        <f t="shared" si="59"/>
        <v>293.33333333333559</v>
      </c>
      <c r="AN115" s="62">
        <f ca="1">AVERAGE(OFFSET($AM$3,0,0,'Données projet'!$E$10+1,1))-AVERAGE(OFFSET($H$3,0,0,'Données projet'!$E$10+1,1))</f>
        <v>276.78862011733338</v>
      </c>
      <c r="AO115" s="62">
        <f t="shared" si="90"/>
        <v>202.1678469635836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247.3723199999996</v>
      </c>
      <c r="BF115" s="14">
        <f t="shared" si="91"/>
        <v>60.022917171130942</v>
      </c>
      <c r="BG115" s="22">
        <f t="shared" si="61"/>
        <v>535.38003807305233</v>
      </c>
      <c r="BH115" s="62">
        <f t="shared" si="62"/>
        <v>828.7133714063857</v>
      </c>
      <c r="BI115" s="62">
        <f ca="1">AVERAGE(OFFSET($BH$3,0,0,'Données projet'!$E$11+1,1))-AVERAGE(OFFSET($H$3,0,0,'Données projet'!$E$11+1,1))</f>
        <v>428.8489304403459</v>
      </c>
      <c r="BJ115" s="62">
        <f t="shared" si="92"/>
        <v>247.01165577562966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-2.8421709430404007E-13</v>
      </c>
      <c r="BZ115" s="14">
        <f>BY115*VLOOKUP('Données projet'!$B$12,Paramètres!$A$1:$I$89,3,0)*VLOOKUP('Données projet'!$B$12,Paramètres!$A$1:$I$89,5,0)</f>
        <v>-1.69961822393816E-13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289.12367833861299</v>
      </c>
      <c r="CE115" s="62">
        <f t="shared" si="94"/>
        <v>229.06617320689003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1.8857622662951369E-12</v>
      </c>
      <c r="CN115" s="24">
        <f t="shared" si="66"/>
        <v>1.8857622662951369E-12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-4.5224624045658861E-14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370.59298168107364</v>
      </c>
      <c r="CZ115" s="62">
        <f t="shared" si="96"/>
        <v>404.61777090709171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-5.6843418860808015E-14</v>
      </c>
      <c r="DP115" s="18">
        <f>DO115*VLOOKUP('Données projet'!$B$14,Paramètres!$A$1:$I$89,3,0)*VLOOKUP('Données projet'!$B$14,Paramètres!$A$1:$I$89,5,0)</f>
        <v>-4.9658410716801891E-14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341.65872153228599</v>
      </c>
      <c r="DU115" s="62">
        <f t="shared" si="98"/>
        <v>339.49697153894937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1.7053025658242404E-13</v>
      </c>
      <c r="EK115" s="18">
        <f>EJ115*VLOOKUP('Données projet'!$B$15,Paramètres!$A$1:$I$89,3,0)*VLOOKUP('Données projet'!$B$15,Paramètres!$A$1:$I$89,5,0)</f>
        <v>1.1439169611549005E-13</v>
      </c>
      <c r="EL115" s="14">
        <f t="shared" si="99"/>
        <v>1.6918016515029816E-12</v>
      </c>
      <c r="EM115" s="22">
        <f t="shared" si="73"/>
        <v>3.1457867471021712E-12</v>
      </c>
      <c r="EN115" s="62">
        <f t="shared" si="74"/>
        <v>293.33333333333644</v>
      </c>
      <c r="EO115" s="62">
        <f ca="1">AVERAGE(OFFSET($EN$3,0,0,'Données projet'!$E$15+1,1))-AVERAGE(OFFSET($H$3,0,0,'Données projet'!$E$15+1,1))</f>
        <v>312.06797204903796</v>
      </c>
      <c r="EP115" s="62">
        <f t="shared" si="100"/>
        <v>258.20189001775151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3.7</v>
      </c>
      <c r="FE115" s="13">
        <f>IF('Données projet'!$A$218&gt;35,FE114+FD115-FM114,IF(A115&lt;'Données projet'!$A$218,$FB$205^A115,IF(A115='Données projet'!$A$218,'Données projet'!$B$218,FE114+FD115-FM114)))</f>
        <v>273.39999999999958</v>
      </c>
      <c r="FF115" s="18">
        <f>FE115*VLOOKUP('Données projet'!$B$16,Paramètres!$A$1:$I$89,3,0)*VLOOKUP('Données projet'!$B$16,Paramètres!$A$1:$I$89,5,0)</f>
        <v>264.4324799999996</v>
      </c>
      <c r="FG115" s="14">
        <f t="shared" si="101"/>
        <v>63.666272015882292</v>
      </c>
      <c r="FH115" s="22">
        <f t="shared" si="76"/>
        <v>571.43865976099426</v>
      </c>
      <c r="FI115" s="62">
        <f t="shared" si="77"/>
        <v>864.77199309432763</v>
      </c>
      <c r="FJ115" s="62">
        <f ca="1">AVERAGE(OFFSET($FI$3,0,0,'Données projet'!$E$16+1,1))-AVERAGE(OFFSET($H$3,0,0,'Données projet'!$E$16+1,1))</f>
        <v>455.50822833641354</v>
      </c>
      <c r="FK115" s="62">
        <f t="shared" si="102"/>
        <v>261.14722581688039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2.2737367544323206E-13</v>
      </c>
      <c r="O116" s="14">
        <f>N116*VLOOKUP('Données projet'!$B$9,Paramètres!$A$1:$I$89,3,0)*VLOOKUP('Données projet'!$B$9,Paramètres!$A$1:$I$89,5,0)</f>
        <v>1.2710188457276673E-13</v>
      </c>
      <c r="P116" s="14">
        <f t="shared" si="87"/>
        <v>1.856866851063998E-12</v>
      </c>
      <c r="Q116" s="22">
        <f t="shared" si="107"/>
        <v>3.4554122145673649E-12</v>
      </c>
      <c r="R116" s="62">
        <f t="shared" si="55"/>
        <v>293.33333333333678</v>
      </c>
      <c r="S116" s="62">
        <f ca="1">AVERAGE(OFFSET($R$3,0,0,'Données projet'!$E$9+1,1))-AVERAGE(OFFSET($H$3,0,0,'Données projet'!$E$9+1,1))</f>
        <v>323.98185264074681</v>
      </c>
      <c r="T116" s="62">
        <f t="shared" si="88"/>
        <v>301.22207291854005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0.8623621326745381</v>
      </c>
      <c r="AA116" s="23">
        <f>EXP(-LN(2)/25)*AA115+(1-EXP(-LN(2)/25))/(LN(2)/25)*Calculateur!V116*Calculateur!X116*VLOOKUP('Données projet'!$B$9,Paramètres!$A$1:$I$89,3,0)*0.475*44/12</f>
        <v>0.82583291424078642</v>
      </c>
      <c r="AB116" s="23">
        <f>EXP(-LN(2)/2)*AB115+(1-EXP(-LN(2)/2))/(LN(2)/2)*V116*Y116*VLOOKUP('Données projet'!$B$9,Paramètres!$A$1:$I$89,3,0)*0.475*44/12</f>
        <v>1.9575644452125074E-12</v>
      </c>
      <c r="AC116" s="24">
        <f t="shared" si="57"/>
        <v>1.6881950469172819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1.7053025658242404E-13</v>
      </c>
      <c r="AJ116" s="14">
        <f>AI116*VLOOKUP('Données projet'!$B$10,Paramètres!$A$1:$I$89,3,0)*VLOOKUP('Données projet'!$B$10,Paramètres!$A$1:$I$89,5,0)</f>
        <v>7.9808160080574461E-14</v>
      </c>
      <c r="AK116" s="14">
        <f t="shared" si="89"/>
        <v>1.2308384591775343E-12</v>
      </c>
      <c r="AL116" s="22">
        <f t="shared" si="58"/>
        <v>2.282709528541206E-12</v>
      </c>
      <c r="AM116" s="62">
        <f t="shared" si="59"/>
        <v>293.33333333333559</v>
      </c>
      <c r="AN116" s="62">
        <f ca="1">AVERAGE(OFFSET($AM$3,0,0,'Données projet'!$E$10+1,1))-AVERAGE(OFFSET($H$3,0,0,'Données projet'!$E$10+1,1))</f>
        <v>276.78862011733338</v>
      </c>
      <c r="AO116" s="62">
        <f t="shared" si="90"/>
        <v>202.1678469635836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250.7200799999996</v>
      </c>
      <c r="BF116" s="14">
        <f t="shared" si="91"/>
        <v>60.740109326032709</v>
      </c>
      <c r="BG116" s="22">
        <f t="shared" si="61"/>
        <v>542.45982974283959</v>
      </c>
      <c r="BH116" s="62">
        <f t="shared" si="62"/>
        <v>835.79316307617296</v>
      </c>
      <c r="BI116" s="62">
        <f ca="1">AVERAGE(OFFSET($BH$3,0,0,'Données projet'!$E$11+1,1))-AVERAGE(OFFSET($H$3,0,0,'Données projet'!$E$11+1,1))</f>
        <v>428.8489304403459</v>
      </c>
      <c r="BJ116" s="62">
        <f t="shared" si="92"/>
        <v>247.01165577562966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-2.8421709430404007E-13</v>
      </c>
      <c r="BZ116" s="14">
        <f>BY116*VLOOKUP('Données projet'!$B$12,Paramètres!$A$1:$I$89,3,0)*VLOOKUP('Données projet'!$B$12,Paramètres!$A$1:$I$89,5,0)</f>
        <v>-1.69961822393816E-13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289.12367833861299</v>
      </c>
      <c r="CE116" s="62">
        <f t="shared" si="94"/>
        <v>229.06617320689003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1.3334352862030033E-12</v>
      </c>
      <c r="CN116" s="24">
        <f t="shared" si="66"/>
        <v>1.3334352862030033E-12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-4.5224624045658861E-14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370.59298168107364</v>
      </c>
      <c r="CZ116" s="62">
        <f t="shared" si="96"/>
        <v>404.61777090709171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-5.6843418860808015E-14</v>
      </c>
      <c r="DP116" s="18">
        <f>DO116*VLOOKUP('Données projet'!$B$14,Paramètres!$A$1:$I$89,3,0)*VLOOKUP('Données projet'!$B$14,Paramètres!$A$1:$I$89,5,0)</f>
        <v>-4.9658410716801891E-14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341.65872153228599</v>
      </c>
      <c r="DU116" s="62">
        <f t="shared" si="98"/>
        <v>339.49697153894937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1.7053025658242404E-13</v>
      </c>
      <c r="EK116" s="18">
        <f>EJ116*VLOOKUP('Données projet'!$B$15,Paramètres!$A$1:$I$89,3,0)*VLOOKUP('Données projet'!$B$15,Paramètres!$A$1:$I$89,5,0)</f>
        <v>1.1439169611549005E-13</v>
      </c>
      <c r="EL116" s="14">
        <f t="shared" si="99"/>
        <v>1.6918016515029816E-12</v>
      </c>
      <c r="EM116" s="22">
        <f t="shared" si="73"/>
        <v>3.1457867471021712E-12</v>
      </c>
      <c r="EN116" s="62">
        <f t="shared" si="74"/>
        <v>293.33333333333644</v>
      </c>
      <c r="EO116" s="62">
        <f ca="1">AVERAGE(OFFSET($EN$3,0,0,'Données projet'!$E$15+1,1))-AVERAGE(OFFSET($H$3,0,0,'Données projet'!$E$15+1,1))</f>
        <v>312.06797204903796</v>
      </c>
      <c r="EP116" s="62">
        <f t="shared" si="100"/>
        <v>258.20189001775151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3.7</v>
      </c>
      <c r="FE116" s="13">
        <f>IF('Données projet'!$A$218&gt;35,FE115+FD116-FM115,IF(A116&lt;'Données projet'!$A$218,$FB$205^A116,IF(A116='Données projet'!$A$218,'Données projet'!$B$218,FE115+FD116-FM115)))</f>
        <v>277.09999999999957</v>
      </c>
      <c r="FF116" s="18">
        <f>FE116*VLOOKUP('Données projet'!$B$16,Paramètres!$A$1:$I$89,3,0)*VLOOKUP('Données projet'!$B$16,Paramètres!$A$1:$I$89,5,0)</f>
        <v>268.01111999999961</v>
      </c>
      <c r="FG116" s="14">
        <f t="shared" si="101"/>
        <v>64.426997301716796</v>
      </c>
      <c r="FH116" s="22">
        <f t="shared" si="76"/>
        <v>578.99638763382268</v>
      </c>
      <c r="FI116" s="62">
        <f t="shared" si="77"/>
        <v>872.32972096715594</v>
      </c>
      <c r="FJ116" s="62">
        <f ca="1">AVERAGE(OFFSET($FI$3,0,0,'Données projet'!$E$16+1,1))-AVERAGE(OFFSET($H$3,0,0,'Données projet'!$E$16+1,1))</f>
        <v>455.50822833641354</v>
      </c>
      <c r="FK116" s="62">
        <f t="shared" si="102"/>
        <v>261.14722581688039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2.2737367544323206E-13</v>
      </c>
      <c r="O117" s="14">
        <f>N117*VLOOKUP('Données projet'!$B$9,Paramètres!$A$1:$I$89,3,0)*VLOOKUP('Données projet'!$B$9,Paramètres!$A$1:$I$89,5,0)</f>
        <v>1.2710188457276673E-13</v>
      </c>
      <c r="P117" s="14">
        <f t="shared" si="87"/>
        <v>1.856866851063998E-12</v>
      </c>
      <c r="Q117" s="22">
        <f t="shared" si="107"/>
        <v>3.4554122145673649E-12</v>
      </c>
      <c r="R117" s="62">
        <f t="shared" si="55"/>
        <v>293.33333333333678</v>
      </c>
      <c r="S117" s="62">
        <f ca="1">AVERAGE(OFFSET($R$3,0,0,'Données projet'!$E$9+1,1))-AVERAGE(OFFSET($H$3,0,0,'Données projet'!$E$9+1,1))</f>
        <v>323.98185264074681</v>
      </c>
      <c r="T117" s="62">
        <f t="shared" si="88"/>
        <v>301.22207291854005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0.84545173724175426</v>
      </c>
      <c r="AA117" s="23">
        <f>EXP(-LN(2)/25)*AA116+(1-EXP(-LN(2)/25))/(LN(2)/25)*Calculateur!V117*Calculateur!X117*VLOOKUP('Données projet'!$B$9,Paramètres!$A$1:$I$89,3,0)*0.475*44/12</f>
        <v>0.8032504697722066</v>
      </c>
      <c r="AB117" s="23">
        <f>EXP(-LN(2)/2)*AB116+(1-EXP(-LN(2)/2))/(LN(2)/2)*V117*Y117*VLOOKUP('Données projet'!$B$9,Paramètres!$A$1:$I$89,3,0)*0.475*44/12</f>
        <v>1.3842070938194458E-12</v>
      </c>
      <c r="AC117" s="24">
        <f t="shared" si="57"/>
        <v>1.648702207015345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1.7053025658242404E-13</v>
      </c>
      <c r="AJ117" s="14">
        <f>AI117*VLOOKUP('Données projet'!$B$10,Paramètres!$A$1:$I$89,3,0)*VLOOKUP('Données projet'!$B$10,Paramètres!$A$1:$I$89,5,0)</f>
        <v>7.9808160080574461E-14</v>
      </c>
      <c r="AK117" s="14">
        <f t="shared" si="89"/>
        <v>1.2308384591775343E-12</v>
      </c>
      <c r="AL117" s="22">
        <f t="shared" si="58"/>
        <v>2.282709528541206E-12</v>
      </c>
      <c r="AM117" s="62">
        <f t="shared" si="59"/>
        <v>293.33333333333559</v>
      </c>
      <c r="AN117" s="62">
        <f ca="1">AVERAGE(OFFSET($AM$3,0,0,'Données projet'!$E$10+1,1))-AVERAGE(OFFSET($H$3,0,0,'Données projet'!$E$10+1,1))</f>
        <v>276.78862011733338</v>
      </c>
      <c r="AO117" s="62">
        <f t="shared" si="90"/>
        <v>202.1678469635836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254.06783999999956</v>
      </c>
      <c r="BF117" s="14">
        <f t="shared" si="91"/>
        <v>61.456187622750669</v>
      </c>
      <c r="BG117" s="22">
        <f t="shared" si="61"/>
        <v>549.53768144295657</v>
      </c>
      <c r="BH117" s="62">
        <f t="shared" si="62"/>
        <v>842.87101477628994</v>
      </c>
      <c r="BI117" s="62">
        <f ca="1">AVERAGE(OFFSET($BH$3,0,0,'Données projet'!$E$11+1,1))-AVERAGE(OFFSET($H$3,0,0,'Données projet'!$E$11+1,1))</f>
        <v>428.8489304403459</v>
      </c>
      <c r="BJ117" s="62">
        <f t="shared" si="92"/>
        <v>247.01165577562966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-2.8421709430404007E-13</v>
      </c>
      <c r="BZ117" s="14">
        <f>BY117*VLOOKUP('Données projet'!$B$12,Paramètres!$A$1:$I$89,3,0)*VLOOKUP('Données projet'!$B$12,Paramètres!$A$1:$I$89,5,0)</f>
        <v>-1.69961822393816E-13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289.12367833861299</v>
      </c>
      <c r="CE117" s="62">
        <f t="shared" si="94"/>
        <v>229.06617320689003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9.4288113314756844E-13</v>
      </c>
      <c r="CN117" s="24">
        <f t="shared" si="66"/>
        <v>9.4288113314756844E-13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-4.5224624045658861E-14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370.59298168107364</v>
      </c>
      <c r="CZ117" s="62">
        <f t="shared" si="96"/>
        <v>404.61777090709171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-5.6843418860808015E-14</v>
      </c>
      <c r="DP117" s="18">
        <f>DO117*VLOOKUP('Données projet'!$B$14,Paramètres!$A$1:$I$89,3,0)*VLOOKUP('Données projet'!$B$14,Paramètres!$A$1:$I$89,5,0)</f>
        <v>-4.9658410716801891E-14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341.65872153228599</v>
      </c>
      <c r="DU117" s="62">
        <f t="shared" si="98"/>
        <v>339.49697153894937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1.7053025658242404E-13</v>
      </c>
      <c r="EK117" s="18">
        <f>EJ117*VLOOKUP('Données projet'!$B$15,Paramètres!$A$1:$I$89,3,0)*VLOOKUP('Données projet'!$B$15,Paramètres!$A$1:$I$89,5,0)</f>
        <v>1.1439169611549005E-13</v>
      </c>
      <c r="EL117" s="14">
        <f t="shared" si="99"/>
        <v>1.6918016515029816E-12</v>
      </c>
      <c r="EM117" s="22">
        <f t="shared" si="73"/>
        <v>3.1457867471021712E-12</v>
      </c>
      <c r="EN117" s="62">
        <f t="shared" si="74"/>
        <v>293.33333333333644</v>
      </c>
      <c r="EO117" s="62">
        <f ca="1">AVERAGE(OFFSET($EN$3,0,0,'Données projet'!$E$15+1,1))-AVERAGE(OFFSET($H$3,0,0,'Données projet'!$E$15+1,1))</f>
        <v>312.06797204903796</v>
      </c>
      <c r="EP117" s="62">
        <f t="shared" si="100"/>
        <v>258.20189001775151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3.7</v>
      </c>
      <c r="FE117" s="13">
        <f>IF('Données projet'!$A$218&gt;35,FE116+FD117-FM116,IF(A117&lt;'Données projet'!$A$218,$FB$205^A117,IF(A117='Données projet'!$A$218,'Données projet'!$B$218,FE116+FD117-FM116)))</f>
        <v>280.79999999999956</v>
      </c>
      <c r="FF117" s="18">
        <f>FE117*VLOOKUP('Données projet'!$B$16,Paramètres!$A$1:$I$89,3,0)*VLOOKUP('Données projet'!$B$16,Paramètres!$A$1:$I$89,5,0)</f>
        <v>271.58975999999956</v>
      </c>
      <c r="FG117" s="14">
        <f t="shared" si="101"/>
        <v>65.186541118848012</v>
      </c>
      <c r="FH117" s="22">
        <f t="shared" si="76"/>
        <v>586.55205778199286</v>
      </c>
      <c r="FI117" s="62">
        <f t="shared" si="77"/>
        <v>879.88539111532623</v>
      </c>
      <c r="FJ117" s="62">
        <f ca="1">AVERAGE(OFFSET($FI$3,0,0,'Données projet'!$E$16+1,1))-AVERAGE(OFFSET($H$3,0,0,'Données projet'!$E$16+1,1))</f>
        <v>455.50822833641354</v>
      </c>
      <c r="FK117" s="62">
        <f t="shared" si="102"/>
        <v>261.14722581688039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2.2737367544323206E-13</v>
      </c>
      <c r="O118" s="14">
        <f>N118*VLOOKUP('Données projet'!$B$9,Paramètres!$A$1:$I$89,3,0)*VLOOKUP('Données projet'!$B$9,Paramètres!$A$1:$I$89,5,0)</f>
        <v>1.2710188457276673E-13</v>
      </c>
      <c r="P118" s="14">
        <f t="shared" si="87"/>
        <v>1.856866851063998E-12</v>
      </c>
      <c r="Q118" s="22">
        <f t="shared" si="107"/>
        <v>3.4554122145673649E-12</v>
      </c>
      <c r="R118" s="62">
        <f t="shared" si="55"/>
        <v>293.33333333333678</v>
      </c>
      <c r="S118" s="62">
        <f ca="1">AVERAGE(OFFSET($R$3,0,0,'Données projet'!$E$9+1,1))-AVERAGE(OFFSET($H$3,0,0,'Données projet'!$E$9+1,1))</f>
        <v>323.98185264074681</v>
      </c>
      <c r="T118" s="62">
        <f t="shared" si="88"/>
        <v>301.22207291854005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0.82887294434908454</v>
      </c>
      <c r="AA118" s="23">
        <f>EXP(-LN(2)/25)*AA117+(1-EXP(-LN(2)/25))/(LN(2)/25)*Calculateur!V118*Calculateur!X118*VLOOKUP('Données projet'!$B$9,Paramètres!$A$1:$I$89,3,0)*0.475*44/12</f>
        <v>0.78128554343517931</v>
      </c>
      <c r="AB118" s="23">
        <f>EXP(-LN(2)/2)*AB117+(1-EXP(-LN(2)/2))/(LN(2)/2)*V118*Y118*VLOOKUP('Données projet'!$B$9,Paramètres!$A$1:$I$89,3,0)*0.475*44/12</f>
        <v>9.7878222260625368E-13</v>
      </c>
      <c r="AC118" s="24">
        <f t="shared" si="57"/>
        <v>1.6101584877852426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1.7053025658242404E-13</v>
      </c>
      <c r="AJ118" s="14">
        <f>AI118*VLOOKUP('Données projet'!$B$10,Paramètres!$A$1:$I$89,3,0)*VLOOKUP('Données projet'!$B$10,Paramètres!$A$1:$I$89,5,0)</f>
        <v>7.9808160080574461E-14</v>
      </c>
      <c r="AK118" s="14">
        <f t="shared" si="89"/>
        <v>1.2308384591775343E-12</v>
      </c>
      <c r="AL118" s="22">
        <f t="shared" si="58"/>
        <v>2.282709528541206E-12</v>
      </c>
      <c r="AM118" s="62">
        <f t="shared" si="59"/>
        <v>293.33333333333559</v>
      </c>
      <c r="AN118" s="62">
        <f ca="1">AVERAGE(OFFSET($AM$3,0,0,'Données projet'!$E$10+1,1))-AVERAGE(OFFSET($H$3,0,0,'Données projet'!$E$10+1,1))</f>
        <v>276.78862011733338</v>
      </c>
      <c r="AO118" s="62">
        <f t="shared" si="90"/>
        <v>202.1678469635836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257.41559999999959</v>
      </c>
      <c r="BF118" s="14">
        <f t="shared" si="91"/>
        <v>62.171168434977062</v>
      </c>
      <c r="BG118" s="22">
        <f t="shared" si="61"/>
        <v>556.61362169091774</v>
      </c>
      <c r="BH118" s="62">
        <f t="shared" si="62"/>
        <v>849.94695502425111</v>
      </c>
      <c r="BI118" s="62">
        <f ca="1">AVERAGE(OFFSET($BH$3,0,0,'Données projet'!$E$11+1,1))-AVERAGE(OFFSET($H$3,0,0,'Données projet'!$E$11+1,1))</f>
        <v>428.8489304403459</v>
      </c>
      <c r="BJ118" s="62">
        <f t="shared" si="92"/>
        <v>247.01165577562966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-2.8421709430404007E-13</v>
      </c>
      <c r="BZ118" s="14">
        <f>BY118*VLOOKUP('Données projet'!$B$12,Paramètres!$A$1:$I$89,3,0)*VLOOKUP('Données projet'!$B$12,Paramètres!$A$1:$I$89,5,0)</f>
        <v>-1.69961822393816E-13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289.12367833861299</v>
      </c>
      <c r="CE118" s="62">
        <f t="shared" si="94"/>
        <v>229.06617320689003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6.6671764310150167E-13</v>
      </c>
      <c r="CN118" s="24">
        <f t="shared" si="66"/>
        <v>6.6671764310150167E-13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-4.5224624045658861E-14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370.59298168107364</v>
      </c>
      <c r="CZ118" s="62">
        <f t="shared" si="96"/>
        <v>404.61777090709171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-5.6843418860808015E-14</v>
      </c>
      <c r="DP118" s="18">
        <f>DO118*VLOOKUP('Données projet'!$B$14,Paramètres!$A$1:$I$89,3,0)*VLOOKUP('Données projet'!$B$14,Paramètres!$A$1:$I$89,5,0)</f>
        <v>-4.9658410716801891E-14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341.65872153228599</v>
      </c>
      <c r="DU118" s="62">
        <f t="shared" si="98"/>
        <v>339.49697153894937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1.7053025658242404E-13</v>
      </c>
      <c r="EK118" s="18">
        <f>EJ118*VLOOKUP('Données projet'!$B$15,Paramètres!$A$1:$I$89,3,0)*VLOOKUP('Données projet'!$B$15,Paramètres!$A$1:$I$89,5,0)</f>
        <v>1.1439169611549005E-13</v>
      </c>
      <c r="EL118" s="14">
        <f t="shared" si="99"/>
        <v>1.6918016515029816E-12</v>
      </c>
      <c r="EM118" s="22">
        <f t="shared" si="73"/>
        <v>3.1457867471021712E-12</v>
      </c>
      <c r="EN118" s="62">
        <f t="shared" si="74"/>
        <v>293.33333333333644</v>
      </c>
      <c r="EO118" s="62">
        <f ca="1">AVERAGE(OFFSET($EN$3,0,0,'Données projet'!$E$15+1,1))-AVERAGE(OFFSET($H$3,0,0,'Données projet'!$E$15+1,1))</f>
        <v>312.06797204903796</v>
      </c>
      <c r="EP118" s="62">
        <f t="shared" si="100"/>
        <v>258.20189001775151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3.7</v>
      </c>
      <c r="FE118" s="13">
        <f>IF('Données projet'!$A$218&gt;35,FE117+FD118-FM117,IF(A118&lt;'Données projet'!$A$218,$FB$205^A118,IF(A118='Données projet'!$A$218,'Données projet'!$B$218,FE117+FD118-FM117)))</f>
        <v>284.49999999999955</v>
      </c>
      <c r="FF118" s="18">
        <f>FE118*VLOOKUP('Données projet'!$B$16,Paramètres!$A$1:$I$89,3,0)*VLOOKUP('Données projet'!$B$16,Paramètres!$A$1:$I$89,5,0)</f>
        <v>275.16839999999956</v>
      </c>
      <c r="FG118" s="14">
        <f t="shared" si="101"/>
        <v>65.944920834841554</v>
      </c>
      <c r="FH118" s="22">
        <f t="shared" si="76"/>
        <v>594.10570045401494</v>
      </c>
      <c r="FI118" s="62">
        <f t="shared" si="77"/>
        <v>887.43903378734831</v>
      </c>
      <c r="FJ118" s="62">
        <f ca="1">AVERAGE(OFFSET($FI$3,0,0,'Données projet'!$E$16+1,1))-AVERAGE(OFFSET($H$3,0,0,'Données projet'!$E$16+1,1))</f>
        <v>455.50822833641354</v>
      </c>
      <c r="FK118" s="62">
        <f t="shared" si="102"/>
        <v>261.14722581688039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2.2737367544323206E-13</v>
      </c>
      <c r="O119" s="14">
        <f>N119*VLOOKUP('Données projet'!$B$9,Paramètres!$A$1:$I$89,3,0)*VLOOKUP('Données projet'!$B$9,Paramètres!$A$1:$I$89,5,0)</f>
        <v>1.2710188457276673E-13</v>
      </c>
      <c r="P119" s="14">
        <f t="shared" si="87"/>
        <v>1.856866851063998E-12</v>
      </c>
      <c r="Q119" s="22">
        <f t="shared" si="107"/>
        <v>3.4554122145673649E-12</v>
      </c>
      <c r="R119" s="62">
        <f t="shared" si="55"/>
        <v>293.33333333333678</v>
      </c>
      <c r="S119" s="62">
        <f ca="1">AVERAGE(OFFSET($R$3,0,0,'Données projet'!$E$9+1,1))-AVERAGE(OFFSET($H$3,0,0,'Données projet'!$E$9+1,1))</f>
        <v>323.98185264074681</v>
      </c>
      <c r="T119" s="62">
        <f t="shared" si="88"/>
        <v>301.22207291854005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0.81261925147297487</v>
      </c>
      <c r="AA119" s="23">
        <f>EXP(-LN(2)/25)*AA118+(1-EXP(-LN(2)/25))/(LN(2)/25)*Calculateur!V119*Calculateur!X119*VLOOKUP('Données projet'!$B$9,Paramètres!$A$1:$I$89,3,0)*0.475*44/12</f>
        <v>0.75992124916392323</v>
      </c>
      <c r="AB119" s="23">
        <f>EXP(-LN(2)/2)*AB118+(1-EXP(-LN(2)/2))/(LN(2)/2)*V119*Y119*VLOOKUP('Données projet'!$B$9,Paramètres!$A$1:$I$89,3,0)*0.475*44/12</f>
        <v>6.9210354690972288E-13</v>
      </c>
      <c r="AC119" s="24">
        <f t="shared" si="57"/>
        <v>1.5725405006375903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1.7053025658242404E-13</v>
      </c>
      <c r="AJ119" s="14">
        <f>AI119*VLOOKUP('Données projet'!$B$10,Paramètres!$A$1:$I$89,3,0)*VLOOKUP('Données projet'!$B$10,Paramètres!$A$1:$I$89,5,0)</f>
        <v>7.9808160080574461E-14</v>
      </c>
      <c r="AK119" s="14">
        <f t="shared" si="89"/>
        <v>1.2308384591775343E-12</v>
      </c>
      <c r="AL119" s="22">
        <f t="shared" si="58"/>
        <v>2.282709528541206E-12</v>
      </c>
      <c r="AM119" s="62">
        <f t="shared" si="59"/>
        <v>293.33333333333559</v>
      </c>
      <c r="AN119" s="62">
        <f ca="1">AVERAGE(OFFSET($AM$3,0,0,'Données projet'!$E$10+1,1))-AVERAGE(OFFSET($H$3,0,0,'Données projet'!$E$10+1,1))</f>
        <v>276.78862011733338</v>
      </c>
      <c r="AO119" s="62">
        <f t="shared" si="90"/>
        <v>202.1678469635836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260.76335999999958</v>
      </c>
      <c r="BF119" s="14">
        <f t="shared" si="91"/>
        <v>62.885067686031896</v>
      </c>
      <c r="BG119" s="22">
        <f t="shared" si="61"/>
        <v>563.68767821983818</v>
      </c>
      <c r="BH119" s="62">
        <f t="shared" si="62"/>
        <v>857.02101155317155</v>
      </c>
      <c r="BI119" s="62">
        <f ca="1">AVERAGE(OFFSET($BH$3,0,0,'Données projet'!$E$11+1,1))-AVERAGE(OFFSET($H$3,0,0,'Données projet'!$E$11+1,1))</f>
        <v>428.8489304403459</v>
      </c>
      <c r="BJ119" s="62">
        <f t="shared" si="92"/>
        <v>247.01165577562966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-2.8421709430404007E-13</v>
      </c>
      <c r="BZ119" s="14">
        <f>BY119*VLOOKUP('Données projet'!$B$12,Paramètres!$A$1:$I$89,3,0)*VLOOKUP('Données projet'!$B$12,Paramètres!$A$1:$I$89,5,0)</f>
        <v>-1.69961822393816E-13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289.12367833861299</v>
      </c>
      <c r="CE119" s="62">
        <f t="shared" si="94"/>
        <v>229.06617320689003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4.7144056657378422E-13</v>
      </c>
      <c r="CN119" s="24">
        <f t="shared" si="66"/>
        <v>4.7144056657378422E-13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-4.5224624045658861E-14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370.59298168107364</v>
      </c>
      <c r="CZ119" s="62">
        <f t="shared" si="96"/>
        <v>404.61777090709171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-5.6843418860808015E-14</v>
      </c>
      <c r="DP119" s="18">
        <f>DO119*VLOOKUP('Données projet'!$B$14,Paramètres!$A$1:$I$89,3,0)*VLOOKUP('Données projet'!$B$14,Paramètres!$A$1:$I$89,5,0)</f>
        <v>-4.9658410716801891E-14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341.65872153228599</v>
      </c>
      <c r="DU119" s="62">
        <f t="shared" si="98"/>
        <v>339.49697153894937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1.7053025658242404E-13</v>
      </c>
      <c r="EK119" s="18">
        <f>EJ119*VLOOKUP('Données projet'!$B$15,Paramètres!$A$1:$I$89,3,0)*VLOOKUP('Données projet'!$B$15,Paramètres!$A$1:$I$89,5,0)</f>
        <v>1.1439169611549005E-13</v>
      </c>
      <c r="EL119" s="14">
        <f t="shared" si="99"/>
        <v>1.6918016515029816E-12</v>
      </c>
      <c r="EM119" s="22">
        <f t="shared" si="73"/>
        <v>3.1457867471021712E-12</v>
      </c>
      <c r="EN119" s="62">
        <f t="shared" si="74"/>
        <v>293.33333333333644</v>
      </c>
      <c r="EO119" s="62">
        <f ca="1">AVERAGE(OFFSET($EN$3,0,0,'Données projet'!$E$15+1,1))-AVERAGE(OFFSET($H$3,0,0,'Données projet'!$E$15+1,1))</f>
        <v>312.06797204903796</v>
      </c>
      <c r="EP119" s="62">
        <f t="shared" si="100"/>
        <v>258.20189001775151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3.7</v>
      </c>
      <c r="FE119" s="13">
        <f>IF('Données projet'!$A$218&gt;35,FE118+FD119-FM118,IF(A119&lt;'Données projet'!$A$218,$FB$205^A119,IF(A119='Données projet'!$A$218,'Données projet'!$B$218,FE118+FD119-FM118)))</f>
        <v>288.19999999999953</v>
      </c>
      <c r="FF119" s="18">
        <f>FE119*VLOOKUP('Données projet'!$B$16,Paramètres!$A$1:$I$89,3,0)*VLOOKUP('Données projet'!$B$16,Paramètres!$A$1:$I$89,5,0)</f>
        <v>278.74703999999957</v>
      </c>
      <c r="FG119" s="14">
        <f t="shared" si="101"/>
        <v>66.702153339553135</v>
      </c>
      <c r="FH119" s="22">
        <f t="shared" si="76"/>
        <v>601.65734506638762</v>
      </c>
      <c r="FI119" s="62">
        <f t="shared" si="77"/>
        <v>894.99067839972099</v>
      </c>
      <c r="FJ119" s="62">
        <f ca="1">AVERAGE(OFFSET($FI$3,0,0,'Données projet'!$E$16+1,1))-AVERAGE(OFFSET($H$3,0,0,'Données projet'!$E$16+1,1))</f>
        <v>455.50822833641354</v>
      </c>
      <c r="FK119" s="62">
        <f t="shared" si="102"/>
        <v>261.14722581688039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2.2737367544323206E-13</v>
      </c>
      <c r="O120" s="14">
        <f>N120*VLOOKUP('Données projet'!$B$9,Paramètres!$A$1:$I$89,3,0)*VLOOKUP('Données projet'!$B$9,Paramètres!$A$1:$I$89,5,0)</f>
        <v>1.2710188457276673E-13</v>
      </c>
      <c r="P120" s="14">
        <f t="shared" si="87"/>
        <v>1.856866851063998E-12</v>
      </c>
      <c r="Q120" s="22">
        <f t="shared" si="107"/>
        <v>3.4554122145673649E-12</v>
      </c>
      <c r="R120" s="62">
        <f t="shared" si="55"/>
        <v>293.33333333333678</v>
      </c>
      <c r="S120" s="62">
        <f ca="1">AVERAGE(OFFSET($R$3,0,0,'Données projet'!$E$9+1,1))-AVERAGE(OFFSET($H$3,0,0,'Données projet'!$E$9+1,1))</f>
        <v>323.98185264074681</v>
      </c>
      <c r="T120" s="62">
        <f t="shared" si="88"/>
        <v>301.22207291854005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0.79668428360039201</v>
      </c>
      <c r="AA120" s="23">
        <f>EXP(-LN(2)/25)*AA119+(1-EXP(-LN(2)/25))/(LN(2)/25)*Calculateur!V120*Calculateur!X120*VLOOKUP('Données projet'!$B$9,Paramètres!$A$1:$I$89,3,0)*0.475*44/12</f>
        <v>0.7391411626430141</v>
      </c>
      <c r="AB120" s="23">
        <f>EXP(-LN(2)/2)*AB119+(1-EXP(-LN(2)/2))/(LN(2)/2)*V120*Y120*VLOOKUP('Données projet'!$B$9,Paramètres!$A$1:$I$89,3,0)*0.475*44/12</f>
        <v>4.8939111130312684E-13</v>
      </c>
      <c r="AC120" s="24">
        <f t="shared" si="57"/>
        <v>1.5358254462438956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1.7053025658242404E-13</v>
      </c>
      <c r="AJ120" s="14">
        <f>AI120*VLOOKUP('Données projet'!$B$10,Paramètres!$A$1:$I$89,3,0)*VLOOKUP('Données projet'!$B$10,Paramètres!$A$1:$I$89,5,0)</f>
        <v>7.9808160080574461E-14</v>
      </c>
      <c r="AK120" s="14">
        <f t="shared" si="89"/>
        <v>1.2308384591775343E-12</v>
      </c>
      <c r="AL120" s="22">
        <f t="shared" si="58"/>
        <v>2.282709528541206E-12</v>
      </c>
      <c r="AM120" s="62">
        <f t="shared" si="59"/>
        <v>293.33333333333559</v>
      </c>
      <c r="AN120" s="62">
        <f ca="1">AVERAGE(OFFSET($AM$3,0,0,'Données projet'!$E$10+1,1))-AVERAGE(OFFSET($H$3,0,0,'Données projet'!$E$10+1,1))</f>
        <v>276.78862011733338</v>
      </c>
      <c r="AO120" s="62">
        <f t="shared" si="90"/>
        <v>202.1678469635836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264.11111999999957</v>
      </c>
      <c r="BF120" s="14">
        <f t="shared" si="91"/>
        <v>63.597900866870546</v>
      </c>
      <c r="BG120" s="22">
        <f t="shared" si="61"/>
        <v>570.75987800979885</v>
      </c>
      <c r="BH120" s="62">
        <f t="shared" si="62"/>
        <v>864.09321134313223</v>
      </c>
      <c r="BI120" s="62">
        <f ca="1">AVERAGE(OFFSET($BH$3,0,0,'Données projet'!$E$11+1,1))-AVERAGE(OFFSET($H$3,0,0,'Données projet'!$E$11+1,1))</f>
        <v>428.8489304403459</v>
      </c>
      <c r="BJ120" s="62">
        <f t="shared" si="92"/>
        <v>247.01165577562966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-2.8421709430404007E-13</v>
      </c>
      <c r="BZ120" s="14">
        <f>BY120*VLOOKUP('Données projet'!$B$12,Paramètres!$A$1:$I$89,3,0)*VLOOKUP('Données projet'!$B$12,Paramètres!$A$1:$I$89,5,0)</f>
        <v>-1.69961822393816E-13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289.12367833861299</v>
      </c>
      <c r="CE120" s="62">
        <f t="shared" si="94"/>
        <v>229.06617320689003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3.3335882155075084E-13</v>
      </c>
      <c r="CN120" s="24">
        <f t="shared" si="66"/>
        <v>3.3335882155075084E-13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-4.5224624045658861E-14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370.59298168107364</v>
      </c>
      <c r="CZ120" s="62">
        <f t="shared" si="96"/>
        <v>404.61777090709171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-5.6843418860808015E-14</v>
      </c>
      <c r="DP120" s="18">
        <f>DO120*VLOOKUP('Données projet'!$B$14,Paramètres!$A$1:$I$89,3,0)*VLOOKUP('Données projet'!$B$14,Paramètres!$A$1:$I$89,5,0)</f>
        <v>-4.9658410716801891E-14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341.65872153228599</v>
      </c>
      <c r="DU120" s="62">
        <f t="shared" si="98"/>
        <v>339.49697153894937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1.7053025658242404E-13</v>
      </c>
      <c r="EK120" s="18">
        <f>EJ120*VLOOKUP('Données projet'!$B$15,Paramètres!$A$1:$I$89,3,0)*VLOOKUP('Données projet'!$B$15,Paramètres!$A$1:$I$89,5,0)</f>
        <v>1.1439169611549005E-13</v>
      </c>
      <c r="EL120" s="14">
        <f t="shared" si="99"/>
        <v>1.6918016515029816E-12</v>
      </c>
      <c r="EM120" s="22">
        <f t="shared" si="73"/>
        <v>3.1457867471021712E-12</v>
      </c>
      <c r="EN120" s="62">
        <f t="shared" si="74"/>
        <v>293.33333333333644</v>
      </c>
      <c r="EO120" s="62">
        <f ca="1">AVERAGE(OFFSET($EN$3,0,0,'Données projet'!$E$15+1,1))-AVERAGE(OFFSET($H$3,0,0,'Données projet'!$E$15+1,1))</f>
        <v>312.06797204903796</v>
      </c>
      <c r="EP120" s="62">
        <f t="shared" si="100"/>
        <v>258.20189001775151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3.7</v>
      </c>
      <c r="FE120" s="13">
        <f>IF('Données projet'!$A$218&gt;35,FE119+FD120-FM119,IF(A120&lt;'Données projet'!$A$218,$FB$205^A120,IF(A120='Données projet'!$A$218,'Données projet'!$B$218,FE119+FD120-FM119)))</f>
        <v>291.89999999999952</v>
      </c>
      <c r="FF120" s="18">
        <f>FE120*VLOOKUP('Données projet'!$B$16,Paramètres!$A$1:$I$89,3,0)*VLOOKUP('Données projet'!$B$16,Paramètres!$A$1:$I$89,5,0)</f>
        <v>282.32567999999952</v>
      </c>
      <c r="FG120" s="14">
        <f t="shared" si="101"/>
        <v>67.458255064229917</v>
      </c>
      <c r="FH120" s="22">
        <f t="shared" si="76"/>
        <v>609.20702023686624</v>
      </c>
      <c r="FI120" s="62">
        <f t="shared" si="77"/>
        <v>902.54035357019961</v>
      </c>
      <c r="FJ120" s="62">
        <f ca="1">AVERAGE(OFFSET($FI$3,0,0,'Données projet'!$E$16+1,1))-AVERAGE(OFFSET($H$3,0,0,'Données projet'!$E$16+1,1))</f>
        <v>455.50822833641354</v>
      </c>
      <c r="FK120" s="62">
        <f t="shared" si="102"/>
        <v>261.14722581688039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2.2737367544323206E-13</v>
      </c>
      <c r="O121" s="14">
        <f>N121*VLOOKUP('Données projet'!$B$9,Paramètres!$A$1:$I$89,3,0)*VLOOKUP('Données projet'!$B$9,Paramètres!$A$1:$I$89,5,0)</f>
        <v>1.2710188457276673E-13</v>
      </c>
      <c r="P121" s="14">
        <f t="shared" si="87"/>
        <v>1.856866851063998E-12</v>
      </c>
      <c r="Q121" s="22">
        <f t="shared" si="107"/>
        <v>3.4554122145673649E-12</v>
      </c>
      <c r="R121" s="62">
        <f t="shared" si="55"/>
        <v>293.33333333333678</v>
      </c>
      <c r="S121" s="62">
        <f ca="1">AVERAGE(OFFSET($R$3,0,0,'Données projet'!$E$9+1,1))-AVERAGE(OFFSET($H$3,0,0,'Données projet'!$E$9+1,1))</f>
        <v>323.98185264074681</v>
      </c>
      <c r="T121" s="62">
        <f t="shared" si="88"/>
        <v>301.22207291854005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0.78106179072841975</v>
      </c>
      <c r="AA121" s="23">
        <f>EXP(-LN(2)/25)*AA120+(1-EXP(-LN(2)/25))/(LN(2)/25)*Calculateur!V121*Calculateur!X121*VLOOKUP('Données projet'!$B$9,Paramètres!$A$1:$I$89,3,0)*0.475*44/12</f>
        <v>0.71892930868079652</v>
      </c>
      <c r="AB121" s="23">
        <f>EXP(-LN(2)/2)*AB120+(1-EXP(-LN(2)/2))/(LN(2)/2)*V121*Y121*VLOOKUP('Données projet'!$B$9,Paramètres!$A$1:$I$89,3,0)*0.475*44/12</f>
        <v>3.4605177345486144E-13</v>
      </c>
      <c r="AC121" s="24">
        <f t="shared" si="57"/>
        <v>1.4999910994095622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1.7053025658242404E-13</v>
      </c>
      <c r="AJ121" s="14">
        <f>AI121*VLOOKUP('Données projet'!$B$10,Paramètres!$A$1:$I$89,3,0)*VLOOKUP('Données projet'!$B$10,Paramètres!$A$1:$I$89,5,0)</f>
        <v>7.9808160080574461E-14</v>
      </c>
      <c r="AK121" s="14">
        <f t="shared" si="89"/>
        <v>1.2308384591775343E-12</v>
      </c>
      <c r="AL121" s="22">
        <f t="shared" si="58"/>
        <v>2.282709528541206E-12</v>
      </c>
      <c r="AM121" s="62">
        <f t="shared" si="59"/>
        <v>293.33333333333559</v>
      </c>
      <c r="AN121" s="62">
        <f ca="1">AVERAGE(OFFSET($AM$3,0,0,'Données projet'!$E$10+1,1))-AVERAGE(OFFSET($H$3,0,0,'Données projet'!$E$10+1,1))</f>
        <v>276.78862011733338</v>
      </c>
      <c r="AO121" s="62">
        <f t="shared" si="90"/>
        <v>202.1678469635836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267.45887999999951</v>
      </c>
      <c r="BF121" s="14">
        <f t="shared" si="91"/>
        <v>64.309683053152327</v>
      </c>
      <c r="BG121" s="22">
        <f t="shared" si="61"/>
        <v>577.8302473175728</v>
      </c>
      <c r="BH121" s="62">
        <f t="shared" si="62"/>
        <v>871.16358065090617</v>
      </c>
      <c r="BI121" s="62">
        <f ca="1">AVERAGE(OFFSET($BH$3,0,0,'Données projet'!$E$11+1,1))-AVERAGE(OFFSET($H$3,0,0,'Données projet'!$E$11+1,1))</f>
        <v>428.8489304403459</v>
      </c>
      <c r="BJ121" s="62">
        <f t="shared" si="92"/>
        <v>247.01165577562966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-2.8421709430404007E-13</v>
      </c>
      <c r="BZ121" s="14">
        <f>BY121*VLOOKUP('Données projet'!$B$12,Paramètres!$A$1:$I$89,3,0)*VLOOKUP('Données projet'!$B$12,Paramètres!$A$1:$I$89,5,0)</f>
        <v>-1.69961822393816E-13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289.12367833861299</v>
      </c>
      <c r="CE121" s="62">
        <f t="shared" si="94"/>
        <v>229.06617320689003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2.3572028328689211E-13</v>
      </c>
      <c r="CN121" s="24">
        <f t="shared" si="66"/>
        <v>2.3572028328689211E-13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-4.5224624045658861E-14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370.59298168107364</v>
      </c>
      <c r="CZ121" s="62">
        <f t="shared" si="96"/>
        <v>404.61777090709171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-5.6843418860808015E-14</v>
      </c>
      <c r="DP121" s="18">
        <f>DO121*VLOOKUP('Données projet'!$B$14,Paramètres!$A$1:$I$89,3,0)*VLOOKUP('Données projet'!$B$14,Paramètres!$A$1:$I$89,5,0)</f>
        <v>-4.9658410716801891E-14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341.65872153228599</v>
      </c>
      <c r="DU121" s="62">
        <f t="shared" si="98"/>
        <v>339.49697153894937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1.7053025658242404E-13</v>
      </c>
      <c r="EK121" s="18">
        <f>EJ121*VLOOKUP('Données projet'!$B$15,Paramètres!$A$1:$I$89,3,0)*VLOOKUP('Données projet'!$B$15,Paramètres!$A$1:$I$89,5,0)</f>
        <v>1.1439169611549005E-13</v>
      </c>
      <c r="EL121" s="14">
        <f t="shared" si="99"/>
        <v>1.6918016515029816E-12</v>
      </c>
      <c r="EM121" s="22">
        <f t="shared" si="73"/>
        <v>3.1457867471021712E-12</v>
      </c>
      <c r="EN121" s="62">
        <f t="shared" si="74"/>
        <v>293.33333333333644</v>
      </c>
      <c r="EO121" s="62">
        <f ca="1">AVERAGE(OFFSET($EN$3,0,0,'Données projet'!$E$15+1,1))-AVERAGE(OFFSET($H$3,0,0,'Données projet'!$E$15+1,1))</f>
        <v>312.06797204903796</v>
      </c>
      <c r="EP121" s="62">
        <f t="shared" si="100"/>
        <v>258.20189001775151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3.7</v>
      </c>
      <c r="FE121" s="13">
        <f>IF('Données projet'!$A$218&gt;35,FE120+FD121-FM120,IF(A121&lt;'Données projet'!$A$218,$FB$205^A121,IF(A121='Données projet'!$A$218,'Données projet'!$B$218,FE120+FD121-FM120)))</f>
        <v>295.59999999999951</v>
      </c>
      <c r="FF121" s="18">
        <f>FE121*VLOOKUP('Données projet'!$B$16,Paramètres!$A$1:$I$89,3,0)*VLOOKUP('Données projet'!$B$16,Paramètres!$A$1:$I$89,5,0)</f>
        <v>285.90431999999953</v>
      </c>
      <c r="FG121" s="14">
        <f t="shared" si="101"/>
        <v>68.213241999614453</v>
      </c>
      <c r="FH121" s="22">
        <f t="shared" si="76"/>
        <v>616.75475381599438</v>
      </c>
      <c r="FI121" s="62">
        <f t="shared" si="77"/>
        <v>910.08808714932775</v>
      </c>
      <c r="FJ121" s="62">
        <f ca="1">AVERAGE(OFFSET($FI$3,0,0,'Données projet'!$E$16+1,1))-AVERAGE(OFFSET($H$3,0,0,'Données projet'!$E$16+1,1))</f>
        <v>455.50822833641354</v>
      </c>
      <c r="FK121" s="62">
        <f t="shared" si="102"/>
        <v>261.14722581688039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2.2737367544323206E-13</v>
      </c>
      <c r="O122" s="14">
        <f>N122*VLOOKUP('Données projet'!$B$9,Paramètres!$A$1:$I$89,3,0)*VLOOKUP('Données projet'!$B$9,Paramètres!$A$1:$I$89,5,0)</f>
        <v>1.2710188457276673E-13</v>
      </c>
      <c r="P122" s="14">
        <f t="shared" si="87"/>
        <v>1.856866851063998E-12</v>
      </c>
      <c r="Q122" s="22">
        <f t="shared" si="107"/>
        <v>3.4554122145673649E-12</v>
      </c>
      <c r="R122" s="62">
        <f t="shared" si="55"/>
        <v>293.33333333333678</v>
      </c>
      <c r="S122" s="62">
        <f ca="1">AVERAGE(OFFSET($R$3,0,0,'Données projet'!$E$9+1,1))-AVERAGE(OFFSET($H$3,0,0,'Données projet'!$E$9+1,1))</f>
        <v>323.98185264074681</v>
      </c>
      <c r="T122" s="62">
        <f t="shared" si="88"/>
        <v>301.22207291854005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0.76574564541288714</v>
      </c>
      <c r="AA122" s="23">
        <f>EXP(-LN(2)/25)*AA121+(1-EXP(-LN(2)/25))/(LN(2)/25)*Calculateur!V122*Calculateur!X122*VLOOKUP('Données projet'!$B$9,Paramètres!$A$1:$I$89,3,0)*0.475*44/12</f>
        <v>0.69927014892807093</v>
      </c>
      <c r="AB122" s="23">
        <f>EXP(-LN(2)/2)*AB121+(1-EXP(-LN(2)/2))/(LN(2)/2)*V122*Y122*VLOOKUP('Données projet'!$B$9,Paramètres!$A$1:$I$89,3,0)*0.475*44/12</f>
        <v>2.4469555565156342E-13</v>
      </c>
      <c r="AC122" s="24">
        <f t="shared" si="57"/>
        <v>1.4650157943412028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1.7053025658242404E-13</v>
      </c>
      <c r="AJ122" s="14">
        <f>AI122*VLOOKUP('Données projet'!$B$10,Paramètres!$A$1:$I$89,3,0)*VLOOKUP('Données projet'!$B$10,Paramètres!$A$1:$I$89,5,0)</f>
        <v>7.9808160080574461E-14</v>
      </c>
      <c r="AK122" s="14">
        <f t="shared" si="89"/>
        <v>1.2308384591775343E-12</v>
      </c>
      <c r="AL122" s="22">
        <f t="shared" si="58"/>
        <v>2.282709528541206E-12</v>
      </c>
      <c r="AM122" s="62">
        <f t="shared" si="59"/>
        <v>293.33333333333559</v>
      </c>
      <c r="AN122" s="62">
        <f ca="1">AVERAGE(OFFSET($AM$3,0,0,'Données projet'!$E$10+1,1))-AVERAGE(OFFSET($H$3,0,0,'Données projet'!$E$10+1,1))</f>
        <v>276.78862011733338</v>
      </c>
      <c r="AO122" s="62">
        <f t="shared" si="90"/>
        <v>202.1678469635836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270.80663999999956</v>
      </c>
      <c r="BF122" s="14">
        <f t="shared" si="91"/>
        <v>65.020428921429911</v>
      </c>
      <c r="BG122" s="22">
        <f t="shared" si="61"/>
        <v>584.89881170482306</v>
      </c>
      <c r="BH122" s="62">
        <f t="shared" si="62"/>
        <v>878.23214503815643</v>
      </c>
      <c r="BI122" s="62">
        <f ca="1">AVERAGE(OFFSET($BH$3,0,0,'Données projet'!$E$11+1,1))-AVERAGE(OFFSET($H$3,0,0,'Données projet'!$E$11+1,1))</f>
        <v>428.8489304403459</v>
      </c>
      <c r="BJ122" s="62">
        <f t="shared" si="92"/>
        <v>247.01165577562966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-2.8421709430404007E-13</v>
      </c>
      <c r="BZ122" s="14">
        <f>BY122*VLOOKUP('Données projet'!$B$12,Paramètres!$A$1:$I$89,3,0)*VLOOKUP('Données projet'!$B$12,Paramètres!$A$1:$I$89,5,0)</f>
        <v>-1.69961822393816E-13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289.12367833861299</v>
      </c>
      <c r="CE122" s="62">
        <f t="shared" si="94"/>
        <v>229.06617320689003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1.6667941077537542E-13</v>
      </c>
      <c r="CN122" s="24">
        <f t="shared" si="66"/>
        <v>1.6667941077537542E-13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-4.5224624045658861E-14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370.59298168107364</v>
      </c>
      <c r="CZ122" s="62">
        <f t="shared" si="96"/>
        <v>404.61777090709171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-5.6843418860808015E-14</v>
      </c>
      <c r="DP122" s="18">
        <f>DO122*VLOOKUP('Données projet'!$B$14,Paramètres!$A$1:$I$89,3,0)*VLOOKUP('Données projet'!$B$14,Paramètres!$A$1:$I$89,5,0)</f>
        <v>-4.9658410716801891E-14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341.65872153228599</v>
      </c>
      <c r="DU122" s="62">
        <f t="shared" si="98"/>
        <v>339.49697153894937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1.7053025658242404E-13</v>
      </c>
      <c r="EK122" s="18">
        <f>EJ122*VLOOKUP('Données projet'!$B$15,Paramètres!$A$1:$I$89,3,0)*VLOOKUP('Données projet'!$B$15,Paramètres!$A$1:$I$89,5,0)</f>
        <v>1.1439169611549005E-13</v>
      </c>
      <c r="EL122" s="14">
        <f t="shared" si="99"/>
        <v>1.6918016515029816E-12</v>
      </c>
      <c r="EM122" s="22">
        <f t="shared" si="73"/>
        <v>3.1457867471021712E-12</v>
      </c>
      <c r="EN122" s="62">
        <f t="shared" si="74"/>
        <v>293.33333333333644</v>
      </c>
      <c r="EO122" s="62">
        <f ca="1">AVERAGE(OFFSET($EN$3,0,0,'Données projet'!$E$15+1,1))-AVERAGE(OFFSET($H$3,0,0,'Données projet'!$E$15+1,1))</f>
        <v>312.06797204903796</v>
      </c>
      <c r="EP122" s="62">
        <f t="shared" si="100"/>
        <v>258.20189001775151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3.7</v>
      </c>
      <c r="FE122" s="13">
        <f>IF('Données projet'!$A$218&gt;35,FE121+FD122-FM121,IF(A122&lt;'Données projet'!$A$218,$FB$205^A122,IF(A122='Données projet'!$A$218,'Données projet'!$B$218,FE121+FD122-FM121)))</f>
        <v>299.2999999999995</v>
      </c>
      <c r="FF122" s="18">
        <f>FE122*VLOOKUP('Données projet'!$B$16,Paramètres!$A$1:$I$89,3,0)*VLOOKUP('Données projet'!$B$16,Paramètres!$A$1:$I$89,5,0)</f>
        <v>289.48295999999954</v>
      </c>
      <c r="FG122" s="14">
        <f t="shared" si="101"/>
        <v>68.967129713117401</v>
      </c>
      <c r="FH122" s="22">
        <f t="shared" si="76"/>
        <v>624.300572917012</v>
      </c>
      <c r="FI122" s="62">
        <f t="shared" si="77"/>
        <v>917.63390625034526</v>
      </c>
      <c r="FJ122" s="62">
        <f ca="1">AVERAGE(OFFSET($FI$3,0,0,'Données projet'!$E$16+1,1))-AVERAGE(OFFSET($H$3,0,0,'Données projet'!$E$16+1,1))</f>
        <v>455.50822833641354</v>
      </c>
      <c r="FK122" s="62">
        <f t="shared" si="102"/>
        <v>261.14722581688039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2.2737367544323206E-13</v>
      </c>
      <c r="O123" s="14">
        <f>N123*VLOOKUP('Données projet'!$B$9,Paramètres!$A$1:$I$89,3,0)*VLOOKUP('Données projet'!$B$9,Paramètres!$A$1:$I$89,5,0)</f>
        <v>1.2710188457276673E-13</v>
      </c>
      <c r="P123" s="14">
        <f t="shared" si="87"/>
        <v>1.856866851063998E-12</v>
      </c>
      <c r="Q123" s="22">
        <f t="shared" si="107"/>
        <v>3.4554122145673649E-12</v>
      </c>
      <c r="R123" s="62">
        <f t="shared" si="55"/>
        <v>293.33333333333678</v>
      </c>
      <c r="S123" s="62">
        <f ca="1">AVERAGE(OFFSET($R$3,0,0,'Données projet'!$E$9+1,1))-AVERAGE(OFFSET($H$3,0,0,'Données projet'!$E$9+1,1))</f>
        <v>323.98185264074681</v>
      </c>
      <c r="T123" s="62">
        <f t="shared" si="88"/>
        <v>301.22207291854005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0.75072984036506596</v>
      </c>
      <c r="AA123" s="23">
        <f>EXP(-LN(2)/25)*AA122+(1-EXP(-LN(2)/25))/(LN(2)/25)*Calculateur!V123*Calculateur!X123*VLOOKUP('Données projet'!$B$9,Paramètres!$A$1:$I$89,3,0)*0.475*44/12</f>
        <v>0.68014856993261386</v>
      </c>
      <c r="AB123" s="23">
        <f>EXP(-LN(2)/2)*AB122+(1-EXP(-LN(2)/2))/(LN(2)/2)*V123*Y123*VLOOKUP('Données projet'!$B$9,Paramètres!$A$1:$I$89,3,0)*0.475*44/12</f>
        <v>1.7302588672743072E-13</v>
      </c>
      <c r="AC123" s="24">
        <f t="shared" si="57"/>
        <v>1.4308784102978527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1.7053025658242404E-13</v>
      </c>
      <c r="AJ123" s="14">
        <f>AI123*VLOOKUP('Données projet'!$B$10,Paramètres!$A$1:$I$89,3,0)*VLOOKUP('Données projet'!$B$10,Paramètres!$A$1:$I$89,5,0)</f>
        <v>7.9808160080574461E-14</v>
      </c>
      <c r="AK123" s="14">
        <f t="shared" si="89"/>
        <v>1.2308384591775343E-12</v>
      </c>
      <c r="AL123" s="22">
        <f t="shared" si="58"/>
        <v>2.282709528541206E-12</v>
      </c>
      <c r="AM123" s="62">
        <f t="shared" si="59"/>
        <v>293.33333333333559</v>
      </c>
      <c r="AN123" s="62">
        <f ca="1">AVERAGE(OFFSET($AM$3,0,0,'Données projet'!$E$10+1,1))-AVERAGE(OFFSET($H$3,0,0,'Données projet'!$E$10+1,1))</f>
        <v>276.78862011733338</v>
      </c>
      <c r="AO123" s="62">
        <f t="shared" si="90"/>
        <v>202.1678469635836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274.15439999999955</v>
      </c>
      <c r="BF123" s="14">
        <f t="shared" si="91"/>
        <v>65.730152764515779</v>
      </c>
      <c r="BG123" s="22">
        <f t="shared" si="61"/>
        <v>591.96559606486414</v>
      </c>
      <c r="BH123" s="62">
        <f t="shared" si="62"/>
        <v>885.29892939819752</v>
      </c>
      <c r="BI123" s="62">
        <f ca="1">AVERAGE(OFFSET($BH$3,0,0,'Données projet'!$E$11+1,1))-AVERAGE(OFFSET($H$3,0,0,'Données projet'!$E$11+1,1))</f>
        <v>428.8489304403459</v>
      </c>
      <c r="BJ123" s="62">
        <f t="shared" si="92"/>
        <v>247.01165577562966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-2.8421709430404007E-13</v>
      </c>
      <c r="BZ123" s="14">
        <f>BY123*VLOOKUP('Données projet'!$B$12,Paramètres!$A$1:$I$89,3,0)*VLOOKUP('Données projet'!$B$12,Paramètres!$A$1:$I$89,5,0)</f>
        <v>-1.69961822393816E-13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289.12367833861299</v>
      </c>
      <c r="CE123" s="62">
        <f t="shared" si="94"/>
        <v>229.06617320689003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1.1786014164344606E-13</v>
      </c>
      <c r="CN123" s="24">
        <f t="shared" si="66"/>
        <v>1.1786014164344606E-13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-4.5224624045658861E-14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370.59298168107364</v>
      </c>
      <c r="CZ123" s="62">
        <f t="shared" si="96"/>
        <v>404.61777090709171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-5.6843418860808015E-14</v>
      </c>
      <c r="DP123" s="18">
        <f>DO123*VLOOKUP('Données projet'!$B$14,Paramètres!$A$1:$I$89,3,0)*VLOOKUP('Données projet'!$B$14,Paramètres!$A$1:$I$89,5,0)</f>
        <v>-4.9658410716801891E-14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341.65872153228599</v>
      </c>
      <c r="DU123" s="62">
        <f t="shared" si="98"/>
        <v>339.49697153894937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1.7053025658242404E-13</v>
      </c>
      <c r="EK123" s="18">
        <f>EJ123*VLOOKUP('Données projet'!$B$15,Paramètres!$A$1:$I$89,3,0)*VLOOKUP('Données projet'!$B$15,Paramètres!$A$1:$I$89,5,0)</f>
        <v>1.1439169611549005E-13</v>
      </c>
      <c r="EL123" s="14">
        <f t="shared" si="99"/>
        <v>1.6918016515029816E-12</v>
      </c>
      <c r="EM123" s="22">
        <f t="shared" si="73"/>
        <v>3.1457867471021712E-12</v>
      </c>
      <c r="EN123" s="62">
        <f t="shared" si="74"/>
        <v>293.33333333333644</v>
      </c>
      <c r="EO123" s="62">
        <f ca="1">AVERAGE(OFFSET($EN$3,0,0,'Données projet'!$E$15+1,1))-AVERAGE(OFFSET($H$3,0,0,'Données projet'!$E$15+1,1))</f>
        <v>312.06797204903796</v>
      </c>
      <c r="EP123" s="62">
        <f t="shared" si="100"/>
        <v>258.20189001775151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303</v>
      </c>
      <c r="FC123" s="13">
        <f>VLOOKUP(A123,'Données projet'!$A$217:$I$237,9,0)</f>
        <v>3.7</v>
      </c>
      <c r="FD123" s="13">
        <f t="array" ref="FD123">INDEX(FC:FC,MIN(IF(ISNUMBER(FC123:FC319),ROW(FC123:FC319),"")))</f>
        <v>3.7</v>
      </c>
      <c r="FE123" s="13">
        <f>IF('Données projet'!$A$218&gt;35,FE122+FD123-FM122,IF(A123&lt;'Données projet'!$A$218,$FB$205^A123,IF(A123='Données projet'!$A$218,'Données projet'!$B$218,FE122+FD123-FM122)))</f>
        <v>302.99999999999949</v>
      </c>
      <c r="FF123" s="18">
        <f>FE123*VLOOKUP('Données projet'!$B$16,Paramètres!$A$1:$I$89,3,0)*VLOOKUP('Données projet'!$B$16,Paramètres!$A$1:$I$89,5,0)</f>
        <v>293.06159999999949</v>
      </c>
      <c r="FG123" s="14">
        <f t="shared" si="101"/>
        <v>69.719933365116432</v>
      </c>
      <c r="FH123" s="22">
        <f t="shared" si="76"/>
        <v>631.84450394424357</v>
      </c>
      <c r="FI123" s="62">
        <f t="shared" si="77"/>
        <v>925.17783727757683</v>
      </c>
      <c r="FJ123" s="62">
        <f ca="1">AVERAGE(OFFSET($FI$3,0,0,'Données projet'!$E$16+1,1))-AVERAGE(OFFSET($H$3,0,0,'Données projet'!$E$16+1,1))</f>
        <v>455.50822833641354</v>
      </c>
      <c r="FK123" s="62">
        <f t="shared" si="102"/>
        <v>261.14722581688039</v>
      </c>
      <c r="FL123" s="16">
        <f>IF(ISNA(VLOOKUP(A123,'Données projet'!$A$217:$I$237,3,0)),0,VLOOKUP(A123,'Données projet'!$A$217:$I$237,3,0))</f>
        <v>10</v>
      </c>
      <c r="FM123" s="16">
        <f>IF(ISNA(VLOOKUP(A123,'Données projet'!$A$217:$I$237,4,0)),0,VLOOKUP(A123,'Données projet'!$A$217:$I$237,4,0))</f>
        <v>35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2.2737367544323206E-13</v>
      </c>
      <c r="O124" s="14">
        <f>N124*VLOOKUP('Données projet'!$B$9,Paramètres!$A$1:$I$89,3,0)*VLOOKUP('Données projet'!$B$9,Paramètres!$A$1:$I$89,5,0)</f>
        <v>1.2710188457276673E-13</v>
      </c>
      <c r="P124" s="14">
        <f t="shared" si="87"/>
        <v>1.856866851063998E-12</v>
      </c>
      <c r="Q124" s="22">
        <f t="shared" si="107"/>
        <v>3.4554122145673649E-12</v>
      </c>
      <c r="R124" s="62">
        <f t="shared" si="55"/>
        <v>293.33333333333678</v>
      </c>
      <c r="S124" s="62">
        <f ca="1">AVERAGE(OFFSET($R$3,0,0,'Données projet'!$E$9+1,1))-AVERAGE(OFFSET($H$3,0,0,'Données projet'!$E$9+1,1))</f>
        <v>323.98185264074681</v>
      </c>
      <c r="T124" s="62">
        <f t="shared" si="88"/>
        <v>301.22207291854005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0.73600848609549574</v>
      </c>
      <c r="AA124" s="23">
        <f>EXP(-LN(2)/25)*AA123+(1-EXP(-LN(2)/25))/(LN(2)/25)*Calculateur!V124*Calculateur!X124*VLOOKUP('Données projet'!$B$9,Paramètres!$A$1:$I$89,3,0)*0.475*44/12</f>
        <v>0.66154987152034772</v>
      </c>
      <c r="AB124" s="23">
        <f>EXP(-LN(2)/2)*AB123+(1-EXP(-LN(2)/2))/(LN(2)/2)*V124*Y124*VLOOKUP('Données projet'!$B$9,Paramètres!$A$1:$I$89,3,0)*0.475*44/12</f>
        <v>1.2234777782578171E-13</v>
      </c>
      <c r="AC124" s="24">
        <f t="shared" si="57"/>
        <v>1.3975583576159658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1.7053025658242404E-13</v>
      </c>
      <c r="AJ124" s="14">
        <f>AI124*VLOOKUP('Données projet'!$B$10,Paramètres!$A$1:$I$89,3,0)*VLOOKUP('Données projet'!$B$10,Paramètres!$A$1:$I$89,5,0)</f>
        <v>7.9808160080574461E-14</v>
      </c>
      <c r="AK124" s="14">
        <f t="shared" si="89"/>
        <v>1.2308384591775343E-12</v>
      </c>
      <c r="AL124" s="22">
        <f t="shared" si="58"/>
        <v>2.282709528541206E-12</v>
      </c>
      <c r="AM124" s="62">
        <f t="shared" si="59"/>
        <v>293.33333333333559</v>
      </c>
      <c r="AN124" s="62">
        <f ca="1">AVERAGE(OFFSET($AM$3,0,0,'Données projet'!$E$10+1,1))-AVERAGE(OFFSET($H$3,0,0,'Données projet'!$E$10+1,1))</f>
        <v>276.78862011733338</v>
      </c>
      <c r="AO124" s="62">
        <f t="shared" si="90"/>
        <v>202.1678469635836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245.3817599999995</v>
      </c>
      <c r="BF124" s="14">
        <f t="shared" si="91"/>
        <v>59.595943661626663</v>
      </c>
      <c r="BG124" s="22">
        <f t="shared" si="61"/>
        <v>531.16950054399888</v>
      </c>
      <c r="BH124" s="62">
        <f t="shared" si="62"/>
        <v>824.50283387733225</v>
      </c>
      <c r="BI124" s="62">
        <f ca="1">AVERAGE(OFFSET($BH$3,0,0,'Données projet'!$E$11+1,1))-AVERAGE(OFFSET($H$3,0,0,'Données projet'!$E$11+1,1))</f>
        <v>428.8489304403459</v>
      </c>
      <c r="BJ124" s="62">
        <f t="shared" si="92"/>
        <v>247.01165577562966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-2.8421709430404007E-13</v>
      </c>
      <c r="BZ124" s="14">
        <f>BY124*VLOOKUP('Données projet'!$B$12,Paramètres!$A$1:$I$89,3,0)*VLOOKUP('Données projet'!$B$12,Paramètres!$A$1:$I$89,5,0)</f>
        <v>-1.69961822393816E-13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289.12367833861299</v>
      </c>
      <c r="CE124" s="62">
        <f t="shared" si="94"/>
        <v>229.06617320689003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8.3339705387687709E-14</v>
      </c>
      <c r="CN124" s="24">
        <f t="shared" si="66"/>
        <v>8.3339705387687709E-14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-4.5224624045658861E-14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370.59298168107364</v>
      </c>
      <c r="CZ124" s="62">
        <f t="shared" si="96"/>
        <v>404.61777090709171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-5.6843418860808015E-14</v>
      </c>
      <c r="DP124" s="18">
        <f>DO124*VLOOKUP('Données projet'!$B$14,Paramètres!$A$1:$I$89,3,0)*VLOOKUP('Données projet'!$B$14,Paramètres!$A$1:$I$89,5,0)</f>
        <v>-4.9658410716801891E-14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341.65872153228599</v>
      </c>
      <c r="DU124" s="62">
        <f t="shared" si="98"/>
        <v>339.49697153894937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1.7053025658242404E-13</v>
      </c>
      <c r="EK124" s="18">
        <f>EJ124*VLOOKUP('Données projet'!$B$15,Paramètres!$A$1:$I$89,3,0)*VLOOKUP('Données projet'!$B$15,Paramètres!$A$1:$I$89,5,0)</f>
        <v>1.1439169611549005E-13</v>
      </c>
      <c r="EL124" s="14">
        <f t="shared" si="99"/>
        <v>1.6918016515029816E-12</v>
      </c>
      <c r="EM124" s="22">
        <f t="shared" si="73"/>
        <v>3.1457867471021712E-12</v>
      </c>
      <c r="EN124" s="62">
        <f t="shared" si="74"/>
        <v>293.33333333333644</v>
      </c>
      <c r="EO124" s="62">
        <f ca="1">AVERAGE(OFFSET($EN$3,0,0,'Données projet'!$E$15+1,1))-AVERAGE(OFFSET($H$3,0,0,'Données projet'!$E$15+1,1))</f>
        <v>312.06797204903796</v>
      </c>
      <c r="EP124" s="62">
        <f t="shared" si="100"/>
        <v>258.20189001775151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3.2</v>
      </c>
      <c r="FE124" s="13">
        <f>IF('Données projet'!$A$218&gt;35,FE123+FD124-FM123,IF(A124&lt;'Données projet'!$A$218,$FB$205^A124,IF(A124='Données projet'!$A$218,'Données projet'!$B$218,FE123+FD124-FM123)))</f>
        <v>271.19999999999948</v>
      </c>
      <c r="FF124" s="18">
        <f>FE124*VLOOKUP('Données projet'!$B$16,Paramètres!$A$1:$I$89,3,0)*VLOOKUP('Données projet'!$B$16,Paramètres!$A$1:$I$89,5,0)</f>
        <v>262.30463999999949</v>
      </c>
      <c r="FG124" s="14">
        <f t="shared" si="101"/>
        <v>63.213381472055985</v>
      </c>
      <c r="FH124" s="22">
        <f t="shared" si="76"/>
        <v>566.94388739716328</v>
      </c>
      <c r="FI124" s="62">
        <f t="shared" si="77"/>
        <v>860.27722073049654</v>
      </c>
      <c r="FJ124" s="62">
        <f ca="1">AVERAGE(OFFSET($FI$3,0,0,'Données projet'!$E$16+1,1))-AVERAGE(OFFSET($H$3,0,0,'Données projet'!$E$16+1,1))</f>
        <v>455.50822833641354</v>
      </c>
      <c r="FK124" s="62">
        <f t="shared" si="102"/>
        <v>261.14722581688039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2.2737367544323206E-13</v>
      </c>
      <c r="O125" s="14">
        <f>N125*VLOOKUP('Données projet'!$B$9,Paramètres!$A$1:$I$89,3,0)*VLOOKUP('Données projet'!$B$9,Paramètres!$A$1:$I$89,5,0)</f>
        <v>1.2710188457276673E-13</v>
      </c>
      <c r="P125" s="14">
        <f t="shared" si="87"/>
        <v>1.856866851063998E-12</v>
      </c>
      <c r="Q125" s="22">
        <f t="shared" si="107"/>
        <v>3.4554122145673649E-12</v>
      </c>
      <c r="R125" s="62">
        <f t="shared" si="55"/>
        <v>293.33333333333678</v>
      </c>
      <c r="S125" s="62">
        <f ca="1">AVERAGE(OFFSET($R$3,0,0,'Données projet'!$E$9+1,1))-AVERAGE(OFFSET($H$3,0,0,'Données projet'!$E$9+1,1))</f>
        <v>323.98185264074681</v>
      </c>
      <c r="T125" s="62">
        <f t="shared" si="88"/>
        <v>301.22207291854005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0.72157580860401238</v>
      </c>
      <c r="AA125" s="23">
        <f>EXP(-LN(2)/25)*AA124+(1-EXP(-LN(2)/25))/(LN(2)/25)*Calculateur!V125*Calculateur!X125*VLOOKUP('Données projet'!$B$9,Paramètres!$A$1:$I$89,3,0)*0.475*44/12</f>
        <v>0.64345975549422807</v>
      </c>
      <c r="AB125" s="23">
        <f>EXP(-LN(2)/2)*AB124+(1-EXP(-LN(2)/2))/(LN(2)/2)*V125*Y125*VLOOKUP('Données projet'!$B$9,Paramètres!$A$1:$I$89,3,0)*0.475*44/12</f>
        <v>8.651294336371536E-14</v>
      </c>
      <c r="AC125" s="24">
        <f t="shared" si="57"/>
        <v>1.3650355640983269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1.7053025658242404E-13</v>
      </c>
      <c r="AJ125" s="14">
        <f>AI125*VLOOKUP('Données projet'!$B$10,Paramètres!$A$1:$I$89,3,0)*VLOOKUP('Données projet'!$B$10,Paramètres!$A$1:$I$89,5,0)</f>
        <v>7.9808160080574461E-14</v>
      </c>
      <c r="AK125" s="14">
        <f t="shared" si="89"/>
        <v>1.2308384591775343E-12</v>
      </c>
      <c r="AL125" s="22">
        <f t="shared" si="58"/>
        <v>2.282709528541206E-12</v>
      </c>
      <c r="AM125" s="62">
        <f t="shared" si="59"/>
        <v>293.33333333333559</v>
      </c>
      <c r="AN125" s="62">
        <f ca="1">AVERAGE(OFFSET($AM$3,0,0,'Données projet'!$E$10+1,1))-AVERAGE(OFFSET($H$3,0,0,'Données projet'!$E$10+1,1))</f>
        <v>276.78862011733338</v>
      </c>
      <c r="AO125" s="62">
        <f t="shared" si="90"/>
        <v>202.1678469635836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248.27711999999951</v>
      </c>
      <c r="BF125" s="14">
        <f t="shared" si="91"/>
        <v>60.216863677580257</v>
      </c>
      <c r="BG125" s="22">
        <f t="shared" si="61"/>
        <v>537.29368823845141</v>
      </c>
      <c r="BH125" s="62">
        <f t="shared" si="62"/>
        <v>830.62702157178478</v>
      </c>
      <c r="BI125" s="62">
        <f ca="1">AVERAGE(OFFSET($BH$3,0,0,'Données projet'!$E$11+1,1))-AVERAGE(OFFSET($H$3,0,0,'Données projet'!$E$11+1,1))</f>
        <v>428.8489304403459</v>
      </c>
      <c r="BJ125" s="62">
        <f t="shared" si="92"/>
        <v>247.01165577562966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-2.8421709430404007E-13</v>
      </c>
      <c r="BZ125" s="14">
        <f>BY125*VLOOKUP('Données projet'!$B$12,Paramètres!$A$1:$I$89,3,0)*VLOOKUP('Données projet'!$B$12,Paramètres!$A$1:$I$89,5,0)</f>
        <v>-1.69961822393816E-13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289.12367833861299</v>
      </c>
      <c r="CE125" s="62">
        <f t="shared" si="94"/>
        <v>229.06617320689003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5.8930070821723028E-14</v>
      </c>
      <c r="CN125" s="24">
        <f t="shared" si="66"/>
        <v>5.8930070821723028E-14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-4.5224624045658861E-14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370.59298168107364</v>
      </c>
      <c r="CZ125" s="62">
        <f t="shared" si="96"/>
        <v>404.61777090709171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-5.6843418860808015E-14</v>
      </c>
      <c r="DP125" s="18">
        <f>DO125*VLOOKUP('Données projet'!$B$14,Paramètres!$A$1:$I$89,3,0)*VLOOKUP('Données projet'!$B$14,Paramètres!$A$1:$I$89,5,0)</f>
        <v>-4.9658410716801891E-14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341.65872153228599</v>
      </c>
      <c r="DU125" s="62">
        <f t="shared" si="98"/>
        <v>339.49697153894937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1.7053025658242404E-13</v>
      </c>
      <c r="EK125" s="18">
        <f>EJ125*VLOOKUP('Données projet'!$B$15,Paramètres!$A$1:$I$89,3,0)*VLOOKUP('Données projet'!$B$15,Paramètres!$A$1:$I$89,5,0)</f>
        <v>1.1439169611549005E-13</v>
      </c>
      <c r="EL125" s="14">
        <f t="shared" si="99"/>
        <v>1.6918016515029816E-12</v>
      </c>
      <c r="EM125" s="22">
        <f t="shared" si="73"/>
        <v>3.1457867471021712E-12</v>
      </c>
      <c r="EN125" s="62">
        <f t="shared" si="74"/>
        <v>293.33333333333644</v>
      </c>
      <c r="EO125" s="62">
        <f ca="1">AVERAGE(OFFSET($EN$3,0,0,'Données projet'!$E$15+1,1))-AVERAGE(OFFSET($H$3,0,0,'Données projet'!$E$15+1,1))</f>
        <v>312.06797204903796</v>
      </c>
      <c r="EP125" s="62">
        <f t="shared" si="100"/>
        <v>258.20189001775151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3.2</v>
      </c>
      <c r="FE125" s="13">
        <f>IF('Données projet'!$A$218&gt;35,FE124+FD125-FM124,IF(A125&lt;'Données projet'!$A$218,$FB$205^A125,IF(A125='Données projet'!$A$218,'Données projet'!$B$218,FE124+FD125-FM124)))</f>
        <v>274.39999999999947</v>
      </c>
      <c r="FF125" s="18">
        <f>FE125*VLOOKUP('Données projet'!$B$16,Paramètres!$A$1:$I$89,3,0)*VLOOKUP('Données projet'!$B$16,Paramètres!$A$1:$I$89,5,0)</f>
        <v>265.39967999999948</v>
      </c>
      <c r="FG125" s="14">
        <f t="shared" si="101"/>
        <v>63.87199095821434</v>
      </c>
      <c r="FH125" s="22">
        <f t="shared" si="76"/>
        <v>573.48149358555565</v>
      </c>
      <c r="FI125" s="62">
        <f t="shared" si="77"/>
        <v>866.81482691888891</v>
      </c>
      <c r="FJ125" s="62">
        <f ca="1">AVERAGE(OFFSET($FI$3,0,0,'Données projet'!$E$16+1,1))-AVERAGE(OFFSET($H$3,0,0,'Données projet'!$E$16+1,1))</f>
        <v>455.50822833641354</v>
      </c>
      <c r="FK125" s="62">
        <f t="shared" si="102"/>
        <v>261.14722581688039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2.2737367544323206E-13</v>
      </c>
      <c r="O126" s="14">
        <f>N126*VLOOKUP('Données projet'!$B$9,Paramètres!$A$1:$I$89,3,0)*VLOOKUP('Données projet'!$B$9,Paramètres!$A$1:$I$89,5,0)</f>
        <v>1.2710188457276673E-13</v>
      </c>
      <c r="P126" s="14">
        <f t="shared" si="87"/>
        <v>1.856866851063998E-12</v>
      </c>
      <c r="Q126" s="22">
        <f t="shared" si="107"/>
        <v>3.4554122145673649E-12</v>
      </c>
      <c r="R126" s="62">
        <f t="shared" si="55"/>
        <v>293.33333333333678</v>
      </c>
      <c r="S126" s="62">
        <f ca="1">AVERAGE(OFFSET($R$3,0,0,'Données projet'!$E$9+1,1))-AVERAGE(OFFSET($H$3,0,0,'Données projet'!$E$9+1,1))</f>
        <v>323.98185264074681</v>
      </c>
      <c r="T126" s="62">
        <f t="shared" si="88"/>
        <v>301.22207291854005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0.7074261471150729</v>
      </c>
      <c r="AA126" s="23">
        <f>EXP(-LN(2)/25)*AA125+(1-EXP(-LN(2)/25))/(LN(2)/25)*Calculateur!V126*Calculateur!X126*VLOOKUP('Données projet'!$B$9,Paramètres!$A$1:$I$89,3,0)*0.475*44/12</f>
        <v>0.62586431464216052</v>
      </c>
      <c r="AB126" s="23">
        <f>EXP(-LN(2)/2)*AB125+(1-EXP(-LN(2)/2))/(LN(2)/2)*V126*Y126*VLOOKUP('Données projet'!$B$9,Paramètres!$A$1:$I$89,3,0)*0.475*44/12</f>
        <v>6.1173888912890855E-14</v>
      </c>
      <c r="AC126" s="24">
        <f t="shared" si="57"/>
        <v>1.3332904617572947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1.7053025658242404E-13</v>
      </c>
      <c r="AJ126" s="14">
        <f>AI126*VLOOKUP('Données projet'!$B$10,Paramètres!$A$1:$I$89,3,0)*VLOOKUP('Données projet'!$B$10,Paramètres!$A$1:$I$89,5,0)</f>
        <v>7.9808160080574461E-14</v>
      </c>
      <c r="AK126" s="14">
        <f t="shared" si="89"/>
        <v>1.2308384591775343E-12</v>
      </c>
      <c r="AL126" s="22">
        <f t="shared" si="58"/>
        <v>2.282709528541206E-12</v>
      </c>
      <c r="AM126" s="62">
        <f t="shared" si="59"/>
        <v>293.33333333333559</v>
      </c>
      <c r="AN126" s="62">
        <f ca="1">AVERAGE(OFFSET($AM$3,0,0,'Données projet'!$E$10+1,1))-AVERAGE(OFFSET($H$3,0,0,'Données projet'!$E$10+1,1))</f>
        <v>276.78862011733338</v>
      </c>
      <c r="AO126" s="62">
        <f t="shared" si="90"/>
        <v>202.1678469635836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251.1724799999995</v>
      </c>
      <c r="BF126" s="14">
        <f t="shared" si="91"/>
        <v>60.836941386956575</v>
      </c>
      <c r="BG126" s="22">
        <f t="shared" si="61"/>
        <v>543.41640891561519</v>
      </c>
      <c r="BH126" s="62">
        <f t="shared" si="62"/>
        <v>836.74974224894845</v>
      </c>
      <c r="BI126" s="62">
        <f ca="1">AVERAGE(OFFSET($BH$3,0,0,'Données projet'!$E$11+1,1))-AVERAGE(OFFSET($H$3,0,0,'Données projet'!$E$11+1,1))</f>
        <v>428.8489304403459</v>
      </c>
      <c r="BJ126" s="62">
        <f t="shared" si="92"/>
        <v>247.01165577562966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-2.8421709430404007E-13</v>
      </c>
      <c r="BZ126" s="14">
        <f>BY126*VLOOKUP('Données projet'!$B$12,Paramètres!$A$1:$I$89,3,0)*VLOOKUP('Données projet'!$B$12,Paramètres!$A$1:$I$89,5,0)</f>
        <v>-1.69961822393816E-13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289.12367833861299</v>
      </c>
      <c r="CE126" s="62">
        <f t="shared" si="94"/>
        <v>229.06617320689003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4.1669852693843854E-14</v>
      </c>
      <c r="CN126" s="24">
        <f t="shared" si="66"/>
        <v>4.1669852693843854E-14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-4.5224624045658861E-14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370.59298168107364</v>
      </c>
      <c r="CZ126" s="62">
        <f t="shared" si="96"/>
        <v>404.61777090709171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-5.6843418860808015E-14</v>
      </c>
      <c r="DP126" s="18">
        <f>DO126*VLOOKUP('Données projet'!$B$14,Paramètres!$A$1:$I$89,3,0)*VLOOKUP('Données projet'!$B$14,Paramètres!$A$1:$I$89,5,0)</f>
        <v>-4.9658410716801891E-14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341.65872153228599</v>
      </c>
      <c r="DU126" s="62">
        <f t="shared" si="98"/>
        <v>339.49697153894937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1.7053025658242404E-13</v>
      </c>
      <c r="EK126" s="18">
        <f>EJ126*VLOOKUP('Données projet'!$B$15,Paramètres!$A$1:$I$89,3,0)*VLOOKUP('Données projet'!$B$15,Paramètres!$A$1:$I$89,5,0)</f>
        <v>1.1439169611549005E-13</v>
      </c>
      <c r="EL126" s="14">
        <f t="shared" si="99"/>
        <v>1.6918016515029816E-12</v>
      </c>
      <c r="EM126" s="22">
        <f t="shared" si="73"/>
        <v>3.1457867471021712E-12</v>
      </c>
      <c r="EN126" s="62">
        <f t="shared" si="74"/>
        <v>293.33333333333644</v>
      </c>
      <c r="EO126" s="62">
        <f ca="1">AVERAGE(OFFSET($EN$3,0,0,'Données projet'!$E$15+1,1))-AVERAGE(OFFSET($H$3,0,0,'Données projet'!$E$15+1,1))</f>
        <v>312.06797204903796</v>
      </c>
      <c r="EP126" s="62">
        <f t="shared" si="100"/>
        <v>258.20189001775151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3.2</v>
      </c>
      <c r="FE126" s="13">
        <f>IF('Données projet'!$A$218&gt;35,FE125+FD126-FM125,IF(A126&lt;'Données projet'!$A$218,$FB$205^A126,IF(A126='Données projet'!$A$218,'Données projet'!$B$218,FE125+FD126-FM125)))</f>
        <v>277.59999999999945</v>
      </c>
      <c r="FF126" s="18">
        <f>FE126*VLOOKUP('Données projet'!$B$16,Paramètres!$A$1:$I$89,3,0)*VLOOKUP('Données projet'!$B$16,Paramètres!$A$1:$I$89,5,0)</f>
        <v>268.49471999999946</v>
      </c>
      <c r="FG126" s="14">
        <f t="shared" si="101"/>
        <v>64.529707010294615</v>
      </c>
      <c r="FH126" s="22">
        <f t="shared" si="76"/>
        <v>580.01754370959543</v>
      </c>
      <c r="FI126" s="62">
        <f t="shared" si="77"/>
        <v>873.35087704292869</v>
      </c>
      <c r="FJ126" s="62">
        <f ca="1">AVERAGE(OFFSET($FI$3,0,0,'Données projet'!$E$16+1,1))-AVERAGE(OFFSET($H$3,0,0,'Données projet'!$E$16+1,1))</f>
        <v>455.50822833641354</v>
      </c>
      <c r="FK126" s="62">
        <f t="shared" si="102"/>
        <v>261.14722581688039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2.2737367544323206E-13</v>
      </c>
      <c r="O127" s="14">
        <f>N127*VLOOKUP('Données projet'!$B$9,Paramètres!$A$1:$I$89,3,0)*VLOOKUP('Données projet'!$B$9,Paramètres!$A$1:$I$89,5,0)</f>
        <v>1.2710188457276673E-13</v>
      </c>
      <c r="P127" s="14">
        <f t="shared" si="87"/>
        <v>1.856866851063998E-12</v>
      </c>
      <c r="Q127" s="22">
        <f t="shared" si="107"/>
        <v>3.4554122145673649E-12</v>
      </c>
      <c r="R127" s="62">
        <f t="shared" si="55"/>
        <v>293.33333333333678</v>
      </c>
      <c r="S127" s="62">
        <f ca="1">AVERAGE(OFFSET($R$3,0,0,'Données projet'!$E$9+1,1))-AVERAGE(OFFSET($H$3,0,0,'Données projet'!$E$9+1,1))</f>
        <v>323.98185264074681</v>
      </c>
      <c r="T127" s="62">
        <f t="shared" si="88"/>
        <v>301.22207291854005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0.69355395185749025</v>
      </c>
      <c r="AA127" s="23">
        <f>EXP(-LN(2)/25)*AA126+(1-EXP(-LN(2)/25))/(LN(2)/25)*Calculateur!V127*Calculateur!X127*VLOOKUP('Données projet'!$B$9,Paramètres!$A$1:$I$89,3,0)*0.475*44/12</f>
        <v>0.60875002204549677</v>
      </c>
      <c r="AB127" s="23">
        <f>EXP(-LN(2)/2)*AB126+(1-EXP(-LN(2)/2))/(LN(2)/2)*V127*Y127*VLOOKUP('Données projet'!$B$9,Paramètres!$A$1:$I$89,3,0)*0.475*44/12</f>
        <v>4.325647168185768E-14</v>
      </c>
      <c r="AC127" s="24">
        <f t="shared" si="57"/>
        <v>1.3023039739030302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1.7053025658242404E-13</v>
      </c>
      <c r="AJ127" s="14">
        <f>AI127*VLOOKUP('Données projet'!$B$10,Paramètres!$A$1:$I$89,3,0)*VLOOKUP('Données projet'!$B$10,Paramètres!$A$1:$I$89,5,0)</f>
        <v>7.9808160080574461E-14</v>
      </c>
      <c r="AK127" s="14">
        <f t="shared" si="89"/>
        <v>1.2308384591775343E-12</v>
      </c>
      <c r="AL127" s="22">
        <f t="shared" si="58"/>
        <v>2.282709528541206E-12</v>
      </c>
      <c r="AM127" s="62">
        <f t="shared" si="59"/>
        <v>293.33333333333559</v>
      </c>
      <c r="AN127" s="62">
        <f ca="1">AVERAGE(OFFSET($AM$3,0,0,'Données projet'!$E$10+1,1))-AVERAGE(OFFSET($H$3,0,0,'Données projet'!$E$10+1,1))</f>
        <v>276.78862011733338</v>
      </c>
      <c r="AO127" s="62">
        <f t="shared" si="90"/>
        <v>202.1678469635836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254.06783999999948</v>
      </c>
      <c r="BF127" s="14">
        <f t="shared" si="91"/>
        <v>61.456187622750612</v>
      </c>
      <c r="BG127" s="22">
        <f t="shared" si="61"/>
        <v>549.53768144295634</v>
      </c>
      <c r="BH127" s="62">
        <f t="shared" si="62"/>
        <v>842.87101477628971</v>
      </c>
      <c r="BI127" s="62">
        <f ca="1">AVERAGE(OFFSET($BH$3,0,0,'Données projet'!$E$11+1,1))-AVERAGE(OFFSET($H$3,0,0,'Données projet'!$E$11+1,1))</f>
        <v>428.8489304403459</v>
      </c>
      <c r="BJ127" s="62">
        <f t="shared" si="92"/>
        <v>247.01165577562966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-2.8421709430404007E-13</v>
      </c>
      <c r="BZ127" s="14">
        <f>BY127*VLOOKUP('Données projet'!$B$12,Paramètres!$A$1:$I$89,3,0)*VLOOKUP('Données projet'!$B$12,Paramètres!$A$1:$I$89,5,0)</f>
        <v>-1.69961822393816E-13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289.12367833861299</v>
      </c>
      <c r="CE127" s="62">
        <f t="shared" si="94"/>
        <v>229.06617320689003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2.9465035410861514E-14</v>
      </c>
      <c r="CN127" s="24">
        <f t="shared" si="66"/>
        <v>2.9465035410861514E-14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-4.5224624045658861E-14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370.59298168107364</v>
      </c>
      <c r="CZ127" s="62">
        <f t="shared" si="96"/>
        <v>404.61777090709171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-5.6843418860808015E-14</v>
      </c>
      <c r="DP127" s="18">
        <f>DO127*VLOOKUP('Données projet'!$B$14,Paramètres!$A$1:$I$89,3,0)*VLOOKUP('Données projet'!$B$14,Paramètres!$A$1:$I$89,5,0)</f>
        <v>-4.9658410716801891E-14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341.65872153228599</v>
      </c>
      <c r="DU127" s="62">
        <f t="shared" si="98"/>
        <v>339.49697153894937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1.7053025658242404E-13</v>
      </c>
      <c r="EK127" s="18">
        <f>EJ127*VLOOKUP('Données projet'!$B$15,Paramètres!$A$1:$I$89,3,0)*VLOOKUP('Données projet'!$B$15,Paramètres!$A$1:$I$89,5,0)</f>
        <v>1.1439169611549005E-13</v>
      </c>
      <c r="EL127" s="14">
        <f t="shared" si="99"/>
        <v>1.6918016515029816E-12</v>
      </c>
      <c r="EM127" s="22">
        <f t="shared" si="73"/>
        <v>3.1457867471021712E-12</v>
      </c>
      <c r="EN127" s="62">
        <f t="shared" si="74"/>
        <v>293.33333333333644</v>
      </c>
      <c r="EO127" s="62">
        <f ca="1">AVERAGE(OFFSET($EN$3,0,0,'Données projet'!$E$15+1,1))-AVERAGE(OFFSET($H$3,0,0,'Données projet'!$E$15+1,1))</f>
        <v>312.06797204903796</v>
      </c>
      <c r="EP127" s="62">
        <f t="shared" si="100"/>
        <v>258.20189001775151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3.2</v>
      </c>
      <c r="FE127" s="13">
        <f>IF('Données projet'!$A$218&gt;35,FE126+FD127-FM126,IF(A127&lt;'Données projet'!$A$218,$FB$205^A127,IF(A127='Données projet'!$A$218,'Données projet'!$B$218,FE126+FD127-FM126)))</f>
        <v>280.79999999999944</v>
      </c>
      <c r="FF127" s="18">
        <f>FE127*VLOOKUP('Données projet'!$B$16,Paramètres!$A$1:$I$89,3,0)*VLOOKUP('Données projet'!$B$16,Paramètres!$A$1:$I$89,5,0)</f>
        <v>271.5897599999995</v>
      </c>
      <c r="FG127" s="14">
        <f t="shared" si="101"/>
        <v>65.186541118848012</v>
      </c>
      <c r="FH127" s="22">
        <f t="shared" si="76"/>
        <v>586.55205778199274</v>
      </c>
      <c r="FI127" s="62">
        <f t="shared" si="77"/>
        <v>879.885391115326</v>
      </c>
      <c r="FJ127" s="62">
        <f ca="1">AVERAGE(OFFSET($FI$3,0,0,'Données projet'!$E$16+1,1))-AVERAGE(OFFSET($H$3,0,0,'Données projet'!$E$16+1,1))</f>
        <v>455.50822833641354</v>
      </c>
      <c r="FK127" s="62">
        <f t="shared" si="102"/>
        <v>261.14722581688039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2.2737367544323206E-13</v>
      </c>
      <c r="O128" s="14">
        <f>N128*VLOOKUP('Données projet'!$B$9,Paramètres!$A$1:$I$89,3,0)*VLOOKUP('Données projet'!$B$9,Paramètres!$A$1:$I$89,5,0)</f>
        <v>1.2710188457276673E-13</v>
      </c>
      <c r="P128" s="14">
        <f t="shared" si="87"/>
        <v>1.856866851063998E-12</v>
      </c>
      <c r="Q128" s="22">
        <f t="shared" si="107"/>
        <v>3.4554122145673649E-12</v>
      </c>
      <c r="R128" s="62">
        <f t="shared" si="55"/>
        <v>293.33333333333678</v>
      </c>
      <c r="S128" s="62">
        <f ca="1">AVERAGE(OFFSET($R$3,0,0,'Données projet'!$E$9+1,1))-AVERAGE(OFFSET($H$3,0,0,'Données projet'!$E$9+1,1))</f>
        <v>323.98185264074681</v>
      </c>
      <c r="T128" s="62">
        <f t="shared" si="88"/>
        <v>301.22207291854005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0.67995378188770517</v>
      </c>
      <c r="AA128" s="23">
        <f>EXP(-LN(2)/25)*AA127+(1-EXP(-LN(2)/25))/(LN(2)/25)*Calculateur!V128*Calculateur!X128*VLOOKUP('Données projet'!$B$9,Paramètres!$A$1:$I$89,3,0)*0.475*44/12</f>
        <v>0.59210372067989037</v>
      </c>
      <c r="AB128" s="23">
        <f>EXP(-LN(2)/2)*AB127+(1-EXP(-LN(2)/2))/(LN(2)/2)*V128*Y128*VLOOKUP('Données projet'!$B$9,Paramètres!$A$1:$I$89,3,0)*0.475*44/12</f>
        <v>3.0586944456445427E-14</v>
      </c>
      <c r="AC128" s="24">
        <f t="shared" si="57"/>
        <v>1.2720575025676262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1.7053025658242404E-13</v>
      </c>
      <c r="AJ128" s="14">
        <f>AI128*VLOOKUP('Données projet'!$B$10,Paramètres!$A$1:$I$89,3,0)*VLOOKUP('Données projet'!$B$10,Paramètres!$A$1:$I$89,5,0)</f>
        <v>7.9808160080574461E-14</v>
      </c>
      <c r="AK128" s="14">
        <f t="shared" si="89"/>
        <v>1.2308384591775343E-12</v>
      </c>
      <c r="AL128" s="22">
        <f t="shared" si="58"/>
        <v>2.282709528541206E-12</v>
      </c>
      <c r="AM128" s="62">
        <f t="shared" si="59"/>
        <v>293.33333333333559</v>
      </c>
      <c r="AN128" s="62">
        <f ca="1">AVERAGE(OFFSET($AM$3,0,0,'Données projet'!$E$10+1,1))-AVERAGE(OFFSET($H$3,0,0,'Données projet'!$E$10+1,1))</f>
        <v>276.78862011733338</v>
      </c>
      <c r="AO128" s="62">
        <f t="shared" si="90"/>
        <v>202.1678469635836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256.96319999999946</v>
      </c>
      <c r="BF128" s="14">
        <f t="shared" si="91"/>
        <v>62.07461295683791</v>
      </c>
      <c r="BG128" s="22">
        <f t="shared" si="61"/>
        <v>555.65752423315837</v>
      </c>
      <c r="BH128" s="62">
        <f t="shared" si="62"/>
        <v>848.99085756649174</v>
      </c>
      <c r="BI128" s="62">
        <f ca="1">AVERAGE(OFFSET($BH$3,0,0,'Données projet'!$E$11+1,1))-AVERAGE(OFFSET($H$3,0,0,'Données projet'!$E$11+1,1))</f>
        <v>428.8489304403459</v>
      </c>
      <c r="BJ128" s="62">
        <f t="shared" si="92"/>
        <v>247.01165577562966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-2.8421709430404007E-13</v>
      </c>
      <c r="BZ128" s="14">
        <f>BY128*VLOOKUP('Données projet'!$B$12,Paramètres!$A$1:$I$89,3,0)*VLOOKUP('Données projet'!$B$12,Paramètres!$A$1:$I$89,5,0)</f>
        <v>-1.69961822393816E-13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289.12367833861299</v>
      </c>
      <c r="CE128" s="62">
        <f t="shared" si="94"/>
        <v>229.06617320689003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2.0834926346921927E-14</v>
      </c>
      <c r="CN128" s="24">
        <f t="shared" si="66"/>
        <v>2.0834926346921927E-14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-4.5224624045658861E-14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370.59298168107364</v>
      </c>
      <c r="CZ128" s="62">
        <f t="shared" si="96"/>
        <v>404.61777090709171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-5.6843418860808015E-14</v>
      </c>
      <c r="DP128" s="18">
        <f>DO128*VLOOKUP('Données projet'!$B$14,Paramètres!$A$1:$I$89,3,0)*VLOOKUP('Données projet'!$B$14,Paramètres!$A$1:$I$89,5,0)</f>
        <v>-4.9658410716801891E-14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341.65872153228599</v>
      </c>
      <c r="DU128" s="62">
        <f t="shared" si="98"/>
        <v>339.49697153894937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1.7053025658242404E-13</v>
      </c>
      <c r="EK128" s="18">
        <f>EJ128*VLOOKUP('Données projet'!$B$15,Paramètres!$A$1:$I$89,3,0)*VLOOKUP('Données projet'!$B$15,Paramètres!$A$1:$I$89,5,0)</f>
        <v>1.1439169611549005E-13</v>
      </c>
      <c r="EL128" s="14">
        <f t="shared" si="99"/>
        <v>1.6918016515029816E-12</v>
      </c>
      <c r="EM128" s="22">
        <f t="shared" si="73"/>
        <v>3.1457867471021712E-12</v>
      </c>
      <c r="EN128" s="62">
        <f t="shared" si="74"/>
        <v>293.33333333333644</v>
      </c>
      <c r="EO128" s="62">
        <f ca="1">AVERAGE(OFFSET($EN$3,0,0,'Données projet'!$E$15+1,1))-AVERAGE(OFFSET($H$3,0,0,'Données projet'!$E$15+1,1))</f>
        <v>312.06797204903796</v>
      </c>
      <c r="EP128" s="62">
        <f t="shared" si="100"/>
        <v>258.20189001775151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3.2</v>
      </c>
      <c r="FE128" s="13">
        <f>IF('Données projet'!$A$218&gt;35,FE127+FD128-FM127,IF(A128&lt;'Données projet'!$A$218,$FB$205^A128,IF(A128='Données projet'!$A$218,'Données projet'!$B$218,FE127+FD128-FM127)))</f>
        <v>283.99999999999943</v>
      </c>
      <c r="FF128" s="18">
        <f>FE128*VLOOKUP('Données projet'!$B$16,Paramètres!$A$1:$I$89,3,0)*VLOOKUP('Données projet'!$B$16,Paramètres!$A$1:$I$89,5,0)</f>
        <v>274.68479999999943</v>
      </c>
      <c r="FG128" s="14">
        <f t="shared" si="101"/>
        <v>65.842504497456545</v>
      </c>
      <c r="FH128" s="22">
        <f t="shared" si="76"/>
        <v>593.08505533306914</v>
      </c>
      <c r="FI128" s="62">
        <f t="shared" si="77"/>
        <v>886.41838866640251</v>
      </c>
      <c r="FJ128" s="62">
        <f ca="1">AVERAGE(OFFSET($FI$3,0,0,'Données projet'!$E$16+1,1))-AVERAGE(OFFSET($H$3,0,0,'Données projet'!$E$16+1,1))</f>
        <v>455.50822833641354</v>
      </c>
      <c r="FK128" s="62">
        <f t="shared" si="102"/>
        <v>261.14722581688039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2.2737367544323206E-13</v>
      </c>
      <c r="O129" s="14">
        <f>N129*VLOOKUP('Données projet'!$B$9,Paramètres!$A$1:$I$89,3,0)*VLOOKUP('Données projet'!$B$9,Paramètres!$A$1:$I$89,5,0)</f>
        <v>1.2710188457276673E-13</v>
      </c>
      <c r="P129" s="14">
        <f t="shared" si="87"/>
        <v>1.856866851063998E-12</v>
      </c>
      <c r="Q129" s="22">
        <f t="shared" si="107"/>
        <v>3.4554122145673649E-12</v>
      </c>
      <c r="R129" s="62">
        <f t="shared" si="55"/>
        <v>293.33333333333678</v>
      </c>
      <c r="S129" s="62">
        <f ca="1">AVERAGE(OFFSET($R$3,0,0,'Données projet'!$E$9+1,1))-AVERAGE(OFFSET($H$3,0,0,'Données projet'!$E$9+1,1))</f>
        <v>323.98185264074681</v>
      </c>
      <c r="T129" s="62">
        <f t="shared" si="88"/>
        <v>301.22207291854005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0.66662030295574293</v>
      </c>
      <c r="AA129" s="23">
        <f>EXP(-LN(2)/25)*AA128+(1-EXP(-LN(2)/25))/(LN(2)/25)*Calculateur!V129*Calculateur!X129*VLOOKUP('Données projet'!$B$9,Paramètres!$A$1:$I$89,3,0)*0.475*44/12</f>
        <v>0.57591261330051735</v>
      </c>
      <c r="AB129" s="23">
        <f>EXP(-LN(2)/2)*AB128+(1-EXP(-LN(2)/2))/(LN(2)/2)*V129*Y129*VLOOKUP('Données projet'!$B$9,Paramètres!$A$1:$I$89,3,0)*0.475*44/12</f>
        <v>2.162823584092884E-14</v>
      </c>
      <c r="AC129" s="24">
        <f t="shared" si="57"/>
        <v>1.2425329162562819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1.7053025658242404E-13</v>
      </c>
      <c r="AJ129" s="14">
        <f>AI129*VLOOKUP('Données projet'!$B$10,Paramètres!$A$1:$I$89,3,0)*VLOOKUP('Données projet'!$B$10,Paramètres!$A$1:$I$89,5,0)</f>
        <v>7.9808160080574461E-14</v>
      </c>
      <c r="AK129" s="14">
        <f t="shared" si="89"/>
        <v>1.2308384591775343E-12</v>
      </c>
      <c r="AL129" s="22">
        <f t="shared" si="58"/>
        <v>2.282709528541206E-12</v>
      </c>
      <c r="AM129" s="62">
        <f t="shared" si="59"/>
        <v>293.33333333333559</v>
      </c>
      <c r="AN129" s="62">
        <f ca="1">AVERAGE(OFFSET($AM$3,0,0,'Données projet'!$E$10+1,1))-AVERAGE(OFFSET($H$3,0,0,'Données projet'!$E$10+1,1))</f>
        <v>276.78862011733338</v>
      </c>
      <c r="AO129" s="62">
        <f t="shared" si="90"/>
        <v>202.1678469635836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259.85855999999944</v>
      </c>
      <c r="BF129" s="14">
        <f t="shared" si="91"/>
        <v>62.692227709138365</v>
      </c>
      <c r="BG129" s="22">
        <f t="shared" si="61"/>
        <v>561.77595526008167</v>
      </c>
      <c r="BH129" s="62">
        <f t="shared" si="62"/>
        <v>855.10928859341493</v>
      </c>
      <c r="BI129" s="62">
        <f ca="1">AVERAGE(OFFSET($BH$3,0,0,'Données projet'!$E$11+1,1))-AVERAGE(OFFSET($H$3,0,0,'Données projet'!$E$11+1,1))</f>
        <v>428.8489304403459</v>
      </c>
      <c r="BJ129" s="62">
        <f t="shared" si="92"/>
        <v>247.01165577562966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-2.8421709430404007E-13</v>
      </c>
      <c r="BZ129" s="14">
        <f>BY129*VLOOKUP('Données projet'!$B$12,Paramètres!$A$1:$I$89,3,0)*VLOOKUP('Données projet'!$B$12,Paramètres!$A$1:$I$89,5,0)</f>
        <v>-1.69961822393816E-13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289.12367833861299</v>
      </c>
      <c r="CE129" s="62">
        <f t="shared" si="94"/>
        <v>229.06617320689003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1.4732517705430757E-14</v>
      </c>
      <c r="CN129" s="24">
        <f t="shared" si="66"/>
        <v>1.4732517705430757E-14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-4.5224624045658861E-14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370.59298168107364</v>
      </c>
      <c r="CZ129" s="62">
        <f t="shared" si="96"/>
        <v>404.61777090709171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-5.6843418860808015E-14</v>
      </c>
      <c r="DP129" s="18">
        <f>DO129*VLOOKUP('Données projet'!$B$14,Paramètres!$A$1:$I$89,3,0)*VLOOKUP('Données projet'!$B$14,Paramètres!$A$1:$I$89,5,0)</f>
        <v>-4.9658410716801891E-14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341.65872153228599</v>
      </c>
      <c r="DU129" s="62">
        <f t="shared" si="98"/>
        <v>339.49697153894937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1.7053025658242404E-13</v>
      </c>
      <c r="EK129" s="18">
        <f>EJ129*VLOOKUP('Données projet'!$B$15,Paramètres!$A$1:$I$89,3,0)*VLOOKUP('Données projet'!$B$15,Paramètres!$A$1:$I$89,5,0)</f>
        <v>1.1439169611549005E-13</v>
      </c>
      <c r="EL129" s="14">
        <f t="shared" si="99"/>
        <v>1.6918016515029816E-12</v>
      </c>
      <c r="EM129" s="22">
        <f t="shared" si="73"/>
        <v>3.1457867471021712E-12</v>
      </c>
      <c r="EN129" s="62">
        <f t="shared" si="74"/>
        <v>293.33333333333644</v>
      </c>
      <c r="EO129" s="62">
        <f ca="1">AVERAGE(OFFSET($EN$3,0,0,'Données projet'!$E$15+1,1))-AVERAGE(OFFSET($H$3,0,0,'Données projet'!$E$15+1,1))</f>
        <v>312.06797204903796</v>
      </c>
      <c r="EP129" s="62">
        <f t="shared" si="100"/>
        <v>258.20189001775151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3.2</v>
      </c>
      <c r="FE129" s="13">
        <f>IF('Données projet'!$A$218&gt;35,FE128+FD129-FM128,IF(A129&lt;'Données projet'!$A$218,$FB$205^A129,IF(A129='Données projet'!$A$218,'Données projet'!$B$218,FE128+FD129-FM128)))</f>
        <v>287.19999999999942</v>
      </c>
      <c r="FF129" s="18">
        <f>FE129*VLOOKUP('Données projet'!$B$16,Paramètres!$A$1:$I$89,3,0)*VLOOKUP('Données projet'!$B$16,Paramètres!$A$1:$I$89,5,0)</f>
        <v>277.77983999999947</v>
      </c>
      <c r="FG129" s="14">
        <f t="shared" si="101"/>
        <v>66.497608092453063</v>
      </c>
      <c r="FH129" s="22">
        <f t="shared" si="76"/>
        <v>599.61655542768813</v>
      </c>
      <c r="FI129" s="62">
        <f t="shared" si="77"/>
        <v>892.94988876102138</v>
      </c>
      <c r="FJ129" s="62">
        <f ca="1">AVERAGE(OFFSET($FI$3,0,0,'Données projet'!$E$16+1,1))-AVERAGE(OFFSET($H$3,0,0,'Données projet'!$E$16+1,1))</f>
        <v>455.50822833641354</v>
      </c>
      <c r="FK129" s="62">
        <f t="shared" si="102"/>
        <v>261.14722581688039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2.2737367544323206E-13</v>
      </c>
      <c r="O130" s="14">
        <f>N130*VLOOKUP('Données projet'!$B$9,Paramètres!$A$1:$I$89,3,0)*VLOOKUP('Données projet'!$B$9,Paramètres!$A$1:$I$89,5,0)</f>
        <v>1.2710188457276673E-13</v>
      </c>
      <c r="P130" s="14">
        <f t="shared" si="87"/>
        <v>1.856866851063998E-12</v>
      </c>
      <c r="Q130" s="22">
        <f t="shared" si="107"/>
        <v>3.4554122145673649E-12</v>
      </c>
      <c r="R130" s="62">
        <f t="shared" si="55"/>
        <v>293.33333333333678</v>
      </c>
      <c r="S130" s="62">
        <f ca="1">AVERAGE(OFFSET($R$3,0,0,'Données projet'!$E$9+1,1))-AVERAGE(OFFSET($H$3,0,0,'Données projet'!$E$9+1,1))</f>
        <v>323.98185264074681</v>
      </c>
      <c r="T130" s="62">
        <f t="shared" si="88"/>
        <v>301.22207291854005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0.65354828541301735</v>
      </c>
      <c r="AA130" s="23">
        <f>EXP(-LN(2)/25)*AA129+(1-EXP(-LN(2)/25))/(LN(2)/25)*Calculateur!V130*Calculateur!X130*VLOOKUP('Données projet'!$B$9,Paramètres!$A$1:$I$89,3,0)*0.475*44/12</f>
        <v>0.56016425260388669</v>
      </c>
      <c r="AB130" s="23">
        <f>EXP(-LN(2)/2)*AB129+(1-EXP(-LN(2)/2))/(LN(2)/2)*V130*Y130*VLOOKUP('Données projet'!$B$9,Paramètres!$A$1:$I$89,3,0)*0.475*44/12</f>
        <v>1.5293472228222714E-14</v>
      </c>
      <c r="AC130" s="24">
        <f t="shared" si="57"/>
        <v>1.2137125380169194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1.7053025658242404E-13</v>
      </c>
      <c r="AJ130" s="14">
        <f>AI130*VLOOKUP('Données projet'!$B$10,Paramètres!$A$1:$I$89,3,0)*VLOOKUP('Données projet'!$B$10,Paramètres!$A$1:$I$89,5,0)</f>
        <v>7.9808160080574461E-14</v>
      </c>
      <c r="AK130" s="14">
        <f t="shared" si="89"/>
        <v>1.2308384591775343E-12</v>
      </c>
      <c r="AL130" s="22">
        <f t="shared" si="58"/>
        <v>2.282709528541206E-12</v>
      </c>
      <c r="AM130" s="62">
        <f t="shared" si="59"/>
        <v>293.33333333333559</v>
      </c>
      <c r="AN130" s="62">
        <f ca="1">AVERAGE(OFFSET($AM$3,0,0,'Données projet'!$E$10+1,1))-AVERAGE(OFFSET($H$3,0,0,'Données projet'!$E$10+1,1))</f>
        <v>276.78862011733338</v>
      </c>
      <c r="AO130" s="62">
        <f t="shared" si="90"/>
        <v>202.1678469635836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262.75391999999948</v>
      </c>
      <c r="BF130" s="14">
        <f t="shared" si="91"/>
        <v>63.309041956360211</v>
      </c>
      <c r="BG130" s="22">
        <f t="shared" si="61"/>
        <v>567.89299207399313</v>
      </c>
      <c r="BH130" s="62">
        <f t="shared" si="62"/>
        <v>861.22632540732639</v>
      </c>
      <c r="BI130" s="62">
        <f ca="1">AVERAGE(OFFSET($BH$3,0,0,'Données projet'!$E$11+1,1))-AVERAGE(OFFSET($H$3,0,0,'Données projet'!$E$11+1,1))</f>
        <v>428.8489304403459</v>
      </c>
      <c r="BJ130" s="62">
        <f t="shared" si="92"/>
        <v>247.01165577562966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-2.8421709430404007E-13</v>
      </c>
      <c r="BZ130" s="14">
        <f>BY130*VLOOKUP('Données projet'!$B$12,Paramètres!$A$1:$I$89,3,0)*VLOOKUP('Données projet'!$B$12,Paramètres!$A$1:$I$89,5,0)</f>
        <v>-1.69961822393816E-13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289.12367833861299</v>
      </c>
      <c r="CE130" s="62">
        <f t="shared" si="94"/>
        <v>229.06617320689003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1.0417463173460964E-14</v>
      </c>
      <c r="CN130" s="24">
        <f t="shared" si="66"/>
        <v>1.0417463173460964E-14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-4.5224624045658861E-14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370.59298168107364</v>
      </c>
      <c r="CZ130" s="62">
        <f t="shared" si="96"/>
        <v>404.61777090709171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-5.6843418860808015E-14</v>
      </c>
      <c r="DP130" s="18">
        <f>DO130*VLOOKUP('Données projet'!$B$14,Paramètres!$A$1:$I$89,3,0)*VLOOKUP('Données projet'!$B$14,Paramètres!$A$1:$I$89,5,0)</f>
        <v>-4.9658410716801891E-14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341.65872153228599</v>
      </c>
      <c r="DU130" s="62">
        <f t="shared" si="98"/>
        <v>339.49697153894937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1.7053025658242404E-13</v>
      </c>
      <c r="EK130" s="18">
        <f>EJ130*VLOOKUP('Données projet'!$B$15,Paramètres!$A$1:$I$89,3,0)*VLOOKUP('Données projet'!$B$15,Paramètres!$A$1:$I$89,5,0)</f>
        <v>1.1439169611549005E-13</v>
      </c>
      <c r="EL130" s="14">
        <f t="shared" si="99"/>
        <v>1.6918016515029816E-12</v>
      </c>
      <c r="EM130" s="22">
        <f t="shared" si="73"/>
        <v>3.1457867471021712E-12</v>
      </c>
      <c r="EN130" s="62">
        <f t="shared" si="74"/>
        <v>293.33333333333644</v>
      </c>
      <c r="EO130" s="62">
        <f ca="1">AVERAGE(OFFSET($EN$3,0,0,'Données projet'!$E$15+1,1))-AVERAGE(OFFSET($H$3,0,0,'Données projet'!$E$15+1,1))</f>
        <v>312.06797204903796</v>
      </c>
      <c r="EP130" s="62">
        <f t="shared" si="100"/>
        <v>258.20189001775151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3.2</v>
      </c>
      <c r="FE130" s="13">
        <f>IF('Données projet'!$A$218&gt;35,FE129+FD130-FM129,IF(A130&lt;'Données projet'!$A$218,$FB$205^A130,IF(A130='Données projet'!$A$218,'Données projet'!$B$218,FE129+FD130-FM129)))</f>
        <v>290.39999999999941</v>
      </c>
      <c r="FF130" s="18">
        <f>FE130*VLOOKUP('Données projet'!$B$16,Paramètres!$A$1:$I$89,3,0)*VLOOKUP('Données projet'!$B$16,Paramètres!$A$1:$I$89,5,0)</f>
        <v>280.87487999999945</v>
      </c>
      <c r="FG130" s="14">
        <f t="shared" si="101"/>
        <v>67.151862592195727</v>
      </c>
      <c r="FH130" s="22">
        <f t="shared" si="76"/>
        <v>606.1465766814066</v>
      </c>
      <c r="FI130" s="62">
        <f t="shared" si="77"/>
        <v>899.47991001473997</v>
      </c>
      <c r="FJ130" s="62">
        <f ca="1">AVERAGE(OFFSET($FI$3,0,0,'Données projet'!$E$16+1,1))-AVERAGE(OFFSET($H$3,0,0,'Données projet'!$E$16+1,1))</f>
        <v>455.50822833641354</v>
      </c>
      <c r="FK130" s="62">
        <f t="shared" si="102"/>
        <v>261.14722581688039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2.2737367544323206E-13</v>
      </c>
      <c r="O131" s="14">
        <f>N131*VLOOKUP('Données projet'!$B$9,Paramètres!$A$1:$I$89,3,0)*VLOOKUP('Données projet'!$B$9,Paramètres!$A$1:$I$89,5,0)</f>
        <v>1.2710188457276673E-13</v>
      </c>
      <c r="P131" s="14">
        <f t="shared" si="87"/>
        <v>1.856866851063998E-12</v>
      </c>
      <c r="Q131" s="22">
        <f t="shared" ref="Q131:Q153" si="108">(O131+P131)*0.475*44/12</f>
        <v>3.4554122145673649E-12</v>
      </c>
      <c r="R131" s="62">
        <f t="shared" ref="R131:R194" si="109">Q131+(I131+J131)*44/12</f>
        <v>293.33333333333678</v>
      </c>
      <c r="S131" s="62">
        <f ca="1">AVERAGE(OFFSET($R$3,0,0,'Données projet'!$E$9+1,1))-AVERAGE(OFFSET($H$3,0,0,'Données projet'!$E$9+1,1))</f>
        <v>323.98185264074681</v>
      </c>
      <c r="T131" s="62">
        <f t="shared" si="88"/>
        <v>301.22207291854005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0.64073260216116124</v>
      </c>
      <c r="AA131" s="23">
        <f>EXP(-LN(2)/25)*AA130+(1-EXP(-LN(2)/25))/(LN(2)/25)*Calculateur!V131*Calculateur!X131*VLOOKUP('Données projet'!$B$9,Paramètres!$A$1:$I$89,3,0)*0.475*44/12</f>
        <v>0.54484653165867569</v>
      </c>
      <c r="AB131" s="23">
        <f>EXP(-LN(2)/2)*AB130+(1-EXP(-LN(2)/2))/(LN(2)/2)*V131*Y131*VLOOKUP('Données projet'!$B$9,Paramètres!$A$1:$I$89,3,0)*0.475*44/12</f>
        <v>1.081411792046442E-14</v>
      </c>
      <c r="AC131" s="24">
        <f t="shared" si="57"/>
        <v>1.1855791338198478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1.7053025658242404E-13</v>
      </c>
      <c r="AJ131" s="14">
        <f>AI131*VLOOKUP('Données projet'!$B$10,Paramètres!$A$1:$I$89,3,0)*VLOOKUP('Données projet'!$B$10,Paramètres!$A$1:$I$89,5,0)</f>
        <v>7.9808160080574461E-14</v>
      </c>
      <c r="AK131" s="14">
        <f t="shared" si="89"/>
        <v>1.2308384591775343E-12</v>
      </c>
      <c r="AL131" s="22">
        <f t="shared" si="58"/>
        <v>2.282709528541206E-12</v>
      </c>
      <c r="AM131" s="62">
        <f t="shared" si="59"/>
        <v>293.33333333333559</v>
      </c>
      <c r="AN131" s="62">
        <f ca="1">AVERAGE(OFFSET($AM$3,0,0,'Données projet'!$E$10+1,1))-AVERAGE(OFFSET($H$3,0,0,'Données projet'!$E$10+1,1))</f>
        <v>276.78862011733338</v>
      </c>
      <c r="AO131" s="62">
        <f t="shared" si="90"/>
        <v>202.1678469635836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265.64927999999946</v>
      </c>
      <c r="BF131" s="14">
        <f t="shared" si="91"/>
        <v>63.925065540346907</v>
      </c>
      <c r="BG131" s="22">
        <f t="shared" si="61"/>
        <v>574.00865181610322</v>
      </c>
      <c r="BH131" s="62">
        <f t="shared" si="62"/>
        <v>867.3419851494366</v>
      </c>
      <c r="BI131" s="62">
        <f ca="1">AVERAGE(OFFSET($BH$3,0,0,'Données projet'!$E$11+1,1))-AVERAGE(OFFSET($H$3,0,0,'Données projet'!$E$11+1,1))</f>
        <v>428.8489304403459</v>
      </c>
      <c r="BJ131" s="62">
        <f t="shared" si="92"/>
        <v>247.01165577562966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-2.8421709430404007E-13</v>
      </c>
      <c r="BZ131" s="14">
        <f>BY131*VLOOKUP('Données projet'!$B$12,Paramètres!$A$1:$I$89,3,0)*VLOOKUP('Données projet'!$B$12,Paramètres!$A$1:$I$89,5,0)</f>
        <v>-1.69961822393816E-13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289.12367833861299</v>
      </c>
      <c r="CE131" s="62">
        <f t="shared" si="94"/>
        <v>229.06617320689003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7.3662588527153785E-15</v>
      </c>
      <c r="CN131" s="24">
        <f t="shared" si="66"/>
        <v>7.3662588527153785E-15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-4.5224624045658861E-14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370.59298168107364</v>
      </c>
      <c r="CZ131" s="62">
        <f t="shared" si="96"/>
        <v>404.61777090709171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-5.6843418860808015E-14</v>
      </c>
      <c r="DP131" s="18">
        <f>DO131*VLOOKUP('Données projet'!$B$14,Paramètres!$A$1:$I$89,3,0)*VLOOKUP('Données projet'!$B$14,Paramètres!$A$1:$I$89,5,0)</f>
        <v>-4.9658410716801891E-14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341.65872153228599</v>
      </c>
      <c r="DU131" s="62">
        <f t="shared" si="98"/>
        <v>339.49697153894937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1.7053025658242404E-13</v>
      </c>
      <c r="EK131" s="18">
        <f>EJ131*VLOOKUP('Données projet'!$B$15,Paramètres!$A$1:$I$89,3,0)*VLOOKUP('Données projet'!$B$15,Paramètres!$A$1:$I$89,5,0)</f>
        <v>1.1439169611549005E-13</v>
      </c>
      <c r="EL131" s="14">
        <f t="shared" si="99"/>
        <v>1.6918016515029816E-12</v>
      </c>
      <c r="EM131" s="22">
        <f t="shared" si="73"/>
        <v>3.1457867471021712E-12</v>
      </c>
      <c r="EN131" s="62">
        <f t="shared" si="74"/>
        <v>293.33333333333644</v>
      </c>
      <c r="EO131" s="62">
        <f ca="1">AVERAGE(OFFSET($EN$3,0,0,'Données projet'!$E$15+1,1))-AVERAGE(OFFSET($H$3,0,0,'Données projet'!$E$15+1,1))</f>
        <v>312.06797204903796</v>
      </c>
      <c r="EP131" s="62">
        <f t="shared" si="100"/>
        <v>258.20189001775151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3.2</v>
      </c>
      <c r="FE131" s="13">
        <f>IF('Données projet'!$A$218&gt;35,FE130+FD131-FM130,IF(A131&lt;'Données projet'!$A$218,$FB$205^A131,IF(A131='Données projet'!$A$218,'Données projet'!$B$218,FE130+FD131-FM130)))</f>
        <v>293.5999999999994</v>
      </c>
      <c r="FF131" s="18">
        <f>FE131*VLOOKUP('Données projet'!$B$16,Paramètres!$A$1:$I$89,3,0)*VLOOKUP('Données projet'!$B$16,Paramètres!$A$1:$I$89,5,0)</f>
        <v>283.96991999999943</v>
      </c>
      <c r="FG131" s="14">
        <f t="shared" si="101"/>
        <v>67.805278435922148</v>
      </c>
      <c r="FH131" s="22">
        <f t="shared" si="76"/>
        <v>612.67513727589676</v>
      </c>
      <c r="FI131" s="62">
        <f t="shared" si="77"/>
        <v>906.00847060923002</v>
      </c>
      <c r="FJ131" s="62">
        <f ca="1">AVERAGE(OFFSET($FI$3,0,0,'Données projet'!$E$16+1,1))-AVERAGE(OFFSET($H$3,0,0,'Données projet'!$E$16+1,1))</f>
        <v>455.50822833641354</v>
      </c>
      <c r="FK131" s="62">
        <f t="shared" si="102"/>
        <v>261.14722581688039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2.2737367544323206E-13</v>
      </c>
      <c r="O132" s="14">
        <f>N132*VLOOKUP('Données projet'!$B$9,Paramètres!$A$1:$I$89,3,0)*VLOOKUP('Données projet'!$B$9,Paramètres!$A$1:$I$89,5,0)</f>
        <v>1.2710188457276673E-13</v>
      </c>
      <c r="P132" s="14">
        <f t="shared" si="87"/>
        <v>1.856866851063998E-12</v>
      </c>
      <c r="Q132" s="22">
        <f t="shared" si="108"/>
        <v>3.4554122145673649E-12</v>
      </c>
      <c r="R132" s="62">
        <f t="shared" si="109"/>
        <v>293.33333333333678</v>
      </c>
      <c r="S132" s="62">
        <f ca="1">AVERAGE(OFFSET($R$3,0,0,'Données projet'!$E$9+1,1))-AVERAGE(OFFSET($H$3,0,0,'Données projet'!$E$9+1,1))</f>
        <v>323.98185264074681</v>
      </c>
      <c r="T132" s="62">
        <f t="shared" si="88"/>
        <v>301.22207291854005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0.62816822664107907</v>
      </c>
      <c r="AA132" s="23">
        <f>EXP(-LN(2)/25)*AA131+(1-EXP(-LN(2)/25))/(LN(2)/25)*Calculateur!V132*Calculateur!X132*VLOOKUP('Données projet'!$B$9,Paramètres!$A$1:$I$89,3,0)*0.475*44/12</f>
        <v>0.52994767459823533</v>
      </c>
      <c r="AB132" s="23">
        <f>EXP(-LN(2)/2)*AB131+(1-EXP(-LN(2)/2))/(LN(2)/2)*V132*Y132*VLOOKUP('Données projet'!$B$9,Paramètres!$A$1:$I$89,3,0)*0.475*44/12</f>
        <v>7.6467361141113569E-15</v>
      </c>
      <c r="AC132" s="24">
        <f t="shared" ref="AC132:AC153" si="111">SUM(Z132:AB132)</f>
        <v>1.1581159012393218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1.7053025658242404E-13</v>
      </c>
      <c r="AJ132" s="14">
        <f>AI132*VLOOKUP('Données projet'!$B$10,Paramètres!$A$1:$I$89,3,0)*VLOOKUP('Données projet'!$B$10,Paramètres!$A$1:$I$89,5,0)</f>
        <v>7.9808160080574461E-14</v>
      </c>
      <c r="AK132" s="14">
        <f t="shared" si="89"/>
        <v>1.2308384591775343E-12</v>
      </c>
      <c r="AL132" s="22">
        <f t="shared" ref="AL132:AL153" si="112">(AJ132+AK132)*0.475*44/12</f>
        <v>2.282709528541206E-12</v>
      </c>
      <c r="AM132" s="62">
        <f t="shared" ref="AM132:AM195" si="113">AL132+(AD132+AE132)*44/12</f>
        <v>293.33333333333559</v>
      </c>
      <c r="AN132" s="62">
        <f ca="1">AVERAGE(OFFSET($AM$3,0,0,'Données projet'!$E$10+1,1))-AVERAGE(OFFSET($H$3,0,0,'Données projet'!$E$10+1,1))</f>
        <v>276.78862011733338</v>
      </c>
      <c r="AO132" s="62">
        <f t="shared" si="90"/>
        <v>202.1678469635836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268.54463999999945</v>
      </c>
      <c r="BF132" s="14">
        <f t="shared" si="91"/>
        <v>64.540308076050593</v>
      </c>
      <c r="BG132" s="22">
        <f t="shared" ref="BG132:BG153" si="115">(BE132+BF132)*0.475*44/12</f>
        <v>580.12295123245383</v>
      </c>
      <c r="BH132" s="62">
        <f t="shared" ref="BH132:BH195" si="116">BG132+(AY132+AZ132)*44/12</f>
        <v>873.4562845657872</v>
      </c>
      <c r="BI132" s="62">
        <f ca="1">AVERAGE(OFFSET($BH$3,0,0,'Données projet'!$E$11+1,1))-AVERAGE(OFFSET($H$3,0,0,'Données projet'!$E$11+1,1))</f>
        <v>428.8489304403459</v>
      </c>
      <c r="BJ132" s="62">
        <f t="shared" si="92"/>
        <v>247.01165577562966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-2.8421709430404007E-13</v>
      </c>
      <c r="BZ132" s="14">
        <f>BY132*VLOOKUP('Données projet'!$B$12,Paramètres!$A$1:$I$89,3,0)*VLOOKUP('Données projet'!$B$12,Paramètres!$A$1:$I$89,5,0)</f>
        <v>-1.69961822393816E-13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289.12367833861299</v>
      </c>
      <c r="CE132" s="62">
        <f t="shared" si="94"/>
        <v>229.06617320689003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5.2087315867304818E-15</v>
      </c>
      <c r="CN132" s="24">
        <f t="shared" ref="CN132:CN153" si="120">SUM(CK132:CM132)</f>
        <v>5.2087315867304818E-15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-4.5224624045658861E-14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370.59298168107364</v>
      </c>
      <c r="CZ132" s="62">
        <f t="shared" si="96"/>
        <v>404.61777090709171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-5.6843418860808015E-14</v>
      </c>
      <c r="DP132" s="18">
        <f>DO132*VLOOKUP('Données projet'!$B$14,Paramètres!$A$1:$I$89,3,0)*VLOOKUP('Données projet'!$B$14,Paramètres!$A$1:$I$89,5,0)</f>
        <v>-4.9658410716801891E-14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341.65872153228599</v>
      </c>
      <c r="DU132" s="62">
        <f t="shared" si="98"/>
        <v>339.49697153894937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1.7053025658242404E-13</v>
      </c>
      <c r="EK132" s="18">
        <f>EJ132*VLOOKUP('Données projet'!$B$15,Paramètres!$A$1:$I$89,3,0)*VLOOKUP('Données projet'!$B$15,Paramètres!$A$1:$I$89,5,0)</f>
        <v>1.1439169611549005E-13</v>
      </c>
      <c r="EL132" s="14">
        <f t="shared" si="99"/>
        <v>1.6918016515029816E-12</v>
      </c>
      <c r="EM132" s="22">
        <f t="shared" ref="EM132:EM153" si="127">(EK132+EL132)*0.475*44/12</f>
        <v>3.1457867471021712E-12</v>
      </c>
      <c r="EN132" s="62">
        <f t="shared" ref="EN132:EN195" si="128">EM132+(EE132+EF132)*44/12</f>
        <v>293.33333333333644</v>
      </c>
      <c r="EO132" s="62">
        <f ca="1">AVERAGE(OFFSET($EN$3,0,0,'Données projet'!$E$15+1,1))-AVERAGE(OFFSET($H$3,0,0,'Données projet'!$E$15+1,1))</f>
        <v>312.06797204903796</v>
      </c>
      <c r="EP132" s="62">
        <f t="shared" si="100"/>
        <v>258.20189001775151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3.2</v>
      </c>
      <c r="FE132" s="13">
        <f>IF('Données projet'!$A$218&gt;35,FE131+FD132-FM131,IF(A132&lt;'Données projet'!$A$218,$FB$205^A132,IF(A132='Données projet'!$A$218,'Données projet'!$B$218,FE131+FD132-FM131)))</f>
        <v>296.79999999999939</v>
      </c>
      <c r="FF132" s="18">
        <f>FE132*VLOOKUP('Données projet'!$B$16,Paramètres!$A$1:$I$89,3,0)*VLOOKUP('Données projet'!$B$16,Paramètres!$A$1:$I$89,5,0)</f>
        <v>287.06495999999942</v>
      </c>
      <c r="FG132" s="14">
        <f t="shared" si="101"/>
        <v>68.457865822206202</v>
      </c>
      <c r="FH132" s="22">
        <f t="shared" ref="FH132:FH153" si="130">(FF132+FG132)*0.475*44/12</f>
        <v>619.20225497367471</v>
      </c>
      <c r="FI132" s="62">
        <f t="shared" ref="FI132:FI195" si="131">FH132+(EZ132+FA132)*44/12</f>
        <v>912.53558830700808</v>
      </c>
      <c r="FJ132" s="62">
        <f ca="1">AVERAGE(OFFSET($FI$3,0,0,'Données projet'!$E$16+1,1))-AVERAGE(OFFSET($H$3,0,0,'Données projet'!$E$16+1,1))</f>
        <v>455.50822833641354</v>
      </c>
      <c r="FK132" s="62">
        <f t="shared" si="102"/>
        <v>261.14722581688039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2.2737367544323206E-13</v>
      </c>
      <c r="O133" s="14">
        <f>N133*VLOOKUP('Données projet'!$B$9,Paramètres!$A$1:$I$89,3,0)*VLOOKUP('Données projet'!$B$9,Paramètres!$A$1:$I$89,5,0)</f>
        <v>1.2710188457276673E-13</v>
      </c>
      <c r="P133" s="14">
        <f t="shared" ref="P133:P196" si="141">EXP(-1.0587+0.8836*LN(O133)+0.284)</f>
        <v>1.856866851063998E-12</v>
      </c>
      <c r="Q133" s="22">
        <f t="shared" si="108"/>
        <v>3.4554122145673649E-12</v>
      </c>
      <c r="R133" s="62">
        <f t="shared" si="109"/>
        <v>293.33333333333678</v>
      </c>
      <c r="S133" s="62">
        <f ca="1">AVERAGE(OFFSET($R$3,0,0,'Données projet'!$E$9+1,1))-AVERAGE(OFFSET($H$3,0,0,'Données projet'!$E$9+1,1))</f>
        <v>323.98185264074681</v>
      </c>
      <c r="T133" s="62">
        <f t="shared" ref="T133:T196" si="142">$T$3</f>
        <v>301.22207291854005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0.61585023086143331</v>
      </c>
      <c r="AA133" s="23">
        <f>EXP(-LN(2)/25)*AA132+(1-EXP(-LN(2)/25))/(LN(2)/25)*Calculateur!V133*Calculateur!X133*VLOOKUP('Données projet'!$B$9,Paramètres!$A$1:$I$89,3,0)*0.475*44/12</f>
        <v>0.51545622756760956</v>
      </c>
      <c r="AB133" s="23">
        <f>EXP(-LN(2)/2)*AB132+(1-EXP(-LN(2)/2))/(LN(2)/2)*V133*Y133*VLOOKUP('Données projet'!$B$9,Paramètres!$A$1:$I$89,3,0)*0.475*44/12</f>
        <v>5.40705896023221E-15</v>
      </c>
      <c r="AC133" s="24">
        <f t="shared" si="111"/>
        <v>1.1313064584290482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1.7053025658242404E-13</v>
      </c>
      <c r="AJ133" s="14">
        <f>AI133*VLOOKUP('Données projet'!$B$10,Paramètres!$A$1:$I$89,3,0)*VLOOKUP('Données projet'!$B$10,Paramètres!$A$1:$I$89,5,0)</f>
        <v>7.9808160080574461E-14</v>
      </c>
      <c r="AK133" s="14">
        <f t="shared" ref="AK133:AK153" si="143">EXP(-1.0587+0.8836*LN(AJ133)+0.284)</f>
        <v>1.2308384591775343E-12</v>
      </c>
      <c r="AL133" s="22">
        <f t="shared" si="112"/>
        <v>2.282709528541206E-12</v>
      </c>
      <c r="AM133" s="62">
        <f t="shared" si="113"/>
        <v>293.33333333333559</v>
      </c>
      <c r="AN133" s="62">
        <f ca="1">AVERAGE(OFFSET($AM$3,0,0,'Données projet'!$E$10+1,1))-AVERAGE(OFFSET($H$3,0,0,'Données projet'!$E$10+1,1))</f>
        <v>276.78862011733338</v>
      </c>
      <c r="AO133" s="62">
        <f t="shared" ref="AO133:AO196" si="144">$AO$3</f>
        <v>202.1678469635836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271.43999999999943</v>
      </c>
      <c r="BF133" s="14">
        <f t="shared" ref="BF133:BF153" si="145">EXP(-1.0587+0.8836*LN(BE133)+0.284)</f>
        <v>65.154778959151116</v>
      </c>
      <c r="BG133" s="22">
        <f t="shared" si="115"/>
        <v>586.23590668718714</v>
      </c>
      <c r="BH133" s="62">
        <f t="shared" si="116"/>
        <v>879.56924002052051</v>
      </c>
      <c r="BI133" s="62">
        <f ca="1">AVERAGE(OFFSET($BH$3,0,0,'Données projet'!$E$11+1,1))-AVERAGE(OFFSET($H$3,0,0,'Données projet'!$E$11+1,1))</f>
        <v>428.8489304403459</v>
      </c>
      <c r="BJ133" s="62">
        <f t="shared" ref="BJ133:BJ196" si="146">$BJ$3</f>
        <v>247.01165577562966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-2.8421709430404007E-13</v>
      </c>
      <c r="BZ133" s="14">
        <f>BY133*VLOOKUP('Données projet'!$B$12,Paramètres!$A$1:$I$89,3,0)*VLOOKUP('Données projet'!$B$12,Paramètres!$A$1:$I$89,5,0)</f>
        <v>-1.69961822393816E-13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289.12367833861299</v>
      </c>
      <c r="CE133" s="62">
        <f t="shared" ref="CE133:CE196" si="148">$CE$3</f>
        <v>229.06617320689003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3.6831294263576892E-15</v>
      </c>
      <c r="CN133" s="24">
        <f t="shared" si="120"/>
        <v>3.6831294263576892E-15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-4.5224624045658861E-14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370.59298168107364</v>
      </c>
      <c r="CZ133" s="62">
        <f t="shared" ref="CZ133:CZ196" si="150">$CZ$3</f>
        <v>404.61777090709171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-5.6843418860808015E-14</v>
      </c>
      <c r="DP133" s="18">
        <f>DO133*VLOOKUP('Données projet'!$B$14,Paramètres!$A$1:$I$89,3,0)*VLOOKUP('Données projet'!$B$14,Paramètres!$A$1:$I$89,5,0)</f>
        <v>-4.9658410716801891E-14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341.65872153228599</v>
      </c>
      <c r="DU133" s="62">
        <f t="shared" ref="DU133:DU196" si="152">$DU$3</f>
        <v>339.49697153894937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1.7053025658242404E-13</v>
      </c>
      <c r="EK133" s="18">
        <f>EJ133*VLOOKUP('Données projet'!$B$15,Paramètres!$A$1:$I$89,3,0)*VLOOKUP('Données projet'!$B$15,Paramètres!$A$1:$I$89,5,0)</f>
        <v>1.1439169611549005E-13</v>
      </c>
      <c r="EL133" s="14">
        <f t="shared" ref="EL133:EL153" si="153">EXP(-1.0587+0.8836*LN(EK133)+0.284)</f>
        <v>1.6918016515029816E-12</v>
      </c>
      <c r="EM133" s="22">
        <f t="shared" si="127"/>
        <v>3.1457867471021712E-12</v>
      </c>
      <c r="EN133" s="62">
        <f t="shared" si="128"/>
        <v>293.33333333333644</v>
      </c>
      <c r="EO133" s="62">
        <f ca="1">AVERAGE(OFFSET($EN$3,0,0,'Données projet'!$E$15+1,1))-AVERAGE(OFFSET($H$3,0,0,'Données projet'!$E$15+1,1))</f>
        <v>312.06797204903796</v>
      </c>
      <c r="EP133" s="62">
        <f t="shared" ref="EP133:EP196" si="154">$EP$3</f>
        <v>258.20189001775151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>
        <f>VLOOKUP(A133,'Données projet'!$A$217:$I$237,2,0)</f>
        <v>300</v>
      </c>
      <c r="FC133" s="13">
        <f>VLOOKUP(A133,'Données projet'!$A$217:$I$237,9,0)</f>
        <v>3.2</v>
      </c>
      <c r="FD133" s="13">
        <f t="array" ref="FD133">INDEX(FC:FC,MIN(IF(ISNUMBER(FC133:FC329),ROW(FC133:FC329),"")))</f>
        <v>3.2</v>
      </c>
      <c r="FE133" s="13">
        <f>IF('Données projet'!$A$218&gt;35,FE132+FD133-FM132,IF(A133&lt;'Données projet'!$A$218,$FB$205^A133,IF(A133='Données projet'!$A$218,'Données projet'!$B$218,FE132+FD133-FM132)))</f>
        <v>299.99999999999937</v>
      </c>
      <c r="FF133" s="18">
        <f>FE133*VLOOKUP('Données projet'!$B$16,Paramètres!$A$1:$I$89,3,0)*VLOOKUP('Données projet'!$B$16,Paramètres!$A$1:$I$89,5,0)</f>
        <v>290.1599999999994</v>
      </c>
      <c r="FG133" s="14">
        <f t="shared" ref="FG133:FG153" si="155">EXP(-1.0587+0.8836*LN(FF133)+0.284)</f>
        <v>69.10963471703981</v>
      </c>
      <c r="FH133" s="22">
        <f t="shared" si="130"/>
        <v>625.72794713217661</v>
      </c>
      <c r="FI133" s="62">
        <f t="shared" si="131"/>
        <v>919.06128046550998</v>
      </c>
      <c r="FJ133" s="62">
        <f ca="1">AVERAGE(OFFSET($FI$3,0,0,'Données projet'!$E$16+1,1))-AVERAGE(OFFSET($H$3,0,0,'Données projet'!$E$16+1,1))</f>
        <v>455.50822833641354</v>
      </c>
      <c r="FK133" s="62">
        <f t="shared" ref="FK133:FK196" si="156">$FK$3</f>
        <v>261.14722581688039</v>
      </c>
      <c r="FL133" s="16">
        <f>IF(ISNA(VLOOKUP(A133,'Données projet'!$A$217:$I$237,3,0)),0,VLOOKUP(A133,'Données projet'!$A$217:$I$237,3,0))</f>
        <v>11</v>
      </c>
      <c r="FM133" s="16">
        <f>IF(ISNA(VLOOKUP(A133,'Données projet'!$A$217:$I$237,4,0)),0,VLOOKUP(A133,'Données projet'!$A$217:$I$237,4,0))</f>
        <v>31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2.2737367544323206E-13</v>
      </c>
      <c r="O134" s="14">
        <f>N134*VLOOKUP('Données projet'!$B$9,Paramètres!$A$1:$I$89,3,0)*VLOOKUP('Données projet'!$B$9,Paramètres!$A$1:$I$89,5,0)</f>
        <v>1.2710188457276673E-13</v>
      </c>
      <c r="P134" s="14">
        <f t="shared" si="141"/>
        <v>1.856866851063998E-12</v>
      </c>
      <c r="Q134" s="22">
        <f t="shared" si="108"/>
        <v>3.4554122145673649E-12</v>
      </c>
      <c r="R134" s="62">
        <f t="shared" si="109"/>
        <v>293.33333333333678</v>
      </c>
      <c r="S134" s="62">
        <f ca="1">AVERAGE(OFFSET($R$3,0,0,'Données projet'!$E$9+1,1))-AVERAGE(OFFSET($H$3,0,0,'Données projet'!$E$9+1,1))</f>
        <v>323.98185264074681</v>
      </c>
      <c r="T134" s="62">
        <f t="shared" si="142"/>
        <v>301.22207291854005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0.60377378346579091</v>
      </c>
      <c r="AA134" s="23">
        <f>EXP(-LN(2)/25)*AA133+(1-EXP(-LN(2)/25))/(LN(2)/25)*Calculateur!V134*Calculateur!X134*VLOOKUP('Données projet'!$B$9,Paramètres!$A$1:$I$89,3,0)*0.475*44/12</f>
        <v>0.50136104991810837</v>
      </c>
      <c r="AB134" s="23">
        <f>EXP(-LN(2)/2)*AB133+(1-EXP(-LN(2)/2))/(LN(2)/2)*V134*Y134*VLOOKUP('Données projet'!$B$9,Paramètres!$A$1:$I$89,3,0)*0.475*44/12</f>
        <v>3.8233680570556784E-15</v>
      </c>
      <c r="AC134" s="24">
        <f t="shared" si="111"/>
        <v>1.1051348333839031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1.7053025658242404E-13</v>
      </c>
      <c r="AJ134" s="14">
        <f>AI134*VLOOKUP('Données projet'!$B$10,Paramètres!$A$1:$I$89,3,0)*VLOOKUP('Données projet'!$B$10,Paramètres!$A$1:$I$89,5,0)</f>
        <v>7.9808160080574461E-14</v>
      </c>
      <c r="AK134" s="14">
        <f t="shared" si="143"/>
        <v>1.2308384591775343E-12</v>
      </c>
      <c r="AL134" s="22">
        <f t="shared" si="112"/>
        <v>2.282709528541206E-12</v>
      </c>
      <c r="AM134" s="62">
        <f t="shared" si="113"/>
        <v>293.33333333333559</v>
      </c>
      <c r="AN134" s="62">
        <f ca="1">AVERAGE(OFFSET($AM$3,0,0,'Données projet'!$E$10+1,1))-AVERAGE(OFFSET($H$3,0,0,'Données projet'!$E$10+1,1))</f>
        <v>276.78862011733338</v>
      </c>
      <c r="AO134" s="62">
        <f t="shared" si="144"/>
        <v>202.1678469635836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245.8341599999994</v>
      </c>
      <c r="BF134" s="14">
        <f t="shared" si="145"/>
        <v>59.693018383856675</v>
      </c>
      <c r="BG134" s="22">
        <f t="shared" si="115"/>
        <v>532.12650235188266</v>
      </c>
      <c r="BH134" s="62">
        <f t="shared" si="116"/>
        <v>825.45983568521592</v>
      </c>
      <c r="BI134" s="62">
        <f ca="1">AVERAGE(OFFSET($BH$3,0,0,'Données projet'!$E$11+1,1))-AVERAGE(OFFSET($H$3,0,0,'Données projet'!$E$11+1,1))</f>
        <v>428.8489304403459</v>
      </c>
      <c r="BJ134" s="62">
        <f t="shared" si="146"/>
        <v>247.01165577562966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-2.8421709430404007E-13</v>
      </c>
      <c r="BZ134" s="14">
        <f>BY134*VLOOKUP('Données projet'!$B$12,Paramètres!$A$1:$I$89,3,0)*VLOOKUP('Données projet'!$B$12,Paramètres!$A$1:$I$89,5,0)</f>
        <v>-1.69961822393816E-13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289.12367833861299</v>
      </c>
      <c r="CE134" s="62">
        <f t="shared" si="148"/>
        <v>229.06617320689003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2.6043657933652409E-15</v>
      </c>
      <c r="CN134" s="24">
        <f t="shared" si="120"/>
        <v>2.6043657933652409E-15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-4.5224624045658861E-14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370.59298168107364</v>
      </c>
      <c r="CZ134" s="62">
        <f t="shared" si="150"/>
        <v>404.61777090709171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-5.6843418860808015E-14</v>
      </c>
      <c r="DP134" s="18">
        <f>DO134*VLOOKUP('Données projet'!$B$14,Paramètres!$A$1:$I$89,3,0)*VLOOKUP('Données projet'!$B$14,Paramètres!$A$1:$I$89,5,0)</f>
        <v>-4.9658410716801891E-14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341.65872153228599</v>
      </c>
      <c r="DU134" s="62">
        <f t="shared" si="152"/>
        <v>339.49697153894937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1.7053025658242404E-13</v>
      </c>
      <c r="EK134" s="18">
        <f>EJ134*VLOOKUP('Données projet'!$B$15,Paramètres!$A$1:$I$89,3,0)*VLOOKUP('Données projet'!$B$15,Paramètres!$A$1:$I$89,5,0)</f>
        <v>1.1439169611549005E-13</v>
      </c>
      <c r="EL134" s="14">
        <f t="shared" si="153"/>
        <v>1.6918016515029816E-12</v>
      </c>
      <c r="EM134" s="22">
        <f t="shared" si="127"/>
        <v>3.1457867471021712E-12</v>
      </c>
      <c r="EN134" s="62">
        <f t="shared" si="128"/>
        <v>293.33333333333644</v>
      </c>
      <c r="EO134" s="62">
        <f ca="1">AVERAGE(OFFSET($EN$3,0,0,'Données projet'!$E$15+1,1))-AVERAGE(OFFSET($H$3,0,0,'Données projet'!$E$15+1,1))</f>
        <v>312.06797204903796</v>
      </c>
      <c r="EP134" s="62">
        <f t="shared" si="154"/>
        <v>258.20189001775151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2.7</v>
      </c>
      <c r="FE134" s="13">
        <f>IF('Données projet'!$A$218&gt;35,FE133+FD134-FM133,IF(A134&lt;'Données projet'!$A$218,$FB$205^A134,IF(A134='Données projet'!$A$218,'Données projet'!$B$218,FE133+FD134-FM133)))</f>
        <v>271.69999999999936</v>
      </c>
      <c r="FF134" s="18">
        <f>FE134*VLOOKUP('Données projet'!$B$16,Paramètres!$A$1:$I$89,3,0)*VLOOKUP('Données projet'!$B$16,Paramètres!$A$1:$I$89,5,0)</f>
        <v>262.7882399999994</v>
      </c>
      <c r="FG134" s="14">
        <f t="shared" si="155"/>
        <v>63.316348571334714</v>
      </c>
      <c r="FH134" s="22">
        <f t="shared" si="130"/>
        <v>567.96549176174028</v>
      </c>
      <c r="FI134" s="62">
        <f t="shared" si="131"/>
        <v>861.29882509507365</v>
      </c>
      <c r="FJ134" s="62">
        <f ca="1">AVERAGE(OFFSET($FI$3,0,0,'Données projet'!$E$16+1,1))-AVERAGE(OFFSET($H$3,0,0,'Données projet'!$E$16+1,1))</f>
        <v>455.50822833641354</v>
      </c>
      <c r="FK134" s="62">
        <f t="shared" si="156"/>
        <v>261.14722581688039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2.2737367544323206E-13</v>
      </c>
      <c r="O135" s="14">
        <f>N135*VLOOKUP('Données projet'!$B$9,Paramètres!$A$1:$I$89,3,0)*VLOOKUP('Données projet'!$B$9,Paramètres!$A$1:$I$89,5,0)</f>
        <v>1.2710188457276673E-13</v>
      </c>
      <c r="P135" s="14">
        <f t="shared" si="141"/>
        <v>1.856866851063998E-12</v>
      </c>
      <c r="Q135" s="22">
        <f t="shared" si="108"/>
        <v>3.4554122145673649E-12</v>
      </c>
      <c r="R135" s="62">
        <f t="shared" si="109"/>
        <v>293.33333333333678</v>
      </c>
      <c r="S135" s="62">
        <f ca="1">AVERAGE(OFFSET($R$3,0,0,'Données projet'!$E$9+1,1))-AVERAGE(OFFSET($H$3,0,0,'Données projet'!$E$9+1,1))</f>
        <v>323.98185264074681</v>
      </c>
      <c r="T135" s="62">
        <f t="shared" si="142"/>
        <v>301.22207291854005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0.59193414783767151</v>
      </c>
      <c r="AA135" s="23">
        <f>EXP(-LN(2)/25)*AA134+(1-EXP(-LN(2)/25))/(LN(2)/25)*Calculateur!V135*Calculateur!X135*VLOOKUP('Données projet'!$B$9,Paramètres!$A$1:$I$89,3,0)*0.475*44/12</f>
        <v>0.48765130564266596</v>
      </c>
      <c r="AB135" s="23">
        <f>EXP(-LN(2)/2)*AB134+(1-EXP(-LN(2)/2))/(LN(2)/2)*V135*Y135*VLOOKUP('Données projet'!$B$9,Paramètres!$A$1:$I$89,3,0)*0.475*44/12</f>
        <v>2.703529480116105E-15</v>
      </c>
      <c r="AC135" s="24">
        <f t="shared" si="111"/>
        <v>1.0795854534803402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1.7053025658242404E-13</v>
      </c>
      <c r="AJ135" s="14">
        <f>AI135*VLOOKUP('Données projet'!$B$10,Paramètres!$A$1:$I$89,3,0)*VLOOKUP('Données projet'!$B$10,Paramètres!$A$1:$I$89,5,0)</f>
        <v>7.9808160080574461E-14</v>
      </c>
      <c r="AK135" s="14">
        <f t="shared" si="143"/>
        <v>1.2308384591775343E-12</v>
      </c>
      <c r="AL135" s="22">
        <f t="shared" si="112"/>
        <v>2.282709528541206E-12</v>
      </c>
      <c r="AM135" s="62">
        <f t="shared" si="113"/>
        <v>293.33333333333559</v>
      </c>
      <c r="AN135" s="62">
        <f ca="1">AVERAGE(OFFSET($AM$3,0,0,'Données projet'!$E$10+1,1))-AVERAGE(OFFSET($H$3,0,0,'Données projet'!$E$10+1,1))</f>
        <v>276.78862011733338</v>
      </c>
      <c r="AO135" s="62">
        <f t="shared" si="144"/>
        <v>202.1678469635836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248.2771199999994</v>
      </c>
      <c r="BF135" s="14">
        <f t="shared" si="145"/>
        <v>60.216863677580257</v>
      </c>
      <c r="BG135" s="22">
        <f t="shared" si="115"/>
        <v>537.29368823845118</v>
      </c>
      <c r="BH135" s="62">
        <f t="shared" si="116"/>
        <v>830.62702157178455</v>
      </c>
      <c r="BI135" s="62">
        <f ca="1">AVERAGE(OFFSET($BH$3,0,0,'Données projet'!$E$11+1,1))-AVERAGE(OFFSET($H$3,0,0,'Données projet'!$E$11+1,1))</f>
        <v>428.8489304403459</v>
      </c>
      <c r="BJ135" s="62">
        <f t="shared" si="146"/>
        <v>247.01165577562966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-2.8421709430404007E-13</v>
      </c>
      <c r="BZ135" s="14">
        <f>BY135*VLOOKUP('Données projet'!$B$12,Paramètres!$A$1:$I$89,3,0)*VLOOKUP('Données projet'!$B$12,Paramètres!$A$1:$I$89,5,0)</f>
        <v>-1.69961822393816E-13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289.12367833861299</v>
      </c>
      <c r="CE135" s="62">
        <f t="shared" si="148"/>
        <v>229.06617320689003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1.8415647131788446E-15</v>
      </c>
      <c r="CN135" s="24">
        <f t="shared" si="120"/>
        <v>1.8415647131788446E-15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-4.5224624045658861E-14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370.59298168107364</v>
      </c>
      <c r="CZ135" s="62">
        <f t="shared" si="150"/>
        <v>404.61777090709171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-5.6843418860808015E-14</v>
      </c>
      <c r="DP135" s="18">
        <f>DO135*VLOOKUP('Données projet'!$B$14,Paramètres!$A$1:$I$89,3,0)*VLOOKUP('Données projet'!$B$14,Paramètres!$A$1:$I$89,5,0)</f>
        <v>-4.9658410716801891E-14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341.65872153228599</v>
      </c>
      <c r="DU135" s="62">
        <f t="shared" si="152"/>
        <v>339.49697153894937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1.7053025658242404E-13</v>
      </c>
      <c r="EK135" s="18">
        <f>EJ135*VLOOKUP('Données projet'!$B$15,Paramètres!$A$1:$I$89,3,0)*VLOOKUP('Données projet'!$B$15,Paramètres!$A$1:$I$89,5,0)</f>
        <v>1.1439169611549005E-13</v>
      </c>
      <c r="EL135" s="14">
        <f t="shared" si="153"/>
        <v>1.6918016515029816E-12</v>
      </c>
      <c r="EM135" s="22">
        <f t="shared" si="127"/>
        <v>3.1457867471021712E-12</v>
      </c>
      <c r="EN135" s="62">
        <f t="shared" si="128"/>
        <v>293.33333333333644</v>
      </c>
      <c r="EO135" s="62">
        <f ca="1">AVERAGE(OFFSET($EN$3,0,0,'Données projet'!$E$15+1,1))-AVERAGE(OFFSET($H$3,0,0,'Données projet'!$E$15+1,1))</f>
        <v>312.06797204903796</v>
      </c>
      <c r="EP135" s="62">
        <f t="shared" si="154"/>
        <v>258.20189001775151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2.7</v>
      </c>
      <c r="FE135" s="13">
        <f>IF('Données projet'!$A$218&gt;35,FE134+FD135-FM134,IF(A135&lt;'Données projet'!$A$218,$FB$205^A135,IF(A135='Données projet'!$A$218,'Données projet'!$B$218,FE134+FD135-FM134)))</f>
        <v>274.39999999999935</v>
      </c>
      <c r="FF135" s="18">
        <f>FE135*VLOOKUP('Données projet'!$B$16,Paramètres!$A$1:$I$89,3,0)*VLOOKUP('Données projet'!$B$16,Paramètres!$A$1:$I$89,5,0)</f>
        <v>265.39967999999936</v>
      </c>
      <c r="FG135" s="14">
        <f t="shared" si="155"/>
        <v>63.87199095821434</v>
      </c>
      <c r="FH135" s="22">
        <f t="shared" si="130"/>
        <v>573.48149358555554</v>
      </c>
      <c r="FI135" s="62">
        <f t="shared" si="131"/>
        <v>866.81482691888891</v>
      </c>
      <c r="FJ135" s="62">
        <f ca="1">AVERAGE(OFFSET($FI$3,0,0,'Données projet'!$E$16+1,1))-AVERAGE(OFFSET($H$3,0,0,'Données projet'!$E$16+1,1))</f>
        <v>455.50822833641354</v>
      </c>
      <c r="FK135" s="62">
        <f t="shared" si="156"/>
        <v>261.14722581688039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2.2737367544323206E-13</v>
      </c>
      <c r="O136" s="14">
        <f>N136*VLOOKUP('Données projet'!$B$9,Paramètres!$A$1:$I$89,3,0)*VLOOKUP('Données projet'!$B$9,Paramètres!$A$1:$I$89,5,0)</f>
        <v>1.2710188457276673E-13</v>
      </c>
      <c r="P136" s="14">
        <f t="shared" si="141"/>
        <v>1.856866851063998E-12</v>
      </c>
      <c r="Q136" s="22">
        <f t="shared" si="108"/>
        <v>3.4554122145673649E-12</v>
      </c>
      <c r="R136" s="62">
        <f t="shared" si="109"/>
        <v>293.33333333333678</v>
      </c>
      <c r="S136" s="62">
        <f ca="1">AVERAGE(OFFSET($R$3,0,0,'Données projet'!$E$9+1,1))-AVERAGE(OFFSET($H$3,0,0,'Données projet'!$E$9+1,1))</f>
        <v>323.98185264074681</v>
      </c>
      <c r="T136" s="62">
        <f t="shared" si="142"/>
        <v>301.22207291854005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0.5803266802427548</v>
      </c>
      <c r="AA136" s="23">
        <f>EXP(-LN(2)/25)*AA135+(1-EXP(-LN(2)/25))/(LN(2)/25)*Calculateur!V136*Calculateur!X136*VLOOKUP('Données projet'!$B$9,Paramètres!$A$1:$I$89,3,0)*0.475*44/12</f>
        <v>0.47431645504539965</v>
      </c>
      <c r="AB136" s="23">
        <f>EXP(-LN(2)/2)*AB135+(1-EXP(-LN(2)/2))/(LN(2)/2)*V136*Y136*VLOOKUP('Données projet'!$B$9,Paramètres!$A$1:$I$89,3,0)*0.475*44/12</f>
        <v>1.9116840285278392E-15</v>
      </c>
      <c r="AC136" s="24">
        <f t="shared" si="111"/>
        <v>1.0546431352881565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1.7053025658242404E-13</v>
      </c>
      <c r="AJ136" s="14">
        <f>AI136*VLOOKUP('Données projet'!$B$10,Paramètres!$A$1:$I$89,3,0)*VLOOKUP('Données projet'!$B$10,Paramètres!$A$1:$I$89,5,0)</f>
        <v>7.9808160080574461E-14</v>
      </c>
      <c r="AK136" s="14">
        <f t="shared" si="143"/>
        <v>1.2308384591775343E-12</v>
      </c>
      <c r="AL136" s="22">
        <f t="shared" si="112"/>
        <v>2.282709528541206E-12</v>
      </c>
      <c r="AM136" s="62">
        <f t="shared" si="113"/>
        <v>293.33333333333559</v>
      </c>
      <c r="AN136" s="62">
        <f ca="1">AVERAGE(OFFSET($AM$3,0,0,'Données projet'!$E$10+1,1))-AVERAGE(OFFSET($H$3,0,0,'Données projet'!$E$10+1,1))</f>
        <v>276.78862011733338</v>
      </c>
      <c r="AO136" s="62">
        <f t="shared" si="144"/>
        <v>202.1678469635836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250.72007999999943</v>
      </c>
      <c r="BF136" s="14">
        <f t="shared" si="145"/>
        <v>60.740109326032709</v>
      </c>
      <c r="BG136" s="22">
        <f t="shared" si="115"/>
        <v>542.45982974283925</v>
      </c>
      <c r="BH136" s="62">
        <f t="shared" si="116"/>
        <v>835.7931630761725</v>
      </c>
      <c r="BI136" s="62">
        <f ca="1">AVERAGE(OFFSET($BH$3,0,0,'Données projet'!$E$11+1,1))-AVERAGE(OFFSET($H$3,0,0,'Données projet'!$E$11+1,1))</f>
        <v>428.8489304403459</v>
      </c>
      <c r="BJ136" s="62">
        <f t="shared" si="146"/>
        <v>247.01165577562966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-2.8421709430404007E-13</v>
      </c>
      <c r="BZ136" s="14">
        <f>BY136*VLOOKUP('Données projet'!$B$12,Paramètres!$A$1:$I$89,3,0)*VLOOKUP('Données projet'!$B$12,Paramètres!$A$1:$I$89,5,0)</f>
        <v>-1.69961822393816E-13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289.12367833861299</v>
      </c>
      <c r="CE136" s="62">
        <f t="shared" si="148"/>
        <v>229.06617320689003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1.3021828966826205E-15</v>
      </c>
      <c r="CN136" s="24">
        <f t="shared" si="120"/>
        <v>1.3021828966826205E-15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-4.5224624045658861E-14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370.59298168107364</v>
      </c>
      <c r="CZ136" s="62">
        <f t="shared" si="150"/>
        <v>404.61777090709171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-5.6843418860808015E-14</v>
      </c>
      <c r="DP136" s="18">
        <f>DO136*VLOOKUP('Données projet'!$B$14,Paramètres!$A$1:$I$89,3,0)*VLOOKUP('Données projet'!$B$14,Paramètres!$A$1:$I$89,5,0)</f>
        <v>-4.9658410716801891E-14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341.65872153228599</v>
      </c>
      <c r="DU136" s="62">
        <f t="shared" si="152"/>
        <v>339.49697153894937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1.7053025658242404E-13</v>
      </c>
      <c r="EK136" s="18">
        <f>EJ136*VLOOKUP('Données projet'!$B$15,Paramètres!$A$1:$I$89,3,0)*VLOOKUP('Données projet'!$B$15,Paramètres!$A$1:$I$89,5,0)</f>
        <v>1.1439169611549005E-13</v>
      </c>
      <c r="EL136" s="14">
        <f t="shared" si="153"/>
        <v>1.6918016515029816E-12</v>
      </c>
      <c r="EM136" s="22">
        <f t="shared" si="127"/>
        <v>3.1457867471021712E-12</v>
      </c>
      <c r="EN136" s="62">
        <f t="shared" si="128"/>
        <v>293.33333333333644</v>
      </c>
      <c r="EO136" s="62">
        <f ca="1">AVERAGE(OFFSET($EN$3,0,0,'Données projet'!$E$15+1,1))-AVERAGE(OFFSET($H$3,0,0,'Données projet'!$E$15+1,1))</f>
        <v>312.06797204903796</v>
      </c>
      <c r="EP136" s="62">
        <f t="shared" si="154"/>
        <v>258.20189001775151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2.7</v>
      </c>
      <c r="FE136" s="13">
        <f>IF('Données projet'!$A$218&gt;35,FE135+FD136-FM135,IF(A136&lt;'Données projet'!$A$218,$FB$205^A136,IF(A136='Données projet'!$A$218,'Données projet'!$B$218,FE135+FD136-FM135)))</f>
        <v>277.09999999999934</v>
      </c>
      <c r="FF136" s="18">
        <f>FE136*VLOOKUP('Données projet'!$B$16,Paramètres!$A$1:$I$89,3,0)*VLOOKUP('Données projet'!$B$16,Paramètres!$A$1:$I$89,5,0)</f>
        <v>268.01111999999938</v>
      </c>
      <c r="FG136" s="14">
        <f t="shared" si="155"/>
        <v>64.426997301716739</v>
      </c>
      <c r="FH136" s="22">
        <f t="shared" si="130"/>
        <v>578.99638763382234</v>
      </c>
      <c r="FI136" s="62">
        <f t="shared" si="131"/>
        <v>872.32972096715571</v>
      </c>
      <c r="FJ136" s="62">
        <f ca="1">AVERAGE(OFFSET($FI$3,0,0,'Données projet'!$E$16+1,1))-AVERAGE(OFFSET($H$3,0,0,'Données projet'!$E$16+1,1))</f>
        <v>455.50822833641354</v>
      </c>
      <c r="FK136" s="62">
        <f t="shared" si="156"/>
        <v>261.14722581688039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2.2737367544323206E-13</v>
      </c>
      <c r="O137" s="14">
        <f>N137*VLOOKUP('Données projet'!$B$9,Paramètres!$A$1:$I$89,3,0)*VLOOKUP('Données projet'!$B$9,Paramètres!$A$1:$I$89,5,0)</f>
        <v>1.2710188457276673E-13</v>
      </c>
      <c r="P137" s="14">
        <f t="shared" si="141"/>
        <v>1.856866851063998E-12</v>
      </c>
      <c r="Q137" s="22">
        <f t="shared" si="108"/>
        <v>3.4554122145673649E-12</v>
      </c>
      <c r="R137" s="62">
        <f t="shared" si="109"/>
        <v>293.33333333333678</v>
      </c>
      <c r="S137" s="62">
        <f ca="1">AVERAGE(OFFSET($R$3,0,0,'Données projet'!$E$9+1,1))-AVERAGE(OFFSET($H$3,0,0,'Données projet'!$E$9+1,1))</f>
        <v>323.98185264074681</v>
      </c>
      <c r="T137" s="62">
        <f t="shared" si="142"/>
        <v>301.22207291854005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0.56894682800751828</v>
      </c>
      <c r="AA137" s="23">
        <f>EXP(-LN(2)/25)*AA136+(1-EXP(-LN(2)/25))/(LN(2)/25)*Calculateur!V137*Calculateur!X137*VLOOKUP('Données projet'!$B$9,Paramètres!$A$1:$I$89,3,0)*0.475*44/12</f>
        <v>0.4613462466389649</v>
      </c>
      <c r="AB137" s="23">
        <f>EXP(-LN(2)/2)*AB136+(1-EXP(-LN(2)/2))/(LN(2)/2)*V137*Y137*VLOOKUP('Données projet'!$B$9,Paramètres!$A$1:$I$89,3,0)*0.475*44/12</f>
        <v>1.3517647400580525E-15</v>
      </c>
      <c r="AC137" s="24">
        <f t="shared" si="111"/>
        <v>1.0302930746464845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1.7053025658242404E-13</v>
      </c>
      <c r="AJ137" s="14">
        <f>AI137*VLOOKUP('Données projet'!$B$10,Paramètres!$A$1:$I$89,3,0)*VLOOKUP('Données projet'!$B$10,Paramètres!$A$1:$I$89,5,0)</f>
        <v>7.9808160080574461E-14</v>
      </c>
      <c r="AK137" s="14">
        <f t="shared" si="143"/>
        <v>1.2308384591775343E-12</v>
      </c>
      <c r="AL137" s="22">
        <f t="shared" si="112"/>
        <v>2.282709528541206E-12</v>
      </c>
      <c r="AM137" s="62">
        <f t="shared" si="113"/>
        <v>293.33333333333559</v>
      </c>
      <c r="AN137" s="62">
        <f ca="1">AVERAGE(OFFSET($AM$3,0,0,'Données projet'!$E$10+1,1))-AVERAGE(OFFSET($H$3,0,0,'Données projet'!$E$10+1,1))</f>
        <v>276.78862011733338</v>
      </c>
      <c r="AO137" s="62">
        <f t="shared" si="144"/>
        <v>202.1678469635836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253.16303999999937</v>
      </c>
      <c r="BF137" s="14">
        <f t="shared" si="145"/>
        <v>61.262761848634923</v>
      </c>
      <c r="BG137" s="22">
        <f t="shared" si="115"/>
        <v>547.62493821970475</v>
      </c>
      <c r="BH137" s="62">
        <f t="shared" si="116"/>
        <v>840.958271553038</v>
      </c>
      <c r="BI137" s="62">
        <f ca="1">AVERAGE(OFFSET($BH$3,0,0,'Données projet'!$E$11+1,1))-AVERAGE(OFFSET($H$3,0,0,'Données projet'!$E$11+1,1))</f>
        <v>428.8489304403459</v>
      </c>
      <c r="BJ137" s="62">
        <f t="shared" si="146"/>
        <v>247.01165577562966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-2.8421709430404007E-13</v>
      </c>
      <c r="BZ137" s="14">
        <f>BY137*VLOOKUP('Données projet'!$B$12,Paramètres!$A$1:$I$89,3,0)*VLOOKUP('Données projet'!$B$12,Paramètres!$A$1:$I$89,5,0)</f>
        <v>-1.69961822393816E-13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289.12367833861299</v>
      </c>
      <c r="CE137" s="62">
        <f t="shared" si="148"/>
        <v>229.06617320689003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9.2078235658942231E-16</v>
      </c>
      <c r="CN137" s="24">
        <f t="shared" si="120"/>
        <v>9.2078235658942231E-16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-4.5224624045658861E-14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370.59298168107364</v>
      </c>
      <c r="CZ137" s="62">
        <f t="shared" si="150"/>
        <v>404.61777090709171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-5.6843418860808015E-14</v>
      </c>
      <c r="DP137" s="18">
        <f>DO137*VLOOKUP('Données projet'!$B$14,Paramètres!$A$1:$I$89,3,0)*VLOOKUP('Données projet'!$B$14,Paramètres!$A$1:$I$89,5,0)</f>
        <v>-4.9658410716801891E-14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341.65872153228599</v>
      </c>
      <c r="DU137" s="62">
        <f t="shared" si="152"/>
        <v>339.49697153894937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1.7053025658242404E-13</v>
      </c>
      <c r="EK137" s="18">
        <f>EJ137*VLOOKUP('Données projet'!$B$15,Paramètres!$A$1:$I$89,3,0)*VLOOKUP('Données projet'!$B$15,Paramètres!$A$1:$I$89,5,0)</f>
        <v>1.1439169611549005E-13</v>
      </c>
      <c r="EL137" s="14">
        <f t="shared" si="153"/>
        <v>1.6918016515029816E-12</v>
      </c>
      <c r="EM137" s="22">
        <f t="shared" si="127"/>
        <v>3.1457867471021712E-12</v>
      </c>
      <c r="EN137" s="62">
        <f t="shared" si="128"/>
        <v>293.33333333333644</v>
      </c>
      <c r="EO137" s="62">
        <f ca="1">AVERAGE(OFFSET($EN$3,0,0,'Données projet'!$E$15+1,1))-AVERAGE(OFFSET($H$3,0,0,'Données projet'!$E$15+1,1))</f>
        <v>312.06797204903796</v>
      </c>
      <c r="EP137" s="62">
        <f t="shared" si="154"/>
        <v>258.20189001775151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2.7</v>
      </c>
      <c r="FE137" s="13">
        <f>IF('Données projet'!$A$218&gt;35,FE136+FD137-FM136,IF(A137&lt;'Données projet'!$A$218,$FB$205^A137,IF(A137='Données projet'!$A$218,'Données projet'!$B$218,FE136+FD137-FM136)))</f>
        <v>279.79999999999933</v>
      </c>
      <c r="FF137" s="18">
        <f>FE137*VLOOKUP('Données projet'!$B$16,Paramètres!$A$1:$I$89,3,0)*VLOOKUP('Données projet'!$B$16,Paramètres!$A$1:$I$89,5,0)</f>
        <v>270.62255999999934</v>
      </c>
      <c r="FG137" s="14">
        <f t="shared" si="155"/>
        <v>64.981374516987898</v>
      </c>
      <c r="FH137" s="22">
        <f t="shared" si="130"/>
        <v>584.51018595041944</v>
      </c>
      <c r="FI137" s="62">
        <f t="shared" si="131"/>
        <v>877.84351928375281</v>
      </c>
      <c r="FJ137" s="62">
        <f ca="1">AVERAGE(OFFSET($FI$3,0,0,'Données projet'!$E$16+1,1))-AVERAGE(OFFSET($H$3,0,0,'Données projet'!$E$16+1,1))</f>
        <v>455.50822833641354</v>
      </c>
      <c r="FK137" s="62">
        <f t="shared" si="156"/>
        <v>261.14722581688039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2.2737367544323206E-13</v>
      </c>
      <c r="O138" s="14">
        <f>N138*VLOOKUP('Données projet'!$B$9,Paramètres!$A$1:$I$89,3,0)*VLOOKUP('Données projet'!$B$9,Paramètres!$A$1:$I$89,5,0)</f>
        <v>1.2710188457276673E-13</v>
      </c>
      <c r="P138" s="14">
        <f t="shared" si="141"/>
        <v>1.856866851063998E-12</v>
      </c>
      <c r="Q138" s="22">
        <f t="shared" si="108"/>
        <v>3.4554122145673649E-12</v>
      </c>
      <c r="R138" s="62">
        <f t="shared" si="109"/>
        <v>293.33333333333678</v>
      </c>
      <c r="S138" s="62">
        <f ca="1">AVERAGE(OFFSET($R$3,0,0,'Données projet'!$E$9+1,1))-AVERAGE(OFFSET($H$3,0,0,'Données projet'!$E$9+1,1))</f>
        <v>323.98185264074681</v>
      </c>
      <c r="T138" s="62">
        <f t="shared" si="142"/>
        <v>301.22207291854005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0.55779012773359027</v>
      </c>
      <c r="AA138" s="23">
        <f>EXP(-LN(2)/25)*AA137+(1-EXP(-LN(2)/25))/(LN(2)/25)*Calculateur!V138*Calculateur!X138*VLOOKUP('Données projet'!$B$9,Paramètres!$A$1:$I$89,3,0)*0.475*44/12</f>
        <v>0.44873070926347769</v>
      </c>
      <c r="AB138" s="23">
        <f>EXP(-LN(2)/2)*AB137+(1-EXP(-LN(2)/2))/(LN(2)/2)*V138*Y138*VLOOKUP('Données projet'!$B$9,Paramètres!$A$1:$I$89,3,0)*0.475*44/12</f>
        <v>9.5584201426391961E-16</v>
      </c>
      <c r="AC138" s="24">
        <f t="shared" si="111"/>
        <v>1.0065208369970688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1.7053025658242404E-13</v>
      </c>
      <c r="AJ138" s="14">
        <f>AI138*VLOOKUP('Données projet'!$B$10,Paramètres!$A$1:$I$89,3,0)*VLOOKUP('Données projet'!$B$10,Paramètres!$A$1:$I$89,5,0)</f>
        <v>7.9808160080574461E-14</v>
      </c>
      <c r="AK138" s="14">
        <f t="shared" si="143"/>
        <v>1.2308384591775343E-12</v>
      </c>
      <c r="AL138" s="22">
        <f t="shared" si="112"/>
        <v>2.282709528541206E-12</v>
      </c>
      <c r="AM138" s="62">
        <f t="shared" si="113"/>
        <v>293.33333333333559</v>
      </c>
      <c r="AN138" s="62">
        <f ca="1">AVERAGE(OFFSET($AM$3,0,0,'Données projet'!$E$10+1,1))-AVERAGE(OFFSET($H$3,0,0,'Données projet'!$E$10+1,1))</f>
        <v>276.78862011733338</v>
      </c>
      <c r="AO138" s="62">
        <f t="shared" si="144"/>
        <v>202.1678469635836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255.60599999999937</v>
      </c>
      <c r="BF138" s="14">
        <f t="shared" si="145"/>
        <v>61.784827631732192</v>
      </c>
      <c r="BG138" s="22">
        <f t="shared" si="115"/>
        <v>552.78902479193243</v>
      </c>
      <c r="BH138" s="62">
        <f t="shared" si="116"/>
        <v>846.12235812526569</v>
      </c>
      <c r="BI138" s="62">
        <f ca="1">AVERAGE(OFFSET($BH$3,0,0,'Données projet'!$E$11+1,1))-AVERAGE(OFFSET($H$3,0,0,'Données projet'!$E$11+1,1))</f>
        <v>428.8489304403459</v>
      </c>
      <c r="BJ138" s="62">
        <f t="shared" si="146"/>
        <v>247.01165577562966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-2.8421709430404007E-13</v>
      </c>
      <c r="BZ138" s="14">
        <f>BY138*VLOOKUP('Données projet'!$B$12,Paramètres!$A$1:$I$89,3,0)*VLOOKUP('Données projet'!$B$12,Paramètres!$A$1:$I$89,5,0)</f>
        <v>-1.69961822393816E-13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289.12367833861299</v>
      </c>
      <c r="CE138" s="62">
        <f t="shared" si="148"/>
        <v>229.06617320689003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6.5109144834131023E-16</v>
      </c>
      <c r="CN138" s="24">
        <f t="shared" si="120"/>
        <v>6.5109144834131023E-16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-4.5224624045658861E-14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370.59298168107364</v>
      </c>
      <c r="CZ138" s="62">
        <f t="shared" si="150"/>
        <v>404.61777090709171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-5.6843418860808015E-14</v>
      </c>
      <c r="DP138" s="18">
        <f>DO138*VLOOKUP('Données projet'!$B$14,Paramètres!$A$1:$I$89,3,0)*VLOOKUP('Données projet'!$B$14,Paramètres!$A$1:$I$89,5,0)</f>
        <v>-4.9658410716801891E-14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341.65872153228599</v>
      </c>
      <c r="DU138" s="62">
        <f t="shared" si="152"/>
        <v>339.49697153894937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1.7053025658242404E-13</v>
      </c>
      <c r="EK138" s="18">
        <f>EJ138*VLOOKUP('Données projet'!$B$15,Paramètres!$A$1:$I$89,3,0)*VLOOKUP('Données projet'!$B$15,Paramètres!$A$1:$I$89,5,0)</f>
        <v>1.1439169611549005E-13</v>
      </c>
      <c r="EL138" s="14">
        <f t="shared" si="153"/>
        <v>1.6918016515029816E-12</v>
      </c>
      <c r="EM138" s="22">
        <f t="shared" si="127"/>
        <v>3.1457867471021712E-12</v>
      </c>
      <c r="EN138" s="62">
        <f t="shared" si="128"/>
        <v>293.33333333333644</v>
      </c>
      <c r="EO138" s="62">
        <f ca="1">AVERAGE(OFFSET($EN$3,0,0,'Données projet'!$E$15+1,1))-AVERAGE(OFFSET($H$3,0,0,'Données projet'!$E$15+1,1))</f>
        <v>312.06797204903796</v>
      </c>
      <c r="EP138" s="62">
        <f t="shared" si="154"/>
        <v>258.20189001775151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2.7</v>
      </c>
      <c r="FE138" s="13">
        <f>IF('Données projet'!$A$218&gt;35,FE137+FD138-FM137,IF(A138&lt;'Données projet'!$A$218,$FB$205^A138,IF(A138='Données projet'!$A$218,'Données projet'!$B$218,FE137+FD138-FM137)))</f>
        <v>282.49999999999932</v>
      </c>
      <c r="FF138" s="18">
        <f>FE138*VLOOKUP('Données projet'!$B$16,Paramètres!$A$1:$I$89,3,0)*VLOOKUP('Données projet'!$B$16,Paramètres!$A$1:$I$89,5,0)</f>
        <v>273.23399999999936</v>
      </c>
      <c r="FG138" s="14">
        <f t="shared" si="155"/>
        <v>65.535129378020301</v>
      </c>
      <c r="FH138" s="22">
        <f t="shared" si="130"/>
        <v>590.0229003333842</v>
      </c>
      <c r="FI138" s="62">
        <f t="shared" si="131"/>
        <v>883.35623366671757</v>
      </c>
      <c r="FJ138" s="62">
        <f ca="1">AVERAGE(OFFSET($FI$3,0,0,'Données projet'!$E$16+1,1))-AVERAGE(OFFSET($H$3,0,0,'Données projet'!$E$16+1,1))</f>
        <v>455.50822833641354</v>
      </c>
      <c r="FK138" s="62">
        <f t="shared" si="156"/>
        <v>261.14722581688039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2.2737367544323206E-13</v>
      </c>
      <c r="O139" s="14">
        <f>N139*VLOOKUP('Données projet'!$B$9,Paramètres!$A$1:$I$89,3,0)*VLOOKUP('Données projet'!$B$9,Paramètres!$A$1:$I$89,5,0)</f>
        <v>1.2710188457276673E-13</v>
      </c>
      <c r="P139" s="14">
        <f t="shared" si="141"/>
        <v>1.856866851063998E-12</v>
      </c>
      <c r="Q139" s="22">
        <f t="shared" si="108"/>
        <v>3.4554122145673649E-12</v>
      </c>
      <c r="R139" s="62">
        <f t="shared" si="109"/>
        <v>293.33333333333678</v>
      </c>
      <c r="S139" s="62">
        <f ca="1">AVERAGE(OFFSET($R$3,0,0,'Données projet'!$E$9+1,1))-AVERAGE(OFFSET($H$3,0,0,'Données projet'!$E$9+1,1))</f>
        <v>323.98185264074681</v>
      </c>
      <c r="T139" s="62">
        <f t="shared" si="142"/>
        <v>301.22207291854005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0.54685220354711872</v>
      </c>
      <c r="AA139" s="23">
        <f>EXP(-LN(2)/25)*AA138+(1-EXP(-LN(2)/25))/(LN(2)/25)*Calculateur!V139*Calculateur!X139*VLOOKUP('Données projet'!$B$9,Paramètres!$A$1:$I$89,3,0)*0.475*44/12</f>
        <v>0.4364601444209455</v>
      </c>
      <c r="AB139" s="23">
        <f>EXP(-LN(2)/2)*AB138+(1-EXP(-LN(2)/2))/(LN(2)/2)*V139*Y139*VLOOKUP('Données projet'!$B$9,Paramètres!$A$1:$I$89,3,0)*0.475*44/12</f>
        <v>6.7588237002902625E-16</v>
      </c>
      <c r="AC139" s="24">
        <f t="shared" si="111"/>
        <v>0.98331234796806488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1.7053025658242404E-13</v>
      </c>
      <c r="AJ139" s="14">
        <f>AI139*VLOOKUP('Données projet'!$B$10,Paramètres!$A$1:$I$89,3,0)*VLOOKUP('Données projet'!$B$10,Paramètres!$A$1:$I$89,5,0)</f>
        <v>7.9808160080574461E-14</v>
      </c>
      <c r="AK139" s="14">
        <f t="shared" si="143"/>
        <v>1.2308384591775343E-12</v>
      </c>
      <c r="AL139" s="22">
        <f t="shared" si="112"/>
        <v>2.282709528541206E-12</v>
      </c>
      <c r="AM139" s="62">
        <f t="shared" si="113"/>
        <v>293.33333333333559</v>
      </c>
      <c r="AN139" s="62">
        <f ca="1">AVERAGE(OFFSET($AM$3,0,0,'Données projet'!$E$10+1,1))-AVERAGE(OFFSET($H$3,0,0,'Données projet'!$E$10+1,1))</f>
        <v>276.78862011733338</v>
      </c>
      <c r="AO139" s="62">
        <f t="shared" si="144"/>
        <v>202.1678469635836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258.0489599999994</v>
      </c>
      <c r="BF139" s="14">
        <f t="shared" si="145"/>
        <v>62.306312932555649</v>
      </c>
      <c r="BG139" s="22">
        <f t="shared" si="115"/>
        <v>557.95210035753337</v>
      </c>
      <c r="BH139" s="62">
        <f t="shared" si="116"/>
        <v>851.28543369086674</v>
      </c>
      <c r="BI139" s="62">
        <f ca="1">AVERAGE(OFFSET($BH$3,0,0,'Données projet'!$E$11+1,1))-AVERAGE(OFFSET($H$3,0,0,'Données projet'!$E$11+1,1))</f>
        <v>428.8489304403459</v>
      </c>
      <c r="BJ139" s="62">
        <f t="shared" si="146"/>
        <v>247.01165577562966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-2.8421709430404007E-13</v>
      </c>
      <c r="BZ139" s="14">
        <f>BY139*VLOOKUP('Données projet'!$B$12,Paramètres!$A$1:$I$89,3,0)*VLOOKUP('Données projet'!$B$12,Paramètres!$A$1:$I$89,5,0)</f>
        <v>-1.69961822393816E-13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289.12367833861299</v>
      </c>
      <c r="CE139" s="62">
        <f t="shared" si="148"/>
        <v>229.06617320689003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4.6039117829471115E-16</v>
      </c>
      <c r="CN139" s="24">
        <f t="shared" si="120"/>
        <v>4.6039117829471115E-16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-4.5224624045658861E-14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370.59298168107364</v>
      </c>
      <c r="CZ139" s="62">
        <f t="shared" si="150"/>
        <v>404.61777090709171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-5.6843418860808015E-14</v>
      </c>
      <c r="DP139" s="18">
        <f>DO139*VLOOKUP('Données projet'!$B$14,Paramètres!$A$1:$I$89,3,0)*VLOOKUP('Données projet'!$B$14,Paramètres!$A$1:$I$89,5,0)</f>
        <v>-4.9658410716801891E-14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341.65872153228599</v>
      </c>
      <c r="DU139" s="62">
        <f t="shared" si="152"/>
        <v>339.49697153894937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1.7053025658242404E-13</v>
      </c>
      <c r="EK139" s="18">
        <f>EJ139*VLOOKUP('Données projet'!$B$15,Paramètres!$A$1:$I$89,3,0)*VLOOKUP('Données projet'!$B$15,Paramètres!$A$1:$I$89,5,0)</f>
        <v>1.1439169611549005E-13</v>
      </c>
      <c r="EL139" s="14">
        <f t="shared" si="153"/>
        <v>1.6918016515029816E-12</v>
      </c>
      <c r="EM139" s="22">
        <f t="shared" si="127"/>
        <v>3.1457867471021712E-12</v>
      </c>
      <c r="EN139" s="62">
        <f t="shared" si="128"/>
        <v>293.33333333333644</v>
      </c>
      <c r="EO139" s="62">
        <f ca="1">AVERAGE(OFFSET($EN$3,0,0,'Données projet'!$E$15+1,1))-AVERAGE(OFFSET($H$3,0,0,'Données projet'!$E$15+1,1))</f>
        <v>312.06797204903796</v>
      </c>
      <c r="EP139" s="62">
        <f t="shared" si="154"/>
        <v>258.20189001775151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2.7</v>
      </c>
      <c r="FE139" s="13">
        <f>IF('Données projet'!$A$218&gt;35,FE138+FD139-FM138,IF(A139&lt;'Données projet'!$A$218,$FB$205^A139,IF(A139='Données projet'!$A$218,'Données projet'!$B$218,FE138+FD139-FM138)))</f>
        <v>285.19999999999931</v>
      </c>
      <c r="FF139" s="18">
        <f>FE139*VLOOKUP('Données projet'!$B$16,Paramètres!$A$1:$I$89,3,0)*VLOOKUP('Données projet'!$B$16,Paramètres!$A$1:$I$89,5,0)</f>
        <v>275.84543999999931</v>
      </c>
      <c r="FG139" s="14">
        <f t="shared" si="155"/>
        <v>66.088268521855113</v>
      </c>
      <c r="FH139" s="22">
        <f t="shared" si="130"/>
        <v>595.53454234222977</v>
      </c>
      <c r="FI139" s="62">
        <f t="shared" si="131"/>
        <v>888.86787567556303</v>
      </c>
      <c r="FJ139" s="62">
        <f ca="1">AVERAGE(OFFSET($FI$3,0,0,'Données projet'!$E$16+1,1))-AVERAGE(OFFSET($H$3,0,0,'Données projet'!$E$16+1,1))</f>
        <v>455.50822833641354</v>
      </c>
      <c r="FK139" s="62">
        <f t="shared" si="156"/>
        <v>261.14722581688039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2.2737367544323206E-13</v>
      </c>
      <c r="O140" s="14">
        <f>N140*VLOOKUP('Données projet'!$B$9,Paramètres!$A$1:$I$89,3,0)*VLOOKUP('Données projet'!$B$9,Paramètres!$A$1:$I$89,5,0)</f>
        <v>1.2710188457276673E-13</v>
      </c>
      <c r="P140" s="14">
        <f t="shared" si="141"/>
        <v>1.856866851063998E-12</v>
      </c>
      <c r="Q140" s="22">
        <f t="shared" si="108"/>
        <v>3.4554122145673649E-12</v>
      </c>
      <c r="R140" s="62">
        <f t="shared" si="109"/>
        <v>293.33333333333678</v>
      </c>
      <c r="S140" s="62">
        <f ca="1">AVERAGE(OFFSET($R$3,0,0,'Données projet'!$E$9+1,1))-AVERAGE(OFFSET($H$3,0,0,'Données projet'!$E$9+1,1))</f>
        <v>323.98185264074681</v>
      </c>
      <c r="T140" s="62">
        <f t="shared" si="142"/>
        <v>301.22207291854005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0.5361287653824689</v>
      </c>
      <c r="AA140" s="23">
        <f>EXP(-LN(2)/25)*AA139+(1-EXP(-LN(2)/25))/(LN(2)/25)*Calculateur!V140*Calculateur!X140*VLOOKUP('Données projet'!$B$9,Paramètres!$A$1:$I$89,3,0)*0.475*44/12</f>
        <v>0.42452511881931326</v>
      </c>
      <c r="AB140" s="23">
        <f>EXP(-LN(2)/2)*AB139+(1-EXP(-LN(2)/2))/(LN(2)/2)*V140*Y140*VLOOKUP('Données projet'!$B$9,Paramètres!$A$1:$I$89,3,0)*0.475*44/12</f>
        <v>4.779210071319598E-16</v>
      </c>
      <c r="AC140" s="24">
        <f t="shared" si="111"/>
        <v>0.96065388420178266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1.7053025658242404E-13</v>
      </c>
      <c r="AJ140" s="14">
        <f>AI140*VLOOKUP('Données projet'!$B$10,Paramètres!$A$1:$I$89,3,0)*VLOOKUP('Données projet'!$B$10,Paramètres!$A$1:$I$89,5,0)</f>
        <v>7.9808160080574461E-14</v>
      </c>
      <c r="AK140" s="14">
        <f t="shared" si="143"/>
        <v>1.2308384591775343E-12</v>
      </c>
      <c r="AL140" s="22">
        <f t="shared" si="112"/>
        <v>2.282709528541206E-12</v>
      </c>
      <c r="AM140" s="62">
        <f t="shared" si="113"/>
        <v>293.33333333333559</v>
      </c>
      <c r="AN140" s="62">
        <f ca="1">AVERAGE(OFFSET($AM$3,0,0,'Données projet'!$E$10+1,1))-AVERAGE(OFFSET($H$3,0,0,'Données projet'!$E$10+1,1))</f>
        <v>276.78862011733338</v>
      </c>
      <c r="AO140" s="62">
        <f t="shared" si="144"/>
        <v>202.1678469635836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260.49191999999937</v>
      </c>
      <c r="BF140" s="14">
        <f t="shared" si="145"/>
        <v>62.827223883029681</v>
      </c>
      <c r="BG140" s="22">
        <f t="shared" si="115"/>
        <v>563.11417559627546</v>
      </c>
      <c r="BH140" s="62">
        <f t="shared" si="116"/>
        <v>856.44750892960883</v>
      </c>
      <c r="BI140" s="62">
        <f ca="1">AVERAGE(OFFSET($BH$3,0,0,'Données projet'!$E$11+1,1))-AVERAGE(OFFSET($H$3,0,0,'Données projet'!$E$11+1,1))</f>
        <v>428.8489304403459</v>
      </c>
      <c r="BJ140" s="62">
        <f t="shared" si="146"/>
        <v>247.01165577562966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-2.8421709430404007E-13</v>
      </c>
      <c r="BZ140" s="14">
        <f>BY140*VLOOKUP('Données projet'!$B$12,Paramètres!$A$1:$I$89,3,0)*VLOOKUP('Données projet'!$B$12,Paramètres!$A$1:$I$89,5,0)</f>
        <v>-1.69961822393816E-13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289.12367833861299</v>
      </c>
      <c r="CE140" s="62">
        <f t="shared" si="148"/>
        <v>229.06617320689003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3.2554572417065511E-16</v>
      </c>
      <c r="CN140" s="24">
        <f t="shared" si="120"/>
        <v>3.2554572417065511E-16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-4.5224624045658861E-14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370.59298168107364</v>
      </c>
      <c r="CZ140" s="62">
        <f t="shared" si="150"/>
        <v>404.61777090709171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-5.6843418860808015E-14</v>
      </c>
      <c r="DP140" s="18">
        <f>DO140*VLOOKUP('Données projet'!$B$14,Paramètres!$A$1:$I$89,3,0)*VLOOKUP('Données projet'!$B$14,Paramètres!$A$1:$I$89,5,0)</f>
        <v>-4.9658410716801891E-14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341.65872153228599</v>
      </c>
      <c r="DU140" s="62">
        <f t="shared" si="152"/>
        <v>339.49697153894937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1.7053025658242404E-13</v>
      </c>
      <c r="EK140" s="18">
        <f>EJ140*VLOOKUP('Données projet'!$B$15,Paramètres!$A$1:$I$89,3,0)*VLOOKUP('Données projet'!$B$15,Paramètres!$A$1:$I$89,5,0)</f>
        <v>1.1439169611549005E-13</v>
      </c>
      <c r="EL140" s="14">
        <f t="shared" si="153"/>
        <v>1.6918016515029816E-12</v>
      </c>
      <c r="EM140" s="22">
        <f t="shared" si="127"/>
        <v>3.1457867471021712E-12</v>
      </c>
      <c r="EN140" s="62">
        <f t="shared" si="128"/>
        <v>293.33333333333644</v>
      </c>
      <c r="EO140" s="62">
        <f ca="1">AVERAGE(OFFSET($EN$3,0,0,'Données projet'!$E$15+1,1))-AVERAGE(OFFSET($H$3,0,0,'Données projet'!$E$15+1,1))</f>
        <v>312.06797204903796</v>
      </c>
      <c r="EP140" s="62">
        <f t="shared" si="154"/>
        <v>258.20189001775151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2.7</v>
      </c>
      <c r="FE140" s="13">
        <f>IF('Données projet'!$A$218&gt;35,FE139+FD140-FM139,IF(A140&lt;'Données projet'!$A$218,$FB$205^A140,IF(A140='Données projet'!$A$218,'Données projet'!$B$218,FE139+FD140-FM139)))</f>
        <v>287.8999999999993</v>
      </c>
      <c r="FF140" s="18">
        <f>FE140*VLOOKUP('Données projet'!$B$16,Paramètres!$A$1:$I$89,3,0)*VLOOKUP('Données projet'!$B$16,Paramètres!$A$1:$I$89,5,0)</f>
        <v>278.45687999999933</v>
      </c>
      <c r="FG140" s="14">
        <f t="shared" si="155"/>
        <v>66.640798452620999</v>
      </c>
      <c r="FH140" s="22">
        <f t="shared" si="130"/>
        <v>601.04512330498039</v>
      </c>
      <c r="FI140" s="62">
        <f t="shared" si="131"/>
        <v>894.37845663831376</v>
      </c>
      <c r="FJ140" s="62">
        <f ca="1">AVERAGE(OFFSET($FI$3,0,0,'Données projet'!$E$16+1,1))-AVERAGE(OFFSET($H$3,0,0,'Données projet'!$E$16+1,1))</f>
        <v>455.50822833641354</v>
      </c>
      <c r="FK140" s="62">
        <f t="shared" si="156"/>
        <v>261.14722581688039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2.2737367544323206E-13</v>
      </c>
      <c r="O141" s="14">
        <f>N141*VLOOKUP('Données projet'!$B$9,Paramètres!$A$1:$I$89,3,0)*VLOOKUP('Données projet'!$B$9,Paramètres!$A$1:$I$89,5,0)</f>
        <v>1.2710188457276673E-13</v>
      </c>
      <c r="P141" s="14">
        <f t="shared" si="141"/>
        <v>1.856866851063998E-12</v>
      </c>
      <c r="Q141" s="22">
        <f t="shared" si="108"/>
        <v>3.4554122145673649E-12</v>
      </c>
      <c r="R141" s="62">
        <f t="shared" si="109"/>
        <v>293.33333333333678</v>
      </c>
      <c r="S141" s="62">
        <f ca="1">AVERAGE(OFFSET($R$3,0,0,'Données projet'!$E$9+1,1))-AVERAGE(OFFSET($H$3,0,0,'Données projet'!$E$9+1,1))</f>
        <v>323.98185264074681</v>
      </c>
      <c r="T141" s="62">
        <f t="shared" si="142"/>
        <v>301.22207291854005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0.52561560729957635</v>
      </c>
      <c r="AA141" s="23">
        <f>EXP(-LN(2)/25)*AA140+(1-EXP(-LN(2)/25))/(LN(2)/25)*Calculateur!V141*Calculateur!X141*VLOOKUP('Données projet'!$B$9,Paramètres!$A$1:$I$89,3,0)*0.475*44/12</f>
        <v>0.41291645712039343</v>
      </c>
      <c r="AB141" s="23">
        <f>EXP(-LN(2)/2)*AB140+(1-EXP(-LN(2)/2))/(LN(2)/2)*V141*Y141*VLOOKUP('Données projet'!$B$9,Paramètres!$A$1:$I$89,3,0)*0.475*44/12</f>
        <v>3.3794118501451313E-16</v>
      </c>
      <c r="AC141" s="24">
        <f t="shared" si="111"/>
        <v>0.93853206441997006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1.7053025658242404E-13</v>
      </c>
      <c r="AJ141" s="14">
        <f>AI141*VLOOKUP('Données projet'!$B$10,Paramètres!$A$1:$I$89,3,0)*VLOOKUP('Données projet'!$B$10,Paramètres!$A$1:$I$89,5,0)</f>
        <v>7.9808160080574461E-14</v>
      </c>
      <c r="AK141" s="14">
        <f t="shared" si="143"/>
        <v>1.2308384591775343E-12</v>
      </c>
      <c r="AL141" s="22">
        <f t="shared" si="112"/>
        <v>2.282709528541206E-12</v>
      </c>
      <c r="AM141" s="62">
        <f t="shared" si="113"/>
        <v>293.33333333333559</v>
      </c>
      <c r="AN141" s="62">
        <f ca="1">AVERAGE(OFFSET($AM$3,0,0,'Données projet'!$E$10+1,1))-AVERAGE(OFFSET($H$3,0,0,'Données projet'!$E$10+1,1))</f>
        <v>276.78862011733338</v>
      </c>
      <c r="AO141" s="62">
        <f t="shared" si="144"/>
        <v>202.1678469635836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262.93487999999934</v>
      </c>
      <c r="BF141" s="14">
        <f t="shared" si="145"/>
        <v>63.347566493432652</v>
      </c>
      <c r="BG141" s="22">
        <f t="shared" si="115"/>
        <v>568.27526097606062</v>
      </c>
      <c r="BH141" s="62">
        <f t="shared" si="116"/>
        <v>861.60859430939399</v>
      </c>
      <c r="BI141" s="62">
        <f ca="1">AVERAGE(OFFSET($BH$3,0,0,'Données projet'!$E$11+1,1))-AVERAGE(OFFSET($H$3,0,0,'Données projet'!$E$11+1,1))</f>
        <v>428.8489304403459</v>
      </c>
      <c r="BJ141" s="62">
        <f t="shared" si="146"/>
        <v>247.01165577562966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-2.8421709430404007E-13</v>
      </c>
      <c r="BZ141" s="14">
        <f>BY141*VLOOKUP('Données projet'!$B$12,Paramètres!$A$1:$I$89,3,0)*VLOOKUP('Données projet'!$B$12,Paramètres!$A$1:$I$89,5,0)</f>
        <v>-1.69961822393816E-13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289.12367833861299</v>
      </c>
      <c r="CE141" s="62">
        <f t="shared" si="148"/>
        <v>229.06617320689003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2.3019558914735558E-16</v>
      </c>
      <c r="CN141" s="24">
        <f t="shared" si="120"/>
        <v>2.3019558914735558E-16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-4.5224624045658861E-14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370.59298168107364</v>
      </c>
      <c r="CZ141" s="62">
        <f t="shared" si="150"/>
        <v>404.61777090709171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-5.6843418860808015E-14</v>
      </c>
      <c r="DP141" s="18">
        <f>DO141*VLOOKUP('Données projet'!$B$14,Paramètres!$A$1:$I$89,3,0)*VLOOKUP('Données projet'!$B$14,Paramètres!$A$1:$I$89,5,0)</f>
        <v>-4.9658410716801891E-14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341.65872153228599</v>
      </c>
      <c r="DU141" s="62">
        <f t="shared" si="152"/>
        <v>339.49697153894937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1.7053025658242404E-13</v>
      </c>
      <c r="EK141" s="18">
        <f>EJ141*VLOOKUP('Données projet'!$B$15,Paramètres!$A$1:$I$89,3,0)*VLOOKUP('Données projet'!$B$15,Paramètres!$A$1:$I$89,5,0)</f>
        <v>1.1439169611549005E-13</v>
      </c>
      <c r="EL141" s="14">
        <f t="shared" si="153"/>
        <v>1.6918016515029816E-12</v>
      </c>
      <c r="EM141" s="22">
        <f t="shared" si="127"/>
        <v>3.1457867471021712E-12</v>
      </c>
      <c r="EN141" s="62">
        <f t="shared" si="128"/>
        <v>293.33333333333644</v>
      </c>
      <c r="EO141" s="62">
        <f ca="1">AVERAGE(OFFSET($EN$3,0,0,'Données projet'!$E$15+1,1))-AVERAGE(OFFSET($H$3,0,0,'Données projet'!$E$15+1,1))</f>
        <v>312.06797204903796</v>
      </c>
      <c r="EP141" s="62">
        <f t="shared" si="154"/>
        <v>258.20189001775151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2.7</v>
      </c>
      <c r="FE141" s="13">
        <f>IF('Données projet'!$A$218&gt;35,FE140+FD141-FM140,IF(A141&lt;'Données projet'!$A$218,$FB$205^A141,IF(A141='Données projet'!$A$218,'Données projet'!$B$218,FE140+FD141-FM140)))</f>
        <v>290.59999999999928</v>
      </c>
      <c r="FF141" s="18">
        <f>FE141*VLOOKUP('Données projet'!$B$16,Paramètres!$A$1:$I$89,3,0)*VLOOKUP('Données projet'!$B$16,Paramètres!$A$1:$I$89,5,0)</f>
        <v>281.06831999999929</v>
      </c>
      <c r="FG141" s="14">
        <f t="shared" si="155"/>
        <v>67.192725545416536</v>
      </c>
      <c r="FH141" s="22">
        <f t="shared" si="130"/>
        <v>606.55465432493247</v>
      </c>
      <c r="FI141" s="62">
        <f t="shared" si="131"/>
        <v>899.88798765826573</v>
      </c>
      <c r="FJ141" s="62">
        <f ca="1">AVERAGE(OFFSET($FI$3,0,0,'Données projet'!$E$16+1,1))-AVERAGE(OFFSET($H$3,0,0,'Données projet'!$E$16+1,1))</f>
        <v>455.50822833641354</v>
      </c>
      <c r="FK141" s="62">
        <f t="shared" si="156"/>
        <v>261.14722581688039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2.2737367544323206E-13</v>
      </c>
      <c r="O142" s="14">
        <f>N142*VLOOKUP('Données projet'!$B$9,Paramètres!$A$1:$I$89,3,0)*VLOOKUP('Données projet'!$B$9,Paramètres!$A$1:$I$89,5,0)</f>
        <v>1.2710188457276673E-13</v>
      </c>
      <c r="P142" s="14">
        <f t="shared" si="141"/>
        <v>1.856866851063998E-12</v>
      </c>
      <c r="Q142" s="22">
        <f t="shared" si="108"/>
        <v>3.4554122145673649E-12</v>
      </c>
      <c r="R142" s="62">
        <f t="shared" si="109"/>
        <v>293.33333333333678</v>
      </c>
      <c r="S142" s="62">
        <f ca="1">AVERAGE(OFFSET($R$3,0,0,'Données projet'!$E$9+1,1))-AVERAGE(OFFSET($H$3,0,0,'Données projet'!$E$9+1,1))</f>
        <v>323.98185264074681</v>
      </c>
      <c r="T142" s="62">
        <f t="shared" si="142"/>
        <v>301.22207291854005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0.51530860583429605</v>
      </c>
      <c r="AA142" s="23">
        <f>EXP(-LN(2)/25)*AA141+(1-EXP(-LN(2)/25))/(LN(2)/25)*Calculateur!V142*Calculateur!X142*VLOOKUP('Données projet'!$B$9,Paramètres!$A$1:$I$89,3,0)*0.475*44/12</f>
        <v>0.40162523488610352</v>
      </c>
      <c r="AB142" s="23">
        <f>EXP(-LN(2)/2)*AB141+(1-EXP(-LN(2)/2))/(LN(2)/2)*V142*Y142*VLOOKUP('Données projet'!$B$9,Paramètres!$A$1:$I$89,3,0)*0.475*44/12</f>
        <v>2.389605035659799E-16</v>
      </c>
      <c r="AC142" s="24">
        <f t="shared" si="111"/>
        <v>0.91693384072039974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1.7053025658242404E-13</v>
      </c>
      <c r="AJ142" s="14">
        <f>AI142*VLOOKUP('Données projet'!$B$10,Paramètres!$A$1:$I$89,3,0)*VLOOKUP('Données projet'!$B$10,Paramètres!$A$1:$I$89,5,0)</f>
        <v>7.9808160080574461E-14</v>
      </c>
      <c r="AK142" s="14">
        <f t="shared" si="143"/>
        <v>1.2308384591775343E-12</v>
      </c>
      <c r="AL142" s="22">
        <f t="shared" si="112"/>
        <v>2.282709528541206E-12</v>
      </c>
      <c r="AM142" s="62">
        <f t="shared" si="113"/>
        <v>293.33333333333559</v>
      </c>
      <c r="AN142" s="62">
        <f ca="1">AVERAGE(OFFSET($AM$3,0,0,'Données projet'!$E$10+1,1))-AVERAGE(OFFSET($H$3,0,0,'Données projet'!$E$10+1,1))</f>
        <v>276.78862011733338</v>
      </c>
      <c r="AO142" s="62">
        <f t="shared" si="144"/>
        <v>202.1678469635836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265.37783999999937</v>
      </c>
      <c r="BF142" s="14">
        <f t="shared" si="145"/>
        <v>63.867346655917089</v>
      </c>
      <c r="BG142" s="22">
        <f t="shared" si="115"/>
        <v>573.43536675905443</v>
      </c>
      <c r="BH142" s="62">
        <f t="shared" si="116"/>
        <v>866.76870009238769</v>
      </c>
      <c r="BI142" s="62">
        <f ca="1">AVERAGE(OFFSET($BH$3,0,0,'Données projet'!$E$11+1,1))-AVERAGE(OFFSET($H$3,0,0,'Données projet'!$E$11+1,1))</f>
        <v>428.8489304403459</v>
      </c>
      <c r="BJ142" s="62">
        <f t="shared" si="146"/>
        <v>247.01165577562966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-2.8421709430404007E-13</v>
      </c>
      <c r="BZ142" s="14">
        <f>BY142*VLOOKUP('Données projet'!$B$12,Paramètres!$A$1:$I$89,3,0)*VLOOKUP('Données projet'!$B$12,Paramètres!$A$1:$I$89,5,0)</f>
        <v>-1.69961822393816E-13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289.12367833861299</v>
      </c>
      <c r="CE142" s="62">
        <f t="shared" si="148"/>
        <v>229.06617320689003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1.6277286208532756E-16</v>
      </c>
      <c r="CN142" s="24">
        <f t="shared" si="120"/>
        <v>1.6277286208532756E-16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-4.5224624045658861E-14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370.59298168107364</v>
      </c>
      <c r="CZ142" s="62">
        <f t="shared" si="150"/>
        <v>404.61777090709171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-5.6843418860808015E-14</v>
      </c>
      <c r="DP142" s="18">
        <f>DO142*VLOOKUP('Données projet'!$B$14,Paramètres!$A$1:$I$89,3,0)*VLOOKUP('Données projet'!$B$14,Paramètres!$A$1:$I$89,5,0)</f>
        <v>-4.9658410716801891E-14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341.65872153228599</v>
      </c>
      <c r="DU142" s="62">
        <f t="shared" si="152"/>
        <v>339.49697153894937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1.7053025658242404E-13</v>
      </c>
      <c r="EK142" s="18">
        <f>EJ142*VLOOKUP('Données projet'!$B$15,Paramètres!$A$1:$I$89,3,0)*VLOOKUP('Données projet'!$B$15,Paramètres!$A$1:$I$89,5,0)</f>
        <v>1.1439169611549005E-13</v>
      </c>
      <c r="EL142" s="14">
        <f t="shared" si="153"/>
        <v>1.6918016515029816E-12</v>
      </c>
      <c r="EM142" s="22">
        <f t="shared" si="127"/>
        <v>3.1457867471021712E-12</v>
      </c>
      <c r="EN142" s="62">
        <f t="shared" si="128"/>
        <v>293.33333333333644</v>
      </c>
      <c r="EO142" s="62">
        <f ca="1">AVERAGE(OFFSET($EN$3,0,0,'Données projet'!$E$15+1,1))-AVERAGE(OFFSET($H$3,0,0,'Données projet'!$E$15+1,1))</f>
        <v>312.06797204903796</v>
      </c>
      <c r="EP142" s="62">
        <f t="shared" si="154"/>
        <v>258.20189001775151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2.7</v>
      </c>
      <c r="FE142" s="13">
        <f>IF('Données projet'!$A$218&gt;35,FE141+FD142-FM141,IF(A142&lt;'Données projet'!$A$218,$FB$205^A142,IF(A142='Données projet'!$A$218,'Données projet'!$B$218,FE141+FD142-FM141)))</f>
        <v>293.29999999999927</v>
      </c>
      <c r="FF142" s="18">
        <f>FE142*VLOOKUP('Données projet'!$B$16,Paramètres!$A$1:$I$89,3,0)*VLOOKUP('Données projet'!$B$16,Paramètres!$A$1:$I$89,5,0)</f>
        <v>283.67975999999931</v>
      </c>
      <c r="FG142" s="14">
        <f t="shared" si="155"/>
        <v>67.74405605004435</v>
      </c>
      <c r="FH142" s="22">
        <f t="shared" si="130"/>
        <v>612.06314628715938</v>
      </c>
      <c r="FI142" s="62">
        <f t="shared" si="131"/>
        <v>905.39647962049276</v>
      </c>
      <c r="FJ142" s="62">
        <f ca="1">AVERAGE(OFFSET($FI$3,0,0,'Données projet'!$E$16+1,1))-AVERAGE(OFFSET($H$3,0,0,'Données projet'!$E$16+1,1))</f>
        <v>455.50822833641354</v>
      </c>
      <c r="FK142" s="62">
        <f t="shared" si="156"/>
        <v>261.14722581688039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2.2737367544323206E-13</v>
      </c>
      <c r="O143" s="14">
        <f>N143*VLOOKUP('Données projet'!$B$9,Paramètres!$A$1:$I$89,3,0)*VLOOKUP('Données projet'!$B$9,Paramètres!$A$1:$I$89,5,0)</f>
        <v>1.2710188457276673E-13</v>
      </c>
      <c r="P143" s="14">
        <f t="shared" si="141"/>
        <v>1.856866851063998E-12</v>
      </c>
      <c r="Q143" s="22">
        <f t="shared" si="108"/>
        <v>3.4554122145673649E-12</v>
      </c>
      <c r="R143" s="62">
        <f t="shared" si="109"/>
        <v>293.33333333333678</v>
      </c>
      <c r="S143" s="62">
        <f ca="1">AVERAGE(OFFSET($R$3,0,0,'Données projet'!$E$9+1,1))-AVERAGE(OFFSET($H$3,0,0,'Données projet'!$E$9+1,1))</f>
        <v>323.98185264074681</v>
      </c>
      <c r="T143" s="62">
        <f t="shared" si="142"/>
        <v>301.22207291854005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0.50520371838109979</v>
      </c>
      <c r="AA143" s="23">
        <f>EXP(-LN(2)/25)*AA142+(1-EXP(-LN(2)/25))/(LN(2)/25)*Calculateur!V143*Calculateur!X143*VLOOKUP('Données projet'!$B$9,Paramètres!$A$1:$I$89,3,0)*0.475*44/12</f>
        <v>0.39064277171758982</v>
      </c>
      <c r="AB143" s="23">
        <f>EXP(-LN(2)/2)*AB142+(1-EXP(-LN(2)/2))/(LN(2)/2)*V143*Y143*VLOOKUP('Données projet'!$B$9,Paramètres!$A$1:$I$89,3,0)*0.475*44/12</f>
        <v>1.6897059250725656E-16</v>
      </c>
      <c r="AC143" s="24">
        <f t="shared" si="111"/>
        <v>0.89584649009868977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1.7053025658242404E-13</v>
      </c>
      <c r="AJ143" s="14">
        <f>AI143*VLOOKUP('Données projet'!$B$10,Paramètres!$A$1:$I$89,3,0)*VLOOKUP('Données projet'!$B$10,Paramètres!$A$1:$I$89,5,0)</f>
        <v>7.9808160080574461E-14</v>
      </c>
      <c r="AK143" s="14">
        <f t="shared" si="143"/>
        <v>1.2308384591775343E-12</v>
      </c>
      <c r="AL143" s="22">
        <f t="shared" si="112"/>
        <v>2.282709528541206E-12</v>
      </c>
      <c r="AM143" s="62">
        <f t="shared" si="113"/>
        <v>293.33333333333559</v>
      </c>
      <c r="AN143" s="62">
        <f ca="1">AVERAGE(OFFSET($AM$3,0,0,'Données projet'!$E$10+1,1))-AVERAGE(OFFSET($H$3,0,0,'Données projet'!$E$10+1,1))</f>
        <v>276.78862011733338</v>
      </c>
      <c r="AO143" s="62">
        <f t="shared" si="144"/>
        <v>202.1678469635836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267.82079999999934</v>
      </c>
      <c r="BF143" s="14">
        <f t="shared" si="145"/>
        <v>64.386570147897245</v>
      </c>
      <c r="BG143" s="22">
        <f t="shared" si="115"/>
        <v>578.59450300758647</v>
      </c>
      <c r="BH143" s="62">
        <f t="shared" si="116"/>
        <v>871.92783634091984</v>
      </c>
      <c r="BI143" s="62">
        <f ca="1">AVERAGE(OFFSET($BH$3,0,0,'Données projet'!$E$11+1,1))-AVERAGE(OFFSET($H$3,0,0,'Données projet'!$E$11+1,1))</f>
        <v>428.8489304403459</v>
      </c>
      <c r="BJ143" s="62">
        <f t="shared" si="146"/>
        <v>247.01165577562966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-2.8421709430404007E-13</v>
      </c>
      <c r="BZ143" s="14">
        <f>BY143*VLOOKUP('Données projet'!$B$12,Paramètres!$A$1:$I$89,3,0)*VLOOKUP('Données projet'!$B$12,Paramètres!$A$1:$I$89,5,0)</f>
        <v>-1.69961822393816E-13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289.12367833861299</v>
      </c>
      <c r="CE143" s="62">
        <f t="shared" si="148"/>
        <v>229.06617320689003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1.1509779457367779E-16</v>
      </c>
      <c r="CN143" s="24">
        <f t="shared" si="120"/>
        <v>1.1509779457367779E-16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-4.5224624045658861E-14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370.59298168107364</v>
      </c>
      <c r="CZ143" s="62">
        <f t="shared" si="150"/>
        <v>404.61777090709171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-5.6843418860808015E-14</v>
      </c>
      <c r="DP143" s="18">
        <f>DO143*VLOOKUP('Données projet'!$B$14,Paramètres!$A$1:$I$89,3,0)*VLOOKUP('Données projet'!$B$14,Paramètres!$A$1:$I$89,5,0)</f>
        <v>-4.9658410716801891E-14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341.65872153228599</v>
      </c>
      <c r="DU143" s="62">
        <f t="shared" si="152"/>
        <v>339.49697153894937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1.7053025658242404E-13</v>
      </c>
      <c r="EK143" s="18">
        <f>EJ143*VLOOKUP('Données projet'!$B$15,Paramètres!$A$1:$I$89,3,0)*VLOOKUP('Données projet'!$B$15,Paramètres!$A$1:$I$89,5,0)</f>
        <v>1.1439169611549005E-13</v>
      </c>
      <c r="EL143" s="14">
        <f t="shared" si="153"/>
        <v>1.6918016515029816E-12</v>
      </c>
      <c r="EM143" s="22">
        <f t="shared" si="127"/>
        <v>3.1457867471021712E-12</v>
      </c>
      <c r="EN143" s="62">
        <f t="shared" si="128"/>
        <v>293.33333333333644</v>
      </c>
      <c r="EO143" s="62">
        <f ca="1">AVERAGE(OFFSET($EN$3,0,0,'Données projet'!$E$15+1,1))-AVERAGE(OFFSET($H$3,0,0,'Données projet'!$E$15+1,1))</f>
        <v>312.06797204903796</v>
      </c>
      <c r="EP143" s="62">
        <f t="shared" si="154"/>
        <v>258.20189001775151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>
        <f>VLOOKUP(A143,'Données projet'!$A$217:$I$237,2,0)</f>
        <v>296</v>
      </c>
      <c r="FC143" s="13">
        <f>VLOOKUP(A143,'Données projet'!$A$217:$I$237,9,0)</f>
        <v>2.7</v>
      </c>
      <c r="FD143" s="13">
        <f t="array" ref="FD143">INDEX(FC:FC,MIN(IF(ISNUMBER(FC143:FC339),ROW(FC143:FC339),"")))</f>
        <v>2.7</v>
      </c>
      <c r="FE143" s="13">
        <f>IF('Données projet'!$A$218&gt;35,FE142+FD143-FM142,IF(A143&lt;'Données projet'!$A$218,$FB$205^A143,IF(A143='Données projet'!$A$218,'Données projet'!$B$218,FE142+FD143-FM142)))</f>
        <v>295.99999999999926</v>
      </c>
      <c r="FF143" s="18">
        <f>FE143*VLOOKUP('Données projet'!$B$16,Paramètres!$A$1:$I$89,3,0)*VLOOKUP('Données projet'!$B$16,Paramètres!$A$1:$I$89,5,0)</f>
        <v>286.29119999999926</v>
      </c>
      <c r="FG143" s="14">
        <f t="shared" si="155"/>
        <v>68.294796094604223</v>
      </c>
      <c r="FH143" s="22">
        <f t="shared" si="130"/>
        <v>617.57060986476779</v>
      </c>
      <c r="FI143" s="62">
        <f t="shared" si="131"/>
        <v>910.90394319810116</v>
      </c>
      <c r="FJ143" s="62">
        <f ca="1">AVERAGE(OFFSET($FI$3,0,0,'Données projet'!$E$16+1,1))-AVERAGE(OFFSET($H$3,0,0,'Données projet'!$E$16+1,1))</f>
        <v>455.50822833641354</v>
      </c>
      <c r="FK143" s="62">
        <f t="shared" si="156"/>
        <v>261.14722581688039</v>
      </c>
      <c r="FL143" s="16">
        <f>IF(ISNA(VLOOKUP(A143,'Données projet'!$A$217:$I$237,3,0)),0,VLOOKUP(A143,'Données projet'!$A$217:$I$237,3,0))</f>
        <v>12</v>
      </c>
      <c r="FM143" s="16">
        <f>IF(ISNA(VLOOKUP(A143,'Données projet'!$A$217:$I$237,4,0)),0,VLOOKUP(A143,'Données projet'!$A$217:$I$237,4,0))</f>
        <v>27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2.2737367544323206E-13</v>
      </c>
      <c r="O144" s="14">
        <f>N144*VLOOKUP('Données projet'!$B$9,Paramètres!$A$1:$I$89,3,0)*VLOOKUP('Données projet'!$B$9,Paramètres!$A$1:$I$89,5,0)</f>
        <v>1.2710188457276673E-13</v>
      </c>
      <c r="P144" s="14">
        <f t="shared" si="141"/>
        <v>1.856866851063998E-12</v>
      </c>
      <c r="Q144" s="22">
        <f t="shared" si="108"/>
        <v>3.4554122145673649E-12</v>
      </c>
      <c r="R144" s="62">
        <f t="shared" si="109"/>
        <v>293.33333333333678</v>
      </c>
      <c r="S144" s="62">
        <f ca="1">AVERAGE(OFFSET($R$3,0,0,'Données projet'!$E$9+1,1))-AVERAGE(OFFSET($H$3,0,0,'Données projet'!$E$9+1,1))</f>
        <v>323.98185264074681</v>
      </c>
      <c r="T144" s="62">
        <f t="shared" si="142"/>
        <v>301.22207291854005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0.49529698160748797</v>
      </c>
      <c r="AA144" s="23">
        <f>EXP(-LN(2)/25)*AA143+(1-EXP(-LN(2)/25))/(LN(2)/25)*Calculateur!V144*Calculateur!X144*VLOOKUP('Données projet'!$B$9,Paramètres!$A$1:$I$89,3,0)*0.475*44/12</f>
        <v>0.37996062458196178</v>
      </c>
      <c r="AB144" s="23">
        <f>EXP(-LN(2)/2)*AB143+(1-EXP(-LN(2)/2))/(LN(2)/2)*V144*Y144*VLOOKUP('Données projet'!$B$9,Paramètres!$A$1:$I$89,3,0)*0.475*44/12</f>
        <v>1.1948025178298995E-16</v>
      </c>
      <c r="AC144" s="24">
        <f t="shared" si="111"/>
        <v>0.87525760618944981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1.7053025658242404E-13</v>
      </c>
      <c r="AJ144" s="14">
        <f>AI144*VLOOKUP('Données projet'!$B$10,Paramètres!$A$1:$I$89,3,0)*VLOOKUP('Données projet'!$B$10,Paramètres!$A$1:$I$89,5,0)</f>
        <v>7.9808160080574461E-14</v>
      </c>
      <c r="AK144" s="14">
        <f t="shared" si="143"/>
        <v>1.2308384591775343E-12</v>
      </c>
      <c r="AL144" s="22">
        <f t="shared" si="112"/>
        <v>2.282709528541206E-12</v>
      </c>
      <c r="AM144" s="62">
        <f t="shared" si="113"/>
        <v>293.33333333333559</v>
      </c>
      <c r="AN144" s="62">
        <f ca="1">AVERAGE(OFFSET($AM$3,0,0,'Données projet'!$E$10+1,1))-AVERAGE(OFFSET($H$3,0,0,'Données projet'!$E$10+1,1))</f>
        <v>276.78862011733338</v>
      </c>
      <c r="AO144" s="62">
        <f t="shared" si="144"/>
        <v>202.1678469635836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245.5627199999993</v>
      </c>
      <c r="BF144" s="14">
        <f t="shared" si="145"/>
        <v>59.634776048276741</v>
      </c>
      <c r="BG144" s="22">
        <f t="shared" si="115"/>
        <v>531.55230561741405</v>
      </c>
      <c r="BH144" s="62">
        <f t="shared" si="116"/>
        <v>824.88563895074731</v>
      </c>
      <c r="BI144" s="62">
        <f ca="1">AVERAGE(OFFSET($BH$3,0,0,'Données projet'!$E$11+1,1))-AVERAGE(OFFSET($H$3,0,0,'Données projet'!$E$11+1,1))</f>
        <v>428.8489304403459</v>
      </c>
      <c r="BJ144" s="62">
        <f t="shared" si="146"/>
        <v>247.01165577562966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-2.8421709430404007E-13</v>
      </c>
      <c r="BZ144" s="14">
        <f>BY144*VLOOKUP('Données projet'!$B$12,Paramètres!$A$1:$I$89,3,0)*VLOOKUP('Données projet'!$B$12,Paramètres!$A$1:$I$89,5,0)</f>
        <v>-1.69961822393816E-13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289.12367833861299</v>
      </c>
      <c r="CE144" s="62">
        <f t="shared" si="148"/>
        <v>229.06617320689003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8.1386431042663778E-17</v>
      </c>
      <c r="CN144" s="24">
        <f t="shared" si="120"/>
        <v>8.1386431042663778E-17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-4.5224624045658861E-14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370.59298168107364</v>
      </c>
      <c r="CZ144" s="62">
        <f t="shared" si="150"/>
        <v>404.61777090709171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-5.6843418860808015E-14</v>
      </c>
      <c r="DP144" s="18">
        <f>DO144*VLOOKUP('Données projet'!$B$14,Paramètres!$A$1:$I$89,3,0)*VLOOKUP('Données projet'!$B$14,Paramètres!$A$1:$I$89,5,0)</f>
        <v>-4.9658410716801891E-14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341.65872153228599</v>
      </c>
      <c r="DU144" s="62">
        <f t="shared" si="152"/>
        <v>339.49697153894937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1.7053025658242404E-13</v>
      </c>
      <c r="EK144" s="18">
        <f>EJ144*VLOOKUP('Données projet'!$B$15,Paramètres!$A$1:$I$89,3,0)*VLOOKUP('Données projet'!$B$15,Paramètres!$A$1:$I$89,5,0)</f>
        <v>1.1439169611549005E-13</v>
      </c>
      <c r="EL144" s="14">
        <f t="shared" si="153"/>
        <v>1.6918016515029816E-12</v>
      </c>
      <c r="EM144" s="22">
        <f t="shared" si="127"/>
        <v>3.1457867471021712E-12</v>
      </c>
      <c r="EN144" s="62">
        <f t="shared" si="128"/>
        <v>293.33333333333644</v>
      </c>
      <c r="EO144" s="62">
        <f ca="1">AVERAGE(OFFSET($EN$3,0,0,'Données projet'!$E$15+1,1))-AVERAGE(OFFSET($H$3,0,0,'Données projet'!$E$15+1,1))</f>
        <v>312.06797204903796</v>
      </c>
      <c r="EP144" s="62">
        <f t="shared" si="154"/>
        <v>258.20189001775151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2.4</v>
      </c>
      <c r="FE144" s="13">
        <f>IF('Données projet'!$A$218&gt;35,FE143+FD144-FM143,IF(A144&lt;'Données projet'!$A$218,$FB$205^A144,IF(A144='Données projet'!$A$218,'Données projet'!$B$218,FE143+FD144-FM143)))</f>
        <v>271.39999999999924</v>
      </c>
      <c r="FF144" s="18">
        <f>FE144*VLOOKUP('Données projet'!$B$16,Paramètres!$A$1:$I$89,3,0)*VLOOKUP('Données projet'!$B$16,Paramètres!$A$1:$I$89,5,0)</f>
        <v>262.49807999999928</v>
      </c>
      <c r="FG144" s="14">
        <f t="shared" si="155"/>
        <v>63.254570961137979</v>
      </c>
      <c r="FH144" s="22">
        <f t="shared" si="130"/>
        <v>567.35253375731406</v>
      </c>
      <c r="FI144" s="62">
        <f t="shared" si="131"/>
        <v>860.68586709064743</v>
      </c>
      <c r="FJ144" s="62">
        <f ca="1">AVERAGE(OFFSET($FI$3,0,0,'Données projet'!$E$16+1,1))-AVERAGE(OFFSET($H$3,0,0,'Données projet'!$E$16+1,1))</f>
        <v>455.50822833641354</v>
      </c>
      <c r="FK144" s="62">
        <f t="shared" si="156"/>
        <v>261.14722581688039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2.2737367544323206E-13</v>
      </c>
      <c r="O145" s="14">
        <f>N145*VLOOKUP('Données projet'!$B$9,Paramètres!$A$1:$I$89,3,0)*VLOOKUP('Données projet'!$B$9,Paramètres!$A$1:$I$89,5,0)</f>
        <v>1.2710188457276673E-13</v>
      </c>
      <c r="P145" s="14">
        <f t="shared" si="141"/>
        <v>1.856866851063998E-12</v>
      </c>
      <c r="Q145" s="22">
        <f t="shared" si="108"/>
        <v>3.4554122145673649E-12</v>
      </c>
      <c r="R145" s="62">
        <f t="shared" si="109"/>
        <v>293.33333333333678</v>
      </c>
      <c r="S145" s="62">
        <f ca="1">AVERAGE(OFFSET($R$3,0,0,'Données projet'!$E$9+1,1))-AVERAGE(OFFSET($H$3,0,0,'Données projet'!$E$9+1,1))</f>
        <v>323.98185264074681</v>
      </c>
      <c r="T145" s="62">
        <f t="shared" si="142"/>
        <v>301.22207291854005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0.48558450989949387</v>
      </c>
      <c r="AA145" s="23">
        <f>EXP(-LN(2)/25)*AA144+(1-EXP(-LN(2)/25))/(LN(2)/25)*Calculateur!V145*Calculateur!X145*VLOOKUP('Données projet'!$B$9,Paramètres!$A$1:$I$89,3,0)*0.475*44/12</f>
        <v>0.36957058132150722</v>
      </c>
      <c r="AB145" s="23">
        <f>EXP(-LN(2)/2)*AB144+(1-EXP(-LN(2)/2))/(LN(2)/2)*V145*Y145*VLOOKUP('Données projet'!$B$9,Paramètres!$A$1:$I$89,3,0)*0.475*44/12</f>
        <v>8.4485296253628282E-17</v>
      </c>
      <c r="AC145" s="24">
        <f t="shared" si="111"/>
        <v>0.8551550912210012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1.7053025658242404E-13</v>
      </c>
      <c r="AJ145" s="14">
        <f>AI145*VLOOKUP('Données projet'!$B$10,Paramètres!$A$1:$I$89,3,0)*VLOOKUP('Données projet'!$B$10,Paramètres!$A$1:$I$89,5,0)</f>
        <v>7.9808160080574461E-14</v>
      </c>
      <c r="AK145" s="14">
        <f t="shared" si="143"/>
        <v>1.2308384591775343E-12</v>
      </c>
      <c r="AL145" s="22">
        <f t="shared" si="112"/>
        <v>2.282709528541206E-12</v>
      </c>
      <c r="AM145" s="62">
        <f t="shared" si="113"/>
        <v>293.33333333333559</v>
      </c>
      <c r="AN145" s="62">
        <f ca="1">AVERAGE(OFFSET($AM$3,0,0,'Données projet'!$E$10+1,1))-AVERAGE(OFFSET($H$3,0,0,'Données projet'!$E$10+1,1))</f>
        <v>276.78862011733338</v>
      </c>
      <c r="AO145" s="62">
        <f t="shared" si="144"/>
        <v>202.1678469635836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247.73423999999929</v>
      </c>
      <c r="BF145" s="14">
        <f t="shared" si="145"/>
        <v>60.100505665694953</v>
      </c>
      <c r="BG145" s="22">
        <f t="shared" si="115"/>
        <v>536.14551536775082</v>
      </c>
      <c r="BH145" s="62">
        <f t="shared" si="116"/>
        <v>829.47884870108419</v>
      </c>
      <c r="BI145" s="62">
        <f ca="1">AVERAGE(OFFSET($BH$3,0,0,'Données projet'!$E$11+1,1))-AVERAGE(OFFSET($H$3,0,0,'Données projet'!$E$11+1,1))</f>
        <v>428.8489304403459</v>
      </c>
      <c r="BJ145" s="62">
        <f t="shared" si="146"/>
        <v>247.01165577562966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-2.8421709430404007E-13</v>
      </c>
      <c r="BZ145" s="14">
        <f>BY145*VLOOKUP('Données projet'!$B$12,Paramètres!$A$1:$I$89,3,0)*VLOOKUP('Données projet'!$B$12,Paramètres!$A$1:$I$89,5,0)</f>
        <v>-1.69961822393816E-13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289.12367833861299</v>
      </c>
      <c r="CE145" s="62">
        <f t="shared" si="148"/>
        <v>229.06617320689003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5.7548897286838894E-17</v>
      </c>
      <c r="CN145" s="24">
        <f t="shared" si="120"/>
        <v>5.7548897286838894E-17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-4.5224624045658861E-14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370.59298168107364</v>
      </c>
      <c r="CZ145" s="62">
        <f t="shared" si="150"/>
        <v>404.61777090709171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-5.6843418860808015E-14</v>
      </c>
      <c r="DP145" s="18">
        <f>DO145*VLOOKUP('Données projet'!$B$14,Paramètres!$A$1:$I$89,3,0)*VLOOKUP('Données projet'!$B$14,Paramètres!$A$1:$I$89,5,0)</f>
        <v>-4.9658410716801891E-14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341.65872153228599</v>
      </c>
      <c r="DU145" s="62">
        <f t="shared" si="152"/>
        <v>339.49697153894937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1.7053025658242404E-13</v>
      </c>
      <c r="EK145" s="18">
        <f>EJ145*VLOOKUP('Données projet'!$B$15,Paramètres!$A$1:$I$89,3,0)*VLOOKUP('Données projet'!$B$15,Paramètres!$A$1:$I$89,5,0)</f>
        <v>1.1439169611549005E-13</v>
      </c>
      <c r="EL145" s="14">
        <f t="shared" si="153"/>
        <v>1.6918016515029816E-12</v>
      </c>
      <c r="EM145" s="22">
        <f t="shared" si="127"/>
        <v>3.1457867471021712E-12</v>
      </c>
      <c r="EN145" s="62">
        <f t="shared" si="128"/>
        <v>293.33333333333644</v>
      </c>
      <c r="EO145" s="62">
        <f ca="1">AVERAGE(OFFSET($EN$3,0,0,'Données projet'!$E$15+1,1))-AVERAGE(OFFSET($H$3,0,0,'Données projet'!$E$15+1,1))</f>
        <v>312.06797204903796</v>
      </c>
      <c r="EP145" s="62">
        <f t="shared" si="154"/>
        <v>258.20189001775151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2.4</v>
      </c>
      <c r="FE145" s="13">
        <f>IF('Données projet'!$A$218&gt;35,FE144+FD145-FM144,IF(A145&lt;'Données projet'!$A$218,$FB$205^A145,IF(A145='Données projet'!$A$218,'Données projet'!$B$218,FE144+FD145-FM144)))</f>
        <v>273.79999999999922</v>
      </c>
      <c r="FF145" s="18">
        <f>FE145*VLOOKUP('Données projet'!$B$16,Paramètres!$A$1:$I$89,3,0)*VLOOKUP('Données projet'!$B$16,Paramètres!$A$1:$I$89,5,0)</f>
        <v>264.81935999999928</v>
      </c>
      <c r="FG145" s="14">
        <f t="shared" si="155"/>
        <v>63.748570085236892</v>
      </c>
      <c r="FH145" s="22">
        <f t="shared" si="130"/>
        <v>572.25581156511964</v>
      </c>
      <c r="FI145" s="62">
        <f t="shared" si="131"/>
        <v>865.58914489845301</v>
      </c>
      <c r="FJ145" s="62">
        <f ca="1">AVERAGE(OFFSET($FI$3,0,0,'Données projet'!$E$16+1,1))-AVERAGE(OFFSET($H$3,0,0,'Données projet'!$E$16+1,1))</f>
        <v>455.50822833641354</v>
      </c>
      <c r="FK145" s="62">
        <f t="shared" si="156"/>
        <v>261.14722581688039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2.2737367544323206E-13</v>
      </c>
      <c r="O146" s="14">
        <f>N146*VLOOKUP('Données projet'!$B$9,Paramètres!$A$1:$I$89,3,0)*VLOOKUP('Données projet'!$B$9,Paramètres!$A$1:$I$89,5,0)</f>
        <v>1.2710188457276673E-13</v>
      </c>
      <c r="P146" s="14">
        <f t="shared" si="141"/>
        <v>1.856866851063998E-12</v>
      </c>
      <c r="Q146" s="22">
        <f t="shared" si="108"/>
        <v>3.4554122145673649E-12</v>
      </c>
      <c r="R146" s="62">
        <f t="shared" si="109"/>
        <v>293.33333333333678</v>
      </c>
      <c r="S146" s="62">
        <f ca="1">AVERAGE(OFFSET($R$3,0,0,'Données projet'!$E$9+1,1))-AVERAGE(OFFSET($H$3,0,0,'Données projet'!$E$9+1,1))</f>
        <v>323.98185264074681</v>
      </c>
      <c r="T146" s="62">
        <f t="shared" si="142"/>
        <v>301.22207291854005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0.47606249383767074</v>
      </c>
      <c r="AA146" s="23">
        <f>EXP(-LN(2)/25)*AA145+(1-EXP(-LN(2)/25))/(LN(2)/25)*Calculateur!V146*Calculateur!X146*VLOOKUP('Données projet'!$B$9,Paramètres!$A$1:$I$89,3,0)*0.475*44/12</f>
        <v>0.35946465434039837</v>
      </c>
      <c r="AB146" s="23">
        <f>EXP(-LN(2)/2)*AB145+(1-EXP(-LN(2)/2))/(LN(2)/2)*V146*Y146*VLOOKUP('Données projet'!$B$9,Paramètres!$A$1:$I$89,3,0)*0.475*44/12</f>
        <v>5.9740125891494975E-17</v>
      </c>
      <c r="AC146" s="24">
        <f t="shared" si="111"/>
        <v>0.83552714817806917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1.7053025658242404E-13</v>
      </c>
      <c r="AJ146" s="14">
        <f>AI146*VLOOKUP('Données projet'!$B$10,Paramètres!$A$1:$I$89,3,0)*VLOOKUP('Données projet'!$B$10,Paramètres!$A$1:$I$89,5,0)</f>
        <v>7.9808160080574461E-14</v>
      </c>
      <c r="AK146" s="14">
        <f t="shared" si="143"/>
        <v>1.2308384591775343E-12</v>
      </c>
      <c r="AL146" s="22">
        <f t="shared" si="112"/>
        <v>2.282709528541206E-12</v>
      </c>
      <c r="AM146" s="62">
        <f t="shared" si="113"/>
        <v>293.33333333333559</v>
      </c>
      <c r="AN146" s="62">
        <f ca="1">AVERAGE(OFFSET($AM$3,0,0,'Données projet'!$E$10+1,1))-AVERAGE(OFFSET($H$3,0,0,'Données projet'!$E$10+1,1))</f>
        <v>276.78862011733338</v>
      </c>
      <c r="AO146" s="62">
        <f t="shared" si="144"/>
        <v>202.1678469635836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249.90575999999925</v>
      </c>
      <c r="BF146" s="14">
        <f t="shared" si="145"/>
        <v>60.565760331923727</v>
      </c>
      <c r="BG146" s="22">
        <f t="shared" si="115"/>
        <v>540.73789791143247</v>
      </c>
      <c r="BH146" s="62">
        <f t="shared" si="116"/>
        <v>834.07123124476584</v>
      </c>
      <c r="BI146" s="62">
        <f ca="1">AVERAGE(OFFSET($BH$3,0,0,'Données projet'!$E$11+1,1))-AVERAGE(OFFSET($H$3,0,0,'Données projet'!$E$11+1,1))</f>
        <v>428.8489304403459</v>
      </c>
      <c r="BJ146" s="62">
        <f t="shared" si="146"/>
        <v>247.01165577562966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-2.8421709430404007E-13</v>
      </c>
      <c r="BZ146" s="14">
        <f>BY146*VLOOKUP('Données projet'!$B$12,Paramètres!$A$1:$I$89,3,0)*VLOOKUP('Données projet'!$B$12,Paramètres!$A$1:$I$89,5,0)</f>
        <v>-1.69961822393816E-13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289.12367833861299</v>
      </c>
      <c r="CE146" s="62">
        <f t="shared" si="148"/>
        <v>229.06617320689003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4.0693215521331889E-17</v>
      </c>
      <c r="CN146" s="24">
        <f t="shared" si="120"/>
        <v>4.0693215521331889E-17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-4.5224624045658861E-14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370.59298168107364</v>
      </c>
      <c r="CZ146" s="62">
        <f t="shared" si="150"/>
        <v>404.61777090709171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-5.6843418860808015E-14</v>
      </c>
      <c r="DP146" s="18">
        <f>DO146*VLOOKUP('Données projet'!$B$14,Paramètres!$A$1:$I$89,3,0)*VLOOKUP('Données projet'!$B$14,Paramètres!$A$1:$I$89,5,0)</f>
        <v>-4.9658410716801891E-14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341.65872153228599</v>
      </c>
      <c r="DU146" s="62">
        <f t="shared" si="152"/>
        <v>339.49697153894937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1.7053025658242404E-13</v>
      </c>
      <c r="EK146" s="18">
        <f>EJ146*VLOOKUP('Données projet'!$B$15,Paramètres!$A$1:$I$89,3,0)*VLOOKUP('Données projet'!$B$15,Paramètres!$A$1:$I$89,5,0)</f>
        <v>1.1439169611549005E-13</v>
      </c>
      <c r="EL146" s="14">
        <f t="shared" si="153"/>
        <v>1.6918016515029816E-12</v>
      </c>
      <c r="EM146" s="22">
        <f t="shared" si="127"/>
        <v>3.1457867471021712E-12</v>
      </c>
      <c r="EN146" s="62">
        <f t="shared" si="128"/>
        <v>293.33333333333644</v>
      </c>
      <c r="EO146" s="62">
        <f ca="1">AVERAGE(OFFSET($EN$3,0,0,'Données projet'!$E$15+1,1))-AVERAGE(OFFSET($H$3,0,0,'Données projet'!$E$15+1,1))</f>
        <v>312.06797204903796</v>
      </c>
      <c r="EP146" s="62">
        <f t="shared" si="154"/>
        <v>258.20189001775151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2.4</v>
      </c>
      <c r="FE146" s="13">
        <f>IF('Données projet'!$A$218&gt;35,FE145+FD146-FM145,IF(A146&lt;'Données projet'!$A$218,$FB$205^A146,IF(A146='Données projet'!$A$218,'Données projet'!$B$218,FE145+FD146-FM145)))</f>
        <v>276.19999999999919</v>
      </c>
      <c r="FF146" s="18">
        <f>FE146*VLOOKUP('Données projet'!$B$16,Paramètres!$A$1:$I$89,3,0)*VLOOKUP('Données projet'!$B$16,Paramètres!$A$1:$I$89,5,0)</f>
        <v>267.14063999999922</v>
      </c>
      <c r="FG146" s="14">
        <f t="shared" si="155"/>
        <v>64.242065428895785</v>
      </c>
      <c r="FH146" s="22">
        <f t="shared" si="130"/>
        <v>577.15821195532533</v>
      </c>
      <c r="FI146" s="62">
        <f t="shared" si="131"/>
        <v>870.4915452886587</v>
      </c>
      <c r="FJ146" s="62">
        <f ca="1">AVERAGE(OFFSET($FI$3,0,0,'Données projet'!$E$16+1,1))-AVERAGE(OFFSET($H$3,0,0,'Données projet'!$E$16+1,1))</f>
        <v>455.50822833641354</v>
      </c>
      <c r="FK146" s="62">
        <f t="shared" si="156"/>
        <v>261.14722581688039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2.2737367544323206E-13</v>
      </c>
      <c r="O147" s="14">
        <f>N147*VLOOKUP('Données projet'!$B$9,Paramètres!$A$1:$I$89,3,0)*VLOOKUP('Données projet'!$B$9,Paramètres!$A$1:$I$89,5,0)</f>
        <v>1.2710188457276673E-13</v>
      </c>
      <c r="P147" s="14">
        <f t="shared" si="141"/>
        <v>1.856866851063998E-12</v>
      </c>
      <c r="Q147" s="22">
        <f t="shared" si="108"/>
        <v>3.4554122145673649E-12</v>
      </c>
      <c r="R147" s="62">
        <f t="shared" si="109"/>
        <v>293.33333333333678</v>
      </c>
      <c r="S147" s="62">
        <f ca="1">AVERAGE(OFFSET($R$3,0,0,'Données projet'!$E$9+1,1))-AVERAGE(OFFSET($H$3,0,0,'Données projet'!$E$9+1,1))</f>
        <v>323.98185264074681</v>
      </c>
      <c r="T147" s="62">
        <f t="shared" si="142"/>
        <v>301.22207291854005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0.46672719870296364</v>
      </c>
      <c r="AA147" s="23">
        <f>EXP(-LN(2)/25)*AA146+(1-EXP(-LN(2)/25))/(LN(2)/25)*Calculateur!V147*Calculateur!X147*VLOOKUP('Données projet'!$B$9,Paramètres!$A$1:$I$89,3,0)*0.475*44/12</f>
        <v>0.34963507446403558</v>
      </c>
      <c r="AB147" s="23">
        <f>EXP(-LN(2)/2)*AB146+(1-EXP(-LN(2)/2))/(LN(2)/2)*V147*Y147*VLOOKUP('Données projet'!$B$9,Paramètres!$A$1:$I$89,3,0)*0.475*44/12</f>
        <v>4.2242648126814141E-17</v>
      </c>
      <c r="AC147" s="24">
        <f t="shared" si="111"/>
        <v>0.81636227316699927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1.7053025658242404E-13</v>
      </c>
      <c r="AJ147" s="14">
        <f>AI147*VLOOKUP('Données projet'!$B$10,Paramètres!$A$1:$I$89,3,0)*VLOOKUP('Données projet'!$B$10,Paramètres!$A$1:$I$89,5,0)</f>
        <v>7.9808160080574461E-14</v>
      </c>
      <c r="AK147" s="14">
        <f t="shared" si="143"/>
        <v>1.2308384591775343E-12</v>
      </c>
      <c r="AL147" s="22">
        <f t="shared" si="112"/>
        <v>2.282709528541206E-12</v>
      </c>
      <c r="AM147" s="62">
        <f t="shared" si="113"/>
        <v>293.33333333333559</v>
      </c>
      <c r="AN147" s="62">
        <f ca="1">AVERAGE(OFFSET($AM$3,0,0,'Données projet'!$E$10+1,1))-AVERAGE(OFFSET($H$3,0,0,'Données projet'!$E$10+1,1))</f>
        <v>276.78862011733338</v>
      </c>
      <c r="AO147" s="62">
        <f t="shared" si="144"/>
        <v>202.1678469635836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252.07727999999923</v>
      </c>
      <c r="BF147" s="14">
        <f t="shared" si="145"/>
        <v>61.030544652154823</v>
      </c>
      <c r="BG147" s="22">
        <f t="shared" si="115"/>
        <v>545.32946126916829</v>
      </c>
      <c r="BH147" s="62">
        <f t="shared" si="116"/>
        <v>838.66279460250166</v>
      </c>
      <c r="BI147" s="62">
        <f ca="1">AVERAGE(OFFSET($BH$3,0,0,'Données projet'!$E$11+1,1))-AVERAGE(OFFSET($H$3,0,0,'Données projet'!$E$11+1,1))</f>
        <v>428.8489304403459</v>
      </c>
      <c r="BJ147" s="62">
        <f t="shared" si="146"/>
        <v>247.01165577562966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-2.8421709430404007E-13</v>
      </c>
      <c r="BZ147" s="14">
        <f>BY147*VLOOKUP('Données projet'!$B$12,Paramètres!$A$1:$I$89,3,0)*VLOOKUP('Données projet'!$B$12,Paramètres!$A$1:$I$89,5,0)</f>
        <v>-1.69961822393816E-13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289.12367833861299</v>
      </c>
      <c r="CE147" s="62">
        <f t="shared" si="148"/>
        <v>229.06617320689003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2.8774448643419447E-17</v>
      </c>
      <c r="CN147" s="24">
        <f t="shared" si="120"/>
        <v>2.8774448643419447E-17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-4.5224624045658861E-14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370.59298168107364</v>
      </c>
      <c r="CZ147" s="62">
        <f t="shared" si="150"/>
        <v>404.61777090709171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-5.6843418860808015E-14</v>
      </c>
      <c r="DP147" s="18">
        <f>DO147*VLOOKUP('Données projet'!$B$14,Paramètres!$A$1:$I$89,3,0)*VLOOKUP('Données projet'!$B$14,Paramètres!$A$1:$I$89,5,0)</f>
        <v>-4.9658410716801891E-14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341.65872153228599</v>
      </c>
      <c r="DU147" s="62">
        <f t="shared" si="152"/>
        <v>339.49697153894937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1.7053025658242404E-13</v>
      </c>
      <c r="EK147" s="18">
        <f>EJ147*VLOOKUP('Données projet'!$B$15,Paramètres!$A$1:$I$89,3,0)*VLOOKUP('Données projet'!$B$15,Paramètres!$A$1:$I$89,5,0)</f>
        <v>1.1439169611549005E-13</v>
      </c>
      <c r="EL147" s="14">
        <f t="shared" si="153"/>
        <v>1.6918016515029816E-12</v>
      </c>
      <c r="EM147" s="22">
        <f t="shared" si="127"/>
        <v>3.1457867471021712E-12</v>
      </c>
      <c r="EN147" s="62">
        <f t="shared" si="128"/>
        <v>293.33333333333644</v>
      </c>
      <c r="EO147" s="62">
        <f ca="1">AVERAGE(OFFSET($EN$3,0,0,'Données projet'!$E$15+1,1))-AVERAGE(OFFSET($H$3,0,0,'Données projet'!$E$15+1,1))</f>
        <v>312.06797204903796</v>
      </c>
      <c r="EP147" s="62">
        <f t="shared" si="154"/>
        <v>258.20189001775151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2.4</v>
      </c>
      <c r="FE147" s="13">
        <f>IF('Données projet'!$A$218&gt;35,FE146+FD147-FM146,IF(A147&lt;'Données projet'!$A$218,$FB$205^A147,IF(A147='Données projet'!$A$218,'Données projet'!$B$218,FE146+FD147-FM146)))</f>
        <v>278.59999999999917</v>
      </c>
      <c r="FF147" s="18">
        <f>FE147*VLOOKUP('Données projet'!$B$16,Paramètres!$A$1:$I$89,3,0)*VLOOKUP('Données projet'!$B$16,Paramètres!$A$1:$I$89,5,0)</f>
        <v>269.46191999999922</v>
      </c>
      <c r="FG147" s="14">
        <f t="shared" si="155"/>
        <v>64.735061876838927</v>
      </c>
      <c r="FH147" s="22">
        <f t="shared" si="130"/>
        <v>582.05974343549315</v>
      </c>
      <c r="FI147" s="62">
        <f t="shared" si="131"/>
        <v>875.3930767688264</v>
      </c>
      <c r="FJ147" s="62">
        <f ca="1">AVERAGE(OFFSET($FI$3,0,0,'Données projet'!$E$16+1,1))-AVERAGE(OFFSET($H$3,0,0,'Données projet'!$E$16+1,1))</f>
        <v>455.50822833641354</v>
      </c>
      <c r="FK147" s="62">
        <f t="shared" si="156"/>
        <v>261.14722581688039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2.2737367544323206E-13</v>
      </c>
      <c r="O148" s="14">
        <f>N148*VLOOKUP('Données projet'!$B$9,Paramètres!$A$1:$I$89,3,0)*VLOOKUP('Données projet'!$B$9,Paramètres!$A$1:$I$89,5,0)</f>
        <v>1.2710188457276673E-13</v>
      </c>
      <c r="P148" s="14">
        <f t="shared" si="141"/>
        <v>1.856866851063998E-12</v>
      </c>
      <c r="Q148" s="22">
        <f t="shared" si="108"/>
        <v>3.4554122145673649E-12</v>
      </c>
      <c r="R148" s="62">
        <f t="shared" si="109"/>
        <v>293.33333333333678</v>
      </c>
      <c r="S148" s="62">
        <f ca="1">AVERAGE(OFFSET($R$3,0,0,'Données projet'!$E$9+1,1))-AVERAGE(OFFSET($H$3,0,0,'Données projet'!$E$9+1,1))</f>
        <v>323.98185264074681</v>
      </c>
      <c r="T148" s="62">
        <f t="shared" si="142"/>
        <v>301.22207291854005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0.45757496301188039</v>
      </c>
      <c r="AA148" s="23">
        <f>EXP(-LN(2)/25)*AA147+(1-EXP(-LN(2)/25))/(LN(2)/25)*Calculateur!V148*Calculateur!X148*VLOOKUP('Données projet'!$B$9,Paramètres!$A$1:$I$89,3,0)*0.475*44/12</f>
        <v>0.34007428496630704</v>
      </c>
      <c r="AB148" s="23">
        <f>EXP(-LN(2)/2)*AB147+(1-EXP(-LN(2)/2))/(LN(2)/2)*V148*Y148*VLOOKUP('Données projet'!$B$9,Paramètres!$A$1:$I$89,3,0)*0.475*44/12</f>
        <v>2.9870062945747488E-17</v>
      </c>
      <c r="AC148" s="24">
        <f t="shared" si="111"/>
        <v>0.79764924797818737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1.7053025658242404E-13</v>
      </c>
      <c r="AJ148" s="14">
        <f>AI148*VLOOKUP('Données projet'!$B$10,Paramètres!$A$1:$I$89,3,0)*VLOOKUP('Données projet'!$B$10,Paramètres!$A$1:$I$89,5,0)</f>
        <v>7.9808160080574461E-14</v>
      </c>
      <c r="AK148" s="14">
        <f t="shared" si="143"/>
        <v>1.2308384591775343E-12</v>
      </c>
      <c r="AL148" s="22">
        <f t="shared" si="112"/>
        <v>2.282709528541206E-12</v>
      </c>
      <c r="AM148" s="62">
        <f t="shared" si="113"/>
        <v>293.33333333333559</v>
      </c>
      <c r="AN148" s="62">
        <f ca="1">AVERAGE(OFFSET($AM$3,0,0,'Données projet'!$E$10+1,1))-AVERAGE(OFFSET($H$3,0,0,'Données projet'!$E$10+1,1))</f>
        <v>276.78862011733338</v>
      </c>
      <c r="AO148" s="62">
        <f t="shared" si="144"/>
        <v>202.1678469635836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254.24879999999925</v>
      </c>
      <c r="BF148" s="14">
        <f t="shared" si="145"/>
        <v>61.494863147658698</v>
      </c>
      <c r="BG148" s="22">
        <f t="shared" si="115"/>
        <v>549.92021331550427</v>
      </c>
      <c r="BH148" s="62">
        <f t="shared" si="116"/>
        <v>843.25354664883753</v>
      </c>
      <c r="BI148" s="62">
        <f ca="1">AVERAGE(OFFSET($BH$3,0,0,'Données projet'!$E$11+1,1))-AVERAGE(OFFSET($H$3,0,0,'Données projet'!$E$11+1,1))</f>
        <v>428.8489304403459</v>
      </c>
      <c r="BJ148" s="62">
        <f t="shared" si="146"/>
        <v>247.01165577562966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-2.8421709430404007E-13</v>
      </c>
      <c r="BZ148" s="14">
        <f>BY148*VLOOKUP('Données projet'!$B$12,Paramètres!$A$1:$I$89,3,0)*VLOOKUP('Données projet'!$B$12,Paramètres!$A$1:$I$89,5,0)</f>
        <v>-1.69961822393816E-13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289.12367833861299</v>
      </c>
      <c r="CE148" s="62">
        <f t="shared" si="148"/>
        <v>229.06617320689003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2.0346607760665945E-17</v>
      </c>
      <c r="CN148" s="24">
        <f t="shared" si="120"/>
        <v>2.0346607760665945E-17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-4.5224624045658861E-14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370.59298168107364</v>
      </c>
      <c r="CZ148" s="62">
        <f t="shared" si="150"/>
        <v>404.61777090709171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-5.6843418860808015E-14</v>
      </c>
      <c r="DP148" s="18">
        <f>DO148*VLOOKUP('Données projet'!$B$14,Paramètres!$A$1:$I$89,3,0)*VLOOKUP('Données projet'!$B$14,Paramètres!$A$1:$I$89,5,0)</f>
        <v>-4.9658410716801891E-14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341.65872153228599</v>
      </c>
      <c r="DU148" s="62">
        <f t="shared" si="152"/>
        <v>339.49697153894937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1.7053025658242404E-13</v>
      </c>
      <c r="EK148" s="18">
        <f>EJ148*VLOOKUP('Données projet'!$B$15,Paramètres!$A$1:$I$89,3,0)*VLOOKUP('Données projet'!$B$15,Paramètres!$A$1:$I$89,5,0)</f>
        <v>1.1439169611549005E-13</v>
      </c>
      <c r="EL148" s="14">
        <f t="shared" si="153"/>
        <v>1.6918016515029816E-12</v>
      </c>
      <c r="EM148" s="22">
        <f t="shared" si="127"/>
        <v>3.1457867471021712E-12</v>
      </c>
      <c r="EN148" s="62">
        <f t="shared" si="128"/>
        <v>293.33333333333644</v>
      </c>
      <c r="EO148" s="62">
        <f ca="1">AVERAGE(OFFSET($EN$3,0,0,'Données projet'!$E$15+1,1))-AVERAGE(OFFSET($H$3,0,0,'Données projet'!$E$15+1,1))</f>
        <v>312.06797204903796</v>
      </c>
      <c r="EP148" s="62">
        <f t="shared" si="154"/>
        <v>258.20189001775151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2.4</v>
      </c>
      <c r="FE148" s="13">
        <f>IF('Données projet'!$A$218&gt;35,FE147+FD148-FM147,IF(A148&lt;'Données projet'!$A$218,$FB$205^A148,IF(A148='Données projet'!$A$218,'Données projet'!$B$218,FE147+FD148-FM147)))</f>
        <v>280.99999999999915</v>
      </c>
      <c r="FF148" s="18">
        <f>FE148*VLOOKUP('Données projet'!$B$16,Paramètres!$A$1:$I$89,3,0)*VLOOKUP('Données projet'!$B$16,Paramètres!$A$1:$I$89,5,0)</f>
        <v>271.78319999999917</v>
      </c>
      <c r="FG148" s="14">
        <f t="shared" si="155"/>
        <v>65.227564224775008</v>
      </c>
      <c r="FH148" s="22">
        <f t="shared" si="130"/>
        <v>586.96041435814834</v>
      </c>
      <c r="FI148" s="62">
        <f t="shared" si="131"/>
        <v>880.29374769148171</v>
      </c>
      <c r="FJ148" s="62">
        <f ca="1">AVERAGE(OFFSET($FI$3,0,0,'Données projet'!$E$16+1,1))-AVERAGE(OFFSET($H$3,0,0,'Données projet'!$E$16+1,1))</f>
        <v>455.50822833641354</v>
      </c>
      <c r="FK148" s="62">
        <f t="shared" si="156"/>
        <v>261.14722581688039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2.2737367544323206E-13</v>
      </c>
      <c r="O149" s="14">
        <f>N149*VLOOKUP('Données projet'!$B$9,Paramètres!$A$1:$I$89,3,0)*VLOOKUP('Données projet'!$B$9,Paramètres!$A$1:$I$89,5,0)</f>
        <v>1.2710188457276673E-13</v>
      </c>
      <c r="P149" s="14">
        <f t="shared" si="141"/>
        <v>1.856866851063998E-12</v>
      </c>
      <c r="Q149" s="22">
        <f t="shared" si="108"/>
        <v>3.4554122145673649E-12</v>
      </c>
      <c r="R149" s="62">
        <f t="shared" si="109"/>
        <v>293.33333333333678</v>
      </c>
      <c r="S149" s="62">
        <f ca="1">AVERAGE(OFFSET($R$3,0,0,'Données projet'!$E$9+1,1))-AVERAGE(OFFSET($H$3,0,0,'Données projet'!$E$9+1,1))</f>
        <v>323.98185264074681</v>
      </c>
      <c r="T149" s="62">
        <f t="shared" si="142"/>
        <v>301.22207291854005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0.44860219708038668</v>
      </c>
      <c r="AA149" s="23">
        <f>EXP(-LN(2)/25)*AA148+(1-EXP(-LN(2)/25))/(LN(2)/25)*Calculateur!V149*Calculateur!X149*VLOOKUP('Données projet'!$B$9,Paramètres!$A$1:$I$89,3,0)*0.475*44/12</f>
        <v>0.33077493576017397</v>
      </c>
      <c r="AB149" s="23">
        <f>EXP(-LN(2)/2)*AB148+(1-EXP(-LN(2)/2))/(LN(2)/2)*V149*Y149*VLOOKUP('Données projet'!$B$9,Paramètres!$A$1:$I$89,3,0)*0.475*44/12</f>
        <v>2.112132406340707E-17</v>
      </c>
      <c r="AC149" s="24">
        <f t="shared" si="111"/>
        <v>0.77937713284056065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1.7053025658242404E-13</v>
      </c>
      <c r="AJ149" s="14">
        <f>AI149*VLOOKUP('Données projet'!$B$10,Paramètres!$A$1:$I$89,3,0)*VLOOKUP('Données projet'!$B$10,Paramètres!$A$1:$I$89,5,0)</f>
        <v>7.9808160080574461E-14</v>
      </c>
      <c r="AK149" s="14">
        <f t="shared" si="143"/>
        <v>1.2308384591775343E-12</v>
      </c>
      <c r="AL149" s="22">
        <f t="shared" si="112"/>
        <v>2.282709528541206E-12</v>
      </c>
      <c r="AM149" s="62">
        <f t="shared" si="113"/>
        <v>293.33333333333559</v>
      </c>
      <c r="AN149" s="62">
        <f ca="1">AVERAGE(OFFSET($AM$3,0,0,'Données projet'!$E$10+1,1))-AVERAGE(OFFSET($H$3,0,0,'Données projet'!$E$10+1,1))</f>
        <v>276.78862011733338</v>
      </c>
      <c r="AO149" s="62">
        <f t="shared" si="144"/>
        <v>202.1678469635836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256.42031999999921</v>
      </c>
      <c r="BF149" s="14">
        <f t="shared" si="145"/>
        <v>61.958720258016747</v>
      </c>
      <c r="BG149" s="22">
        <f t="shared" si="115"/>
        <v>554.51016178271107</v>
      </c>
      <c r="BH149" s="62">
        <f t="shared" si="116"/>
        <v>847.84349511604432</v>
      </c>
      <c r="BI149" s="62">
        <f ca="1">AVERAGE(OFFSET($BH$3,0,0,'Données projet'!$E$11+1,1))-AVERAGE(OFFSET($H$3,0,0,'Données projet'!$E$11+1,1))</f>
        <v>428.8489304403459</v>
      </c>
      <c r="BJ149" s="62">
        <f t="shared" si="146"/>
        <v>247.01165577562966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-2.8421709430404007E-13</v>
      </c>
      <c r="BZ149" s="14">
        <f>BY149*VLOOKUP('Données projet'!$B$12,Paramètres!$A$1:$I$89,3,0)*VLOOKUP('Données projet'!$B$12,Paramètres!$A$1:$I$89,5,0)</f>
        <v>-1.69961822393816E-13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289.12367833861299</v>
      </c>
      <c r="CE149" s="62">
        <f t="shared" si="148"/>
        <v>229.06617320689003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1.4387224321709724E-17</v>
      </c>
      <c r="CN149" s="24">
        <f t="shared" si="120"/>
        <v>1.4387224321709724E-17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-4.5224624045658861E-14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370.59298168107364</v>
      </c>
      <c r="CZ149" s="62">
        <f t="shared" si="150"/>
        <v>404.61777090709171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-5.6843418860808015E-14</v>
      </c>
      <c r="DP149" s="18">
        <f>DO149*VLOOKUP('Données projet'!$B$14,Paramètres!$A$1:$I$89,3,0)*VLOOKUP('Données projet'!$B$14,Paramètres!$A$1:$I$89,5,0)</f>
        <v>-4.9658410716801891E-14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341.65872153228599</v>
      </c>
      <c r="DU149" s="62">
        <f t="shared" si="152"/>
        <v>339.49697153894937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1.7053025658242404E-13</v>
      </c>
      <c r="EK149" s="18">
        <f>EJ149*VLOOKUP('Données projet'!$B$15,Paramètres!$A$1:$I$89,3,0)*VLOOKUP('Données projet'!$B$15,Paramètres!$A$1:$I$89,5,0)</f>
        <v>1.1439169611549005E-13</v>
      </c>
      <c r="EL149" s="14">
        <f t="shared" si="153"/>
        <v>1.6918016515029816E-12</v>
      </c>
      <c r="EM149" s="22">
        <f t="shared" si="127"/>
        <v>3.1457867471021712E-12</v>
      </c>
      <c r="EN149" s="62">
        <f t="shared" si="128"/>
        <v>293.33333333333644</v>
      </c>
      <c r="EO149" s="62">
        <f ca="1">AVERAGE(OFFSET($EN$3,0,0,'Données projet'!$E$15+1,1))-AVERAGE(OFFSET($H$3,0,0,'Données projet'!$E$15+1,1))</f>
        <v>312.06797204903796</v>
      </c>
      <c r="EP149" s="62">
        <f t="shared" si="154"/>
        <v>258.20189001775151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2.4</v>
      </c>
      <c r="FE149" s="13">
        <f>IF('Données projet'!$A$218&gt;35,FE148+FD149-FM148,IF(A149&lt;'Données projet'!$A$218,$FB$205^A149,IF(A149='Données projet'!$A$218,'Données projet'!$B$218,FE148+FD149-FM148)))</f>
        <v>283.39999999999912</v>
      </c>
      <c r="FF149" s="18">
        <f>FE149*VLOOKUP('Données projet'!$B$16,Paramètres!$A$1:$I$89,3,0)*VLOOKUP('Données projet'!$B$16,Paramètres!$A$1:$I$89,5,0)</f>
        <v>274.10447999999917</v>
      </c>
      <c r="FG149" s="14">
        <f t="shared" si="155"/>
        <v>65.719577181765331</v>
      </c>
      <c r="FH149" s="22">
        <f t="shared" si="130"/>
        <v>591.86023292490643</v>
      </c>
      <c r="FI149" s="62">
        <f t="shared" si="131"/>
        <v>885.1935662582398</v>
      </c>
      <c r="FJ149" s="62">
        <f ca="1">AVERAGE(OFFSET($FI$3,0,0,'Données projet'!$E$16+1,1))-AVERAGE(OFFSET($H$3,0,0,'Données projet'!$E$16+1,1))</f>
        <v>455.50822833641354</v>
      </c>
      <c r="FK149" s="62">
        <f t="shared" si="156"/>
        <v>261.14722581688039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2.2737367544323206E-13</v>
      </c>
      <c r="O150" s="14">
        <f>N150*VLOOKUP('Données projet'!$B$9,Paramètres!$A$1:$I$89,3,0)*VLOOKUP('Données projet'!$B$9,Paramètres!$A$1:$I$89,5,0)</f>
        <v>1.2710188457276673E-13</v>
      </c>
      <c r="P150" s="14">
        <f t="shared" si="141"/>
        <v>1.856866851063998E-12</v>
      </c>
      <c r="Q150" s="22">
        <f t="shared" si="108"/>
        <v>3.4554122145673649E-12</v>
      </c>
      <c r="R150" s="62">
        <f t="shared" si="109"/>
        <v>293.33333333333678</v>
      </c>
      <c r="S150" s="62">
        <f ca="1">AVERAGE(OFFSET($R$3,0,0,'Données projet'!$E$9+1,1))-AVERAGE(OFFSET($H$3,0,0,'Données projet'!$E$9+1,1))</f>
        <v>323.98185264074681</v>
      </c>
      <c r="T150" s="62">
        <f t="shared" si="142"/>
        <v>301.22207291854005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0.43980538161596278</v>
      </c>
      <c r="AA150" s="23">
        <f>EXP(-LN(2)/25)*AA149+(1-EXP(-LN(2)/25))/(LN(2)/25)*Calculateur!V150*Calculateur!X150*VLOOKUP('Données projet'!$B$9,Paramètres!$A$1:$I$89,3,0)*0.475*44/12</f>
        <v>0.32172987774711415</v>
      </c>
      <c r="AB150" s="23">
        <f>EXP(-LN(2)/2)*AB149+(1-EXP(-LN(2)/2))/(LN(2)/2)*V150*Y150*VLOOKUP('Données projet'!$B$9,Paramètres!$A$1:$I$89,3,0)*0.475*44/12</f>
        <v>1.4935031472873744E-17</v>
      </c>
      <c r="AC150" s="24">
        <f t="shared" si="111"/>
        <v>0.76153525936307687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1.7053025658242404E-13</v>
      </c>
      <c r="AJ150" s="14">
        <f>AI150*VLOOKUP('Données projet'!$B$10,Paramètres!$A$1:$I$89,3,0)*VLOOKUP('Données projet'!$B$10,Paramètres!$A$1:$I$89,5,0)</f>
        <v>7.9808160080574461E-14</v>
      </c>
      <c r="AK150" s="14">
        <f t="shared" si="143"/>
        <v>1.2308384591775343E-12</v>
      </c>
      <c r="AL150" s="22">
        <f t="shared" si="112"/>
        <v>2.282709528541206E-12</v>
      </c>
      <c r="AM150" s="62">
        <f t="shared" si="113"/>
        <v>293.33333333333559</v>
      </c>
      <c r="AN150" s="62">
        <f ca="1">AVERAGE(OFFSET($AM$3,0,0,'Données projet'!$E$10+1,1))-AVERAGE(OFFSET($H$3,0,0,'Données projet'!$E$10+1,1))</f>
        <v>276.78862011733338</v>
      </c>
      <c r="AO150" s="62">
        <f t="shared" si="144"/>
        <v>202.1678469635836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258.59183999999919</v>
      </c>
      <c r="BF150" s="14">
        <f t="shared" si="145"/>
        <v>62.422120343276475</v>
      </c>
      <c r="BG150" s="22">
        <f t="shared" si="115"/>
        <v>559.09931426453841</v>
      </c>
      <c r="BH150" s="62">
        <f t="shared" si="116"/>
        <v>852.43264759787166</v>
      </c>
      <c r="BI150" s="62">
        <f ca="1">AVERAGE(OFFSET($BH$3,0,0,'Données projet'!$E$11+1,1))-AVERAGE(OFFSET($H$3,0,0,'Données projet'!$E$11+1,1))</f>
        <v>428.8489304403459</v>
      </c>
      <c r="BJ150" s="62">
        <f t="shared" si="146"/>
        <v>247.01165577562966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-2.8421709430404007E-13</v>
      </c>
      <c r="BZ150" s="14">
        <f>BY150*VLOOKUP('Données projet'!$B$12,Paramètres!$A$1:$I$89,3,0)*VLOOKUP('Données projet'!$B$12,Paramètres!$A$1:$I$89,5,0)</f>
        <v>-1.69961822393816E-13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289.12367833861299</v>
      </c>
      <c r="CE150" s="62">
        <f t="shared" si="148"/>
        <v>229.06617320689003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1.0173303880332972E-17</v>
      </c>
      <c r="CN150" s="24">
        <f t="shared" si="120"/>
        <v>1.0173303880332972E-17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-4.5224624045658861E-14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370.59298168107364</v>
      </c>
      <c r="CZ150" s="62">
        <f t="shared" si="150"/>
        <v>404.61777090709171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-5.6843418860808015E-14</v>
      </c>
      <c r="DP150" s="18">
        <f>DO150*VLOOKUP('Données projet'!$B$14,Paramètres!$A$1:$I$89,3,0)*VLOOKUP('Données projet'!$B$14,Paramètres!$A$1:$I$89,5,0)</f>
        <v>-4.9658410716801891E-14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341.65872153228599</v>
      </c>
      <c r="DU150" s="62">
        <f t="shared" si="152"/>
        <v>339.49697153894937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1.7053025658242404E-13</v>
      </c>
      <c r="EK150" s="18">
        <f>EJ150*VLOOKUP('Données projet'!$B$15,Paramètres!$A$1:$I$89,3,0)*VLOOKUP('Données projet'!$B$15,Paramètres!$A$1:$I$89,5,0)</f>
        <v>1.1439169611549005E-13</v>
      </c>
      <c r="EL150" s="14">
        <f t="shared" si="153"/>
        <v>1.6918016515029816E-12</v>
      </c>
      <c r="EM150" s="22">
        <f t="shared" si="127"/>
        <v>3.1457867471021712E-12</v>
      </c>
      <c r="EN150" s="62">
        <f t="shared" si="128"/>
        <v>293.33333333333644</v>
      </c>
      <c r="EO150" s="62">
        <f ca="1">AVERAGE(OFFSET($EN$3,0,0,'Données projet'!$E$15+1,1))-AVERAGE(OFFSET($H$3,0,0,'Données projet'!$E$15+1,1))</f>
        <v>312.06797204903796</v>
      </c>
      <c r="EP150" s="62">
        <f t="shared" si="154"/>
        <v>258.20189001775151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2.4</v>
      </c>
      <c r="FE150" s="13">
        <f>IF('Données projet'!$A$218&gt;35,FE149+FD150-FM149,IF(A150&lt;'Données projet'!$A$218,$FB$205^A150,IF(A150='Données projet'!$A$218,'Données projet'!$B$218,FE149+FD150-FM149)))</f>
        <v>285.7999999999991</v>
      </c>
      <c r="FF150" s="18">
        <f>FE150*VLOOKUP('Données projet'!$B$16,Paramètres!$A$1:$I$89,3,0)*VLOOKUP('Données projet'!$B$16,Paramètres!$A$1:$I$89,5,0)</f>
        <v>276.42575999999912</v>
      </c>
      <c r="FG150" s="14">
        <f t="shared" si="155"/>
        <v>66.211105372509707</v>
      </c>
      <c r="FH150" s="22">
        <f t="shared" si="130"/>
        <v>596.75920719045291</v>
      </c>
      <c r="FI150" s="62">
        <f t="shared" si="131"/>
        <v>890.09254052378628</v>
      </c>
      <c r="FJ150" s="62">
        <f ca="1">AVERAGE(OFFSET($FI$3,0,0,'Données projet'!$E$16+1,1))-AVERAGE(OFFSET($H$3,0,0,'Données projet'!$E$16+1,1))</f>
        <v>455.50822833641354</v>
      </c>
      <c r="FK150" s="62">
        <f t="shared" si="156"/>
        <v>261.14722581688039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2.2737367544323206E-13</v>
      </c>
      <c r="O151" s="14">
        <f>N151*VLOOKUP('Données projet'!$B$9,Paramètres!$A$1:$I$89,3,0)*VLOOKUP('Données projet'!$B$9,Paramètres!$A$1:$I$89,5,0)</f>
        <v>1.2710188457276673E-13</v>
      </c>
      <c r="P151" s="14">
        <f t="shared" si="141"/>
        <v>1.856866851063998E-12</v>
      </c>
      <c r="Q151" s="22">
        <f t="shared" si="108"/>
        <v>3.4554122145673649E-12</v>
      </c>
      <c r="R151" s="62">
        <f t="shared" si="109"/>
        <v>293.33333333333678</v>
      </c>
      <c r="S151" s="62">
        <f ca="1">AVERAGE(OFFSET($R$3,0,0,'Données projet'!$E$9+1,1))-AVERAGE(OFFSET($H$3,0,0,'Données projet'!$E$9+1,1))</f>
        <v>323.98185264074681</v>
      </c>
      <c r="T151" s="62">
        <f t="shared" si="142"/>
        <v>301.22207291854005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0.43118106633726855</v>
      </c>
      <c r="AA151" s="23">
        <f>EXP(-LN(2)/25)*AA150+(1-EXP(-LN(2)/25))/(LN(2)/25)*Calculateur!V151*Calculateur!X151*VLOOKUP('Données projet'!$B$9,Paramètres!$A$1:$I$89,3,0)*0.475*44/12</f>
        <v>0.31293215732108037</v>
      </c>
      <c r="AB151" s="23">
        <f>EXP(-LN(2)/2)*AB150+(1-EXP(-LN(2)/2))/(LN(2)/2)*V151*Y151*VLOOKUP('Données projet'!$B$9,Paramètres!$A$1:$I$89,3,0)*0.475*44/12</f>
        <v>1.0560662031703535E-17</v>
      </c>
      <c r="AC151" s="24">
        <f t="shared" si="111"/>
        <v>0.74411322365834898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1.7053025658242404E-13</v>
      </c>
      <c r="AJ151" s="14">
        <f>AI151*VLOOKUP('Données projet'!$B$10,Paramètres!$A$1:$I$89,3,0)*VLOOKUP('Données projet'!$B$10,Paramètres!$A$1:$I$89,5,0)</f>
        <v>7.9808160080574461E-14</v>
      </c>
      <c r="AK151" s="14">
        <f t="shared" si="143"/>
        <v>1.2308384591775343E-12</v>
      </c>
      <c r="AL151" s="22">
        <f t="shared" si="112"/>
        <v>2.282709528541206E-12</v>
      </c>
      <c r="AM151" s="62">
        <f t="shared" si="113"/>
        <v>293.33333333333559</v>
      </c>
      <c r="AN151" s="62">
        <f ca="1">AVERAGE(OFFSET($AM$3,0,0,'Données projet'!$E$10+1,1))-AVERAGE(OFFSET($H$3,0,0,'Données projet'!$E$10+1,1))</f>
        <v>276.78862011733338</v>
      </c>
      <c r="AO151" s="62">
        <f t="shared" si="144"/>
        <v>202.1678469635836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260.76335999999918</v>
      </c>
      <c r="BF151" s="14">
        <f t="shared" si="145"/>
        <v>62.885067686031789</v>
      </c>
      <c r="BG151" s="22">
        <f t="shared" si="115"/>
        <v>563.68767821983727</v>
      </c>
      <c r="BH151" s="62">
        <f t="shared" si="116"/>
        <v>857.02101155317064</v>
      </c>
      <c r="BI151" s="62">
        <f ca="1">AVERAGE(OFFSET($BH$3,0,0,'Données projet'!$E$11+1,1))-AVERAGE(OFFSET($H$3,0,0,'Données projet'!$E$11+1,1))</f>
        <v>428.8489304403459</v>
      </c>
      <c r="BJ151" s="62">
        <f t="shared" si="146"/>
        <v>247.01165577562966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-2.8421709430404007E-13</v>
      </c>
      <c r="BZ151" s="14">
        <f>BY151*VLOOKUP('Données projet'!$B$12,Paramètres!$A$1:$I$89,3,0)*VLOOKUP('Données projet'!$B$12,Paramètres!$A$1:$I$89,5,0)</f>
        <v>-1.69961822393816E-13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289.12367833861299</v>
      </c>
      <c r="CE151" s="62">
        <f t="shared" si="148"/>
        <v>229.06617320689003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7.1936121608548618E-18</v>
      </c>
      <c r="CN151" s="24">
        <f t="shared" si="120"/>
        <v>7.1936121608548618E-18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-4.5224624045658861E-14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370.59298168107364</v>
      </c>
      <c r="CZ151" s="62">
        <f t="shared" si="150"/>
        <v>404.61777090709171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-5.6843418860808015E-14</v>
      </c>
      <c r="DP151" s="18">
        <f>DO151*VLOOKUP('Données projet'!$B$14,Paramètres!$A$1:$I$89,3,0)*VLOOKUP('Données projet'!$B$14,Paramètres!$A$1:$I$89,5,0)</f>
        <v>-4.9658410716801891E-14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341.65872153228599</v>
      </c>
      <c r="DU151" s="62">
        <f t="shared" si="152"/>
        <v>339.49697153894937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1.7053025658242404E-13</v>
      </c>
      <c r="EK151" s="18">
        <f>EJ151*VLOOKUP('Données projet'!$B$15,Paramètres!$A$1:$I$89,3,0)*VLOOKUP('Données projet'!$B$15,Paramètres!$A$1:$I$89,5,0)</f>
        <v>1.1439169611549005E-13</v>
      </c>
      <c r="EL151" s="14">
        <f t="shared" si="153"/>
        <v>1.6918016515029816E-12</v>
      </c>
      <c r="EM151" s="22">
        <f t="shared" si="127"/>
        <v>3.1457867471021712E-12</v>
      </c>
      <c r="EN151" s="62">
        <f t="shared" si="128"/>
        <v>293.33333333333644</v>
      </c>
      <c r="EO151" s="62">
        <f ca="1">AVERAGE(OFFSET($EN$3,0,0,'Données projet'!$E$15+1,1))-AVERAGE(OFFSET($H$3,0,0,'Données projet'!$E$15+1,1))</f>
        <v>312.06797204903796</v>
      </c>
      <c r="EP151" s="62">
        <f t="shared" si="154"/>
        <v>258.20189001775151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2.4</v>
      </c>
      <c r="FE151" s="13">
        <f>IF('Données projet'!$A$218&gt;35,FE150+FD151-FM150,IF(A151&lt;'Données projet'!$A$218,$FB$205^A151,IF(A151='Données projet'!$A$218,'Données projet'!$B$218,FE150+FD151-FM150)))</f>
        <v>288.19999999999908</v>
      </c>
      <c r="FF151" s="18">
        <f>FE151*VLOOKUP('Données projet'!$B$16,Paramètres!$A$1:$I$89,3,0)*VLOOKUP('Données projet'!$B$16,Paramètres!$A$1:$I$89,5,0)</f>
        <v>278.74703999999912</v>
      </c>
      <c r="FG151" s="14">
        <f t="shared" si="155"/>
        <v>66.702153339553078</v>
      </c>
      <c r="FH151" s="22">
        <f t="shared" si="130"/>
        <v>601.65734506638671</v>
      </c>
      <c r="FI151" s="62">
        <f t="shared" si="131"/>
        <v>894.99067839972008</v>
      </c>
      <c r="FJ151" s="62">
        <f ca="1">AVERAGE(OFFSET($FI$3,0,0,'Données projet'!$E$16+1,1))-AVERAGE(OFFSET($H$3,0,0,'Données projet'!$E$16+1,1))</f>
        <v>455.50822833641354</v>
      </c>
      <c r="FK151" s="62">
        <f t="shared" si="156"/>
        <v>261.14722581688039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2.2737367544323206E-13</v>
      </c>
      <c r="O152" s="14">
        <f>N152*VLOOKUP('Données projet'!$B$9,Paramètres!$A$1:$I$89,3,0)*VLOOKUP('Données projet'!$B$9,Paramètres!$A$1:$I$89,5,0)</f>
        <v>1.2710188457276673E-13</v>
      </c>
      <c r="P152" s="14">
        <f t="shared" si="141"/>
        <v>1.856866851063998E-12</v>
      </c>
      <c r="Q152" s="22">
        <f t="shared" si="108"/>
        <v>3.4554122145673649E-12</v>
      </c>
      <c r="R152" s="62">
        <f t="shared" si="109"/>
        <v>293.33333333333678</v>
      </c>
      <c r="S152" s="62">
        <f ca="1">AVERAGE(OFFSET($R$3,0,0,'Données projet'!$E$9+1,1))-AVERAGE(OFFSET($H$3,0,0,'Données projet'!$E$9+1,1))</f>
        <v>323.98185264074681</v>
      </c>
      <c r="T152" s="62">
        <f t="shared" si="142"/>
        <v>301.22207291854005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0.42272586862087663</v>
      </c>
      <c r="AA152" s="23">
        <f>EXP(-LN(2)/25)*AA151+(1-EXP(-LN(2)/25))/(LN(2)/25)*Calculateur!V152*Calculateur!X152*VLOOKUP('Données projet'!$B$9,Paramètres!$A$1:$I$89,3,0)*0.475*44/12</f>
        <v>0.3043750110227485</v>
      </c>
      <c r="AB152" s="23">
        <f>EXP(-LN(2)/2)*AB151+(1-EXP(-LN(2)/2))/(LN(2)/2)*V152*Y152*VLOOKUP('Données projet'!$B$9,Paramètres!$A$1:$I$89,3,0)*0.475*44/12</f>
        <v>7.4675157364368719E-18</v>
      </c>
      <c r="AC152" s="24">
        <f t="shared" si="111"/>
        <v>0.72710087964362513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1.7053025658242404E-13</v>
      </c>
      <c r="AJ152" s="14">
        <f>AI152*VLOOKUP('Données projet'!$B$10,Paramètres!$A$1:$I$89,3,0)*VLOOKUP('Données projet'!$B$10,Paramètres!$A$1:$I$89,5,0)</f>
        <v>7.9808160080574461E-14</v>
      </c>
      <c r="AK152" s="14">
        <f t="shared" si="143"/>
        <v>1.2308384591775343E-12</v>
      </c>
      <c r="AL152" s="22">
        <f t="shared" si="112"/>
        <v>2.282709528541206E-12</v>
      </c>
      <c r="AM152" s="62">
        <f t="shared" si="113"/>
        <v>293.33333333333559</v>
      </c>
      <c r="AN152" s="62">
        <f ca="1">AVERAGE(OFFSET($AM$3,0,0,'Données projet'!$E$10+1,1))-AVERAGE(OFFSET($H$3,0,0,'Données projet'!$E$10+1,1))</f>
        <v>276.78862011733338</v>
      </c>
      <c r="AO152" s="62">
        <f t="shared" si="144"/>
        <v>202.1678469635836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262.93487999999911</v>
      </c>
      <c r="BF152" s="14">
        <f t="shared" si="145"/>
        <v>63.347566493432595</v>
      </c>
      <c r="BG152" s="22">
        <f t="shared" si="115"/>
        <v>568.27526097606028</v>
      </c>
      <c r="BH152" s="62">
        <f t="shared" si="116"/>
        <v>861.60859430939354</v>
      </c>
      <c r="BI152" s="62">
        <f ca="1">AVERAGE(OFFSET($BH$3,0,0,'Données projet'!$E$11+1,1))-AVERAGE(OFFSET($H$3,0,0,'Données projet'!$E$11+1,1))</f>
        <v>428.8489304403459</v>
      </c>
      <c r="BJ152" s="62">
        <f t="shared" si="146"/>
        <v>247.01165577562966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-2.8421709430404007E-13</v>
      </c>
      <c r="BZ152" s="14">
        <f>BY152*VLOOKUP('Données projet'!$B$12,Paramètres!$A$1:$I$89,3,0)*VLOOKUP('Données projet'!$B$12,Paramètres!$A$1:$I$89,5,0)</f>
        <v>-1.69961822393816E-13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289.12367833861299</v>
      </c>
      <c r="CE152" s="62">
        <f t="shared" si="148"/>
        <v>229.06617320689003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5.0866519401664861E-18</v>
      </c>
      <c r="CN152" s="24">
        <f t="shared" si="120"/>
        <v>5.0866519401664861E-18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-4.5224624045658861E-14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370.59298168107364</v>
      </c>
      <c r="CZ152" s="62">
        <f t="shared" si="150"/>
        <v>404.61777090709171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-5.6843418860808015E-14</v>
      </c>
      <c r="DP152" s="18">
        <f>DO152*VLOOKUP('Données projet'!$B$14,Paramètres!$A$1:$I$89,3,0)*VLOOKUP('Données projet'!$B$14,Paramètres!$A$1:$I$89,5,0)</f>
        <v>-4.9658410716801891E-14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341.65872153228599</v>
      </c>
      <c r="DU152" s="62">
        <f t="shared" si="152"/>
        <v>339.49697153894937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1.7053025658242404E-13</v>
      </c>
      <c r="EK152" s="18">
        <f>EJ152*VLOOKUP('Données projet'!$B$15,Paramètres!$A$1:$I$89,3,0)*VLOOKUP('Données projet'!$B$15,Paramètres!$A$1:$I$89,5,0)</f>
        <v>1.1439169611549005E-13</v>
      </c>
      <c r="EL152" s="14">
        <f t="shared" si="153"/>
        <v>1.6918016515029816E-12</v>
      </c>
      <c r="EM152" s="22">
        <f t="shared" si="127"/>
        <v>3.1457867471021712E-12</v>
      </c>
      <c r="EN152" s="62">
        <f t="shared" si="128"/>
        <v>293.33333333333644</v>
      </c>
      <c r="EO152" s="62">
        <f ca="1">AVERAGE(OFFSET($EN$3,0,0,'Données projet'!$E$15+1,1))-AVERAGE(OFFSET($H$3,0,0,'Données projet'!$E$15+1,1))</f>
        <v>312.06797204903796</v>
      </c>
      <c r="EP152" s="62">
        <f t="shared" si="154"/>
        <v>258.20189001775151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2.4</v>
      </c>
      <c r="FE152" s="13">
        <f>IF('Données projet'!$A$218&gt;35,FE151+FD152-FM151,IF(A152&lt;'Données projet'!$A$218,$FB$205^A152,IF(A152='Données projet'!$A$218,'Données projet'!$B$218,FE151+FD152-FM151)))</f>
        <v>290.59999999999906</v>
      </c>
      <c r="FF152" s="18">
        <f>FE152*VLOOKUP('Données projet'!$B$16,Paramètres!$A$1:$I$89,3,0)*VLOOKUP('Données projet'!$B$16,Paramètres!$A$1:$I$89,5,0)</f>
        <v>281.06831999999906</v>
      </c>
      <c r="FG152" s="14">
        <f t="shared" si="155"/>
        <v>67.192725545416479</v>
      </c>
      <c r="FH152" s="22">
        <f t="shared" si="130"/>
        <v>606.55465432493213</v>
      </c>
      <c r="FI152" s="62">
        <f t="shared" si="131"/>
        <v>899.8879876582655</v>
      </c>
      <c r="FJ152" s="62">
        <f ca="1">AVERAGE(OFFSET($FI$3,0,0,'Données projet'!$E$16+1,1))-AVERAGE(OFFSET($H$3,0,0,'Données projet'!$E$16+1,1))</f>
        <v>455.50822833641354</v>
      </c>
      <c r="FK152" s="62">
        <f t="shared" si="156"/>
        <v>261.14722581688039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2.2737367544323206E-13</v>
      </c>
      <c r="O153" s="14">
        <f>N153*VLOOKUP('Données projet'!$B$9,Paramètres!$A$1:$I$89,3,0)*VLOOKUP('Données projet'!$B$9,Paramètres!$A$1:$I$89,5,0)</f>
        <v>1.2710188457276673E-13</v>
      </c>
      <c r="P153" s="14">
        <f t="shared" si="141"/>
        <v>1.856866851063998E-12</v>
      </c>
      <c r="Q153" s="22">
        <f t="shared" si="108"/>
        <v>3.4554122145673649E-12</v>
      </c>
      <c r="R153" s="62">
        <f t="shared" si="109"/>
        <v>293.33333333333678</v>
      </c>
      <c r="S153" s="62">
        <f ca="1">AVERAGE(OFFSET($R$3,0,0,'Données projet'!$E$9+1,1))-AVERAGE(OFFSET($H$3,0,0,'Données projet'!$E$9+1,1))</f>
        <v>323.98185264074681</v>
      </c>
      <c r="T153" s="62">
        <f t="shared" si="142"/>
        <v>301.22207291854005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0.41443647217454177</v>
      </c>
      <c r="AA153" s="23">
        <f>EXP(-LN(2)/25)*AA152+(1-EXP(-LN(2)/25))/(LN(2)/25)*Calculateur!V153*Calculateur!X153*VLOOKUP('Données projet'!$B$9,Paramètres!$A$1:$I$89,3,0)*0.475*44/12</f>
        <v>0.29605186033994529</v>
      </c>
      <c r="AB153" s="23">
        <f>EXP(-LN(2)/2)*AB152+(1-EXP(-LN(2)/2))/(LN(2)/2)*V153*Y153*VLOOKUP('Données projet'!$B$9,Paramètres!$A$1:$I$89,3,0)*0.475*44/12</f>
        <v>5.2803310158517676E-18</v>
      </c>
      <c r="AC153" s="24">
        <f t="shared" si="111"/>
        <v>0.71048833251448706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1.7053025658242404E-13</v>
      </c>
      <c r="AJ153" s="14">
        <f>AI153*VLOOKUP('Données projet'!$B$10,Paramètres!$A$1:$I$89,3,0)*VLOOKUP('Données projet'!$B$10,Paramètres!$A$1:$I$89,5,0)</f>
        <v>7.9808160080574461E-14</v>
      </c>
      <c r="AK153" s="14">
        <f t="shared" si="143"/>
        <v>1.2308384591775343E-12</v>
      </c>
      <c r="AL153" s="22">
        <f t="shared" si="112"/>
        <v>2.282709528541206E-12</v>
      </c>
      <c r="AM153" s="62">
        <f t="shared" si="113"/>
        <v>293.33333333333559</v>
      </c>
      <c r="AN153" s="62">
        <f ca="1">AVERAGE(OFFSET($AM$3,0,0,'Données projet'!$E$10+1,1))-AVERAGE(OFFSET($H$3,0,0,'Données projet'!$E$10+1,1))</f>
        <v>276.78862011733338</v>
      </c>
      <c r="AO153" s="62">
        <f t="shared" si="144"/>
        <v>202.1678469635836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265.1063999999991</v>
      </c>
      <c r="BF153" s="14">
        <f t="shared" si="145"/>
        <v>63.809620899125136</v>
      </c>
      <c r="BG153" s="22">
        <f t="shared" si="115"/>
        <v>572.86206973264132</v>
      </c>
      <c r="BH153" s="62">
        <f t="shared" si="116"/>
        <v>866.19540306597469</v>
      </c>
      <c r="BI153" s="62">
        <f ca="1">AVERAGE(OFFSET($BH$3,0,0,'Données projet'!$E$11+1,1))-AVERAGE(OFFSET($H$3,0,0,'Données projet'!$E$11+1,1))</f>
        <v>428.8489304403459</v>
      </c>
      <c r="BJ153" s="62">
        <f t="shared" si="146"/>
        <v>247.01165577562966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-2.8421709430404007E-13</v>
      </c>
      <c r="BZ153" s="14">
        <f>BY153*VLOOKUP('Données projet'!$B$12,Paramètres!$A$1:$I$89,3,0)*VLOOKUP('Données projet'!$B$12,Paramètres!$A$1:$I$89,5,0)</f>
        <v>-1.69961822393816E-13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289.12367833861299</v>
      </c>
      <c r="CE153" s="62">
        <f t="shared" si="148"/>
        <v>229.06617320689003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3.5968060804274309E-18</v>
      </c>
      <c r="CN153" s="24">
        <f t="shared" si="120"/>
        <v>3.5968060804274309E-18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-4.5224624045658861E-14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370.59298168107364</v>
      </c>
      <c r="CZ153" s="62">
        <f t="shared" si="150"/>
        <v>404.61777090709171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-5.6843418860808015E-14</v>
      </c>
      <c r="DP153" s="18">
        <f>DO153*VLOOKUP('Données projet'!$B$14,Paramètres!$A$1:$I$89,3,0)*VLOOKUP('Données projet'!$B$14,Paramètres!$A$1:$I$89,5,0)</f>
        <v>-4.9658410716801891E-14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341.65872153228599</v>
      </c>
      <c r="DU153" s="62">
        <f t="shared" si="152"/>
        <v>339.49697153894937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1.7053025658242404E-13</v>
      </c>
      <c r="EK153" s="18">
        <f>EJ153*VLOOKUP('Données projet'!$B$15,Paramètres!$A$1:$I$89,3,0)*VLOOKUP('Données projet'!$B$15,Paramètres!$A$1:$I$89,5,0)</f>
        <v>1.1439169611549005E-13</v>
      </c>
      <c r="EL153" s="14">
        <f t="shared" si="153"/>
        <v>1.6918016515029816E-12</v>
      </c>
      <c r="EM153" s="22">
        <f t="shared" si="127"/>
        <v>3.1457867471021712E-12</v>
      </c>
      <c r="EN153" s="62">
        <f t="shared" si="128"/>
        <v>293.33333333333644</v>
      </c>
      <c r="EO153" s="62">
        <f ca="1">AVERAGE(OFFSET($EN$3,0,0,'Données projet'!$E$15+1,1))-AVERAGE(OFFSET($H$3,0,0,'Données projet'!$E$15+1,1))</f>
        <v>312.06797204903796</v>
      </c>
      <c r="EP153" s="62">
        <f t="shared" si="154"/>
        <v>258.20189001775151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>
        <f>VLOOKUP(A153,'Données projet'!$A$217:$I$237,2,0)</f>
        <v>293</v>
      </c>
      <c r="FC153" s="13">
        <f>VLOOKUP(A153,'Données projet'!$A$217:$I$237,9,0)</f>
        <v>2.4</v>
      </c>
      <c r="FD153" s="13">
        <f t="array" ref="FD153">INDEX(FC:FC,MIN(IF(ISNUMBER(FC153:FC349),ROW(FC153:FC349),"")))</f>
        <v>2.4</v>
      </c>
      <c r="FE153" s="13">
        <f>IF('Données projet'!$A$218&gt;35,FE152+FD153-FM152,IF(A153&lt;'Données projet'!$A$218,$FB$205^A153,IF(A153='Données projet'!$A$218,'Données projet'!$B$218,FE152+FD153-FM152)))</f>
        <v>292.99999999999903</v>
      </c>
      <c r="FF153" s="18">
        <f>FE153*VLOOKUP('Données projet'!$B$16,Paramètres!$A$1:$I$89,3,0)*VLOOKUP('Données projet'!$B$16,Paramètres!$A$1:$I$89,5,0)</f>
        <v>283.38959999999906</v>
      </c>
      <c r="FG153" s="14">
        <f t="shared" si="155"/>
        <v>67.682826374656187</v>
      </c>
      <c r="FH153" s="22">
        <f t="shared" si="130"/>
        <v>611.45114260252456</v>
      </c>
      <c r="FI153" s="62">
        <f t="shared" si="131"/>
        <v>904.78447593585793</v>
      </c>
      <c r="FJ153" s="62">
        <f ca="1">AVERAGE(OFFSET($FI$3,0,0,'Données projet'!$E$16+1,1))-AVERAGE(OFFSET($H$3,0,0,'Données projet'!$E$16+1,1))</f>
        <v>455.50822833641354</v>
      </c>
      <c r="FK153" s="62">
        <f t="shared" si="156"/>
        <v>261.14722581688039</v>
      </c>
      <c r="FL153" s="16">
        <f>IF(ISNA(VLOOKUP(A153,'Données projet'!$A$217:$I$237,3,0)),0,VLOOKUP(A153,'Données projet'!$A$217:$I$237,3,0))</f>
        <v>13</v>
      </c>
      <c r="FM153" s="16">
        <f>IF(ISNA(VLOOKUP(A153,'Données projet'!$A$217:$I$237,4,0)),0,VLOOKUP(A153,'Données projet'!$A$217:$I$237,4,0))</f>
        <v>293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2.2737367544323206E-13</v>
      </c>
      <c r="O154" s="14">
        <f>N154*VLOOKUP('Données projet'!$B$9,Paramètres!$A$1:$I$89,3,0)*VLOOKUP('Données projet'!$B$9,Paramètres!$A$1:$I$89,5,0)</f>
        <v>1.2710188457276673E-13</v>
      </c>
      <c r="P154" s="14">
        <f t="shared" si="141"/>
        <v>1.856866851063998E-12</v>
      </c>
      <c r="Q154" s="22">
        <f t="shared" ref="Q154:Q203" si="162">(O154+P154)*0.475*44/12</f>
        <v>3.4554122145673649E-12</v>
      </c>
      <c r="R154" s="62">
        <f t="shared" si="109"/>
        <v>293.33333333333678</v>
      </c>
      <c r="S154" s="62">
        <f ca="1">AVERAGE(OFFSET($R$3,0,0,'Données projet'!$E$9+1,1))-AVERAGE(OFFSET($H$3,0,0,'Données projet'!$E$9+1,1))</f>
        <v>323.98185264074681</v>
      </c>
      <c r="T154" s="62">
        <f t="shared" si="142"/>
        <v>301.22207291854005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0.40630962573648693</v>
      </c>
      <c r="AA154" s="23">
        <f>EXP(-LN(2)/25)*AA153+(1-EXP(-LN(2)/25))/(LN(2)/25)*Calculateur!V154*Calculateur!X154*VLOOKUP('Données projet'!$B$9,Paramètres!$A$1:$I$89,3,0)*0.475*44/12</f>
        <v>0.28795630665025879</v>
      </c>
      <c r="AB154" s="23">
        <f>EXP(-LN(2)/2)*AB153+(1-EXP(-LN(2)/2))/(LN(2)/2)*V154*Y154*VLOOKUP('Données projet'!$B$9,Paramètres!$A$1:$I$89,3,0)*0.475*44/12</f>
        <v>3.733757868218436E-18</v>
      </c>
      <c r="AC154" s="24">
        <f t="shared" ref="AC154:AC203" si="163">SUM(Z154:AB154)</f>
        <v>0.69426593238674572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1.7053025658242404E-13</v>
      </c>
      <c r="AJ154" s="14">
        <f>AI154*VLOOKUP('Données projet'!$B$10,Paramètres!$A$1:$I$89,3,0)*VLOOKUP('Données projet'!$B$10,Paramètres!$A$1:$I$89,5,0)</f>
        <v>7.9808160080574461E-14</v>
      </c>
      <c r="AK154" s="14">
        <f t="shared" ref="AK154:AK203" si="164">EXP(-1.0587+0.8836*LN(AJ154)+0.284)</f>
        <v>1.2308384591775343E-12</v>
      </c>
      <c r="AL154" s="22">
        <f t="shared" ref="AL154:AL203" si="165">(AJ154+AK154)*0.475*44/12</f>
        <v>2.282709528541206E-12</v>
      </c>
      <c r="AM154" s="62">
        <f t="shared" si="113"/>
        <v>293.33333333333559</v>
      </c>
      <c r="AN154" s="62">
        <f ca="1">AVERAGE(OFFSET($AM$3,0,0,'Données projet'!$E$10+1,1))-AVERAGE(OFFSET($H$3,0,0,'Données projet'!$E$10+1,1))</f>
        <v>276.78862011733338</v>
      </c>
      <c r="AO154" s="62">
        <f t="shared" si="144"/>
        <v>202.1678469635836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-8.7434273154940449E-13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428.8489304403459</v>
      </c>
      <c r="BJ154" s="62">
        <f t="shared" si="146"/>
        <v>247.01165577562966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-2.8421709430404007E-13</v>
      </c>
      <c r="BZ154" s="14">
        <f>BY154*VLOOKUP('Données projet'!$B$12,Paramètres!$A$1:$I$89,3,0)*VLOOKUP('Données projet'!$B$12,Paramètres!$A$1:$I$89,5,0)</f>
        <v>-1.69961822393816E-13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289.12367833861299</v>
      </c>
      <c r="CE154" s="62">
        <f t="shared" si="148"/>
        <v>229.06617320689003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2.5433259700832431E-18</v>
      </c>
      <c r="CN154" s="24">
        <f t="shared" ref="CN154:CN203" si="172">SUM(CK154:CM154)</f>
        <v>2.5433259700832431E-18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-4.5224624045658861E-14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370.59298168107364</v>
      </c>
      <c r="CZ154" s="62">
        <f t="shared" si="150"/>
        <v>404.61777090709171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-5.6843418860808015E-14</v>
      </c>
      <c r="DP154" s="18">
        <f>DO154*VLOOKUP('Données projet'!$B$14,Paramètres!$A$1:$I$89,3,0)*VLOOKUP('Données projet'!$B$14,Paramètres!$A$1:$I$89,5,0)</f>
        <v>-4.9658410716801891E-14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341.65872153228599</v>
      </c>
      <c r="DU154" s="62">
        <f t="shared" si="152"/>
        <v>339.49697153894937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1.7053025658242404E-13</v>
      </c>
      <c r="EK154" s="18">
        <f>EJ154*VLOOKUP('Données projet'!$B$15,Paramètres!$A$1:$I$89,3,0)*VLOOKUP('Données projet'!$B$15,Paramètres!$A$1:$I$89,5,0)</f>
        <v>1.1439169611549005E-13</v>
      </c>
      <c r="EL154" s="14">
        <f t="shared" ref="EL154:EL203" si="179">EXP(-1.0587+0.8836*LN(EK154)+0.284)</f>
        <v>1.6918016515029816E-12</v>
      </c>
      <c r="EM154" s="22">
        <f t="shared" ref="EM154:EM203" si="180">(EK154+EL154)*0.475*44/12</f>
        <v>3.1457867471021712E-12</v>
      </c>
      <c r="EN154" s="62">
        <f t="shared" si="128"/>
        <v>293.33333333333644</v>
      </c>
      <c r="EO154" s="62">
        <f ca="1">AVERAGE(OFFSET($EN$3,0,0,'Données projet'!$E$15+1,1))-AVERAGE(OFFSET($H$3,0,0,'Données projet'!$E$15+1,1))</f>
        <v>312.06797204903796</v>
      </c>
      <c r="EP154" s="62">
        <f t="shared" si="154"/>
        <v>258.20189001775151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-9.6633812063373625E-13</v>
      </c>
      <c r="FF154" s="18">
        <f>FE154*VLOOKUP('Données projet'!$B$16,Paramètres!$A$1:$I$89,3,0)*VLOOKUP('Données projet'!$B$16,Paramètres!$A$1:$I$89,5,0)</f>
        <v>-9.3464223027694966E-13</v>
      </c>
      <c r="FG154" s="14" t="e">
        <f t="shared" ref="FG154:FG203" si="182">EXP(-1.0587+0.8836*LN(FF154)+0.284)</f>
        <v>#NUM!</v>
      </c>
      <c r="FH154" s="22" t="e">
        <f t="shared" ref="FH154:FH203" si="183">(FF154+FG154)*0.475*44/12</f>
        <v>#NUM!</v>
      </c>
      <c r="FI154" s="62" t="e">
        <f t="shared" si="131"/>
        <v>#NUM!</v>
      </c>
      <c r="FJ154" s="62">
        <f ca="1">AVERAGE(OFFSET($FI$3,0,0,'Données projet'!$E$16+1,1))-AVERAGE(OFFSET($H$3,0,0,'Données projet'!$E$16+1,1))</f>
        <v>455.50822833641354</v>
      </c>
      <c r="FK154" s="62">
        <f t="shared" si="156"/>
        <v>261.14722581688039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2.2737367544323206E-13</v>
      </c>
      <c r="O155" s="14">
        <f>N155*VLOOKUP('Données projet'!$B$9,Paramètres!$A$1:$I$89,3,0)*VLOOKUP('Données projet'!$B$9,Paramètres!$A$1:$I$89,5,0)</f>
        <v>1.2710188457276673E-13</v>
      </c>
      <c r="P155" s="14">
        <f t="shared" si="141"/>
        <v>1.856866851063998E-12</v>
      </c>
      <c r="Q155" s="22">
        <f t="shared" si="162"/>
        <v>3.4554122145673649E-12</v>
      </c>
      <c r="R155" s="62">
        <f t="shared" si="109"/>
        <v>293.33333333333678</v>
      </c>
      <c r="S155" s="62">
        <f ca="1">AVERAGE(OFFSET($R$3,0,0,'Données projet'!$E$9+1,1))-AVERAGE(OFFSET($H$3,0,0,'Données projet'!$E$9+1,1))</f>
        <v>323.98185264074681</v>
      </c>
      <c r="T155" s="62">
        <f t="shared" si="142"/>
        <v>301.22207291854005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0.3983421418001955</v>
      </c>
      <c r="AA155" s="23">
        <f>EXP(-LN(2)/25)*AA154+(1-EXP(-LN(2)/25))/(LN(2)/25)*Calculateur!V155*Calculateur!X155*VLOOKUP('Données projet'!$B$9,Paramètres!$A$1:$I$89,3,0)*0.475*44/12</f>
        <v>0.2800821263019434</v>
      </c>
      <c r="AB155" s="23">
        <f>EXP(-LN(2)/2)*AB154+(1-EXP(-LN(2)/2))/(LN(2)/2)*V155*Y155*VLOOKUP('Données projet'!$B$9,Paramètres!$A$1:$I$89,3,0)*0.475*44/12</f>
        <v>2.6401655079258838E-18</v>
      </c>
      <c r="AC155" s="24">
        <f t="shared" si="163"/>
        <v>0.67842426810213885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1.7053025658242404E-13</v>
      </c>
      <c r="AJ155" s="14">
        <f>AI155*VLOOKUP('Données projet'!$B$10,Paramètres!$A$1:$I$89,3,0)*VLOOKUP('Données projet'!$B$10,Paramètres!$A$1:$I$89,5,0)</f>
        <v>7.9808160080574461E-14</v>
      </c>
      <c r="AK155" s="14">
        <f t="shared" si="164"/>
        <v>1.2308384591775343E-12</v>
      </c>
      <c r="AL155" s="22">
        <f t="shared" si="165"/>
        <v>2.282709528541206E-12</v>
      </c>
      <c r="AM155" s="62">
        <f t="shared" si="113"/>
        <v>293.33333333333559</v>
      </c>
      <c r="AN155" s="62">
        <f ca="1">AVERAGE(OFFSET($AM$3,0,0,'Données projet'!$E$10+1,1))-AVERAGE(OFFSET($H$3,0,0,'Données projet'!$E$10+1,1))</f>
        <v>276.78862011733338</v>
      </c>
      <c r="AO155" s="62">
        <f t="shared" si="144"/>
        <v>202.1678469635836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-8.7434273154940449E-13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428.8489304403459</v>
      </c>
      <c r="BJ155" s="62">
        <f t="shared" si="146"/>
        <v>247.01165577562966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-2.8421709430404007E-13</v>
      </c>
      <c r="BZ155" s="14">
        <f>BY155*VLOOKUP('Données projet'!$B$12,Paramètres!$A$1:$I$89,3,0)*VLOOKUP('Données projet'!$B$12,Paramètres!$A$1:$I$89,5,0)</f>
        <v>-1.69961822393816E-13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289.12367833861299</v>
      </c>
      <c r="CE155" s="62">
        <f t="shared" si="148"/>
        <v>229.06617320689003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1.7984030402137154E-18</v>
      </c>
      <c r="CN155" s="24">
        <f t="shared" si="172"/>
        <v>1.7984030402137154E-18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-4.5224624045658861E-14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370.59298168107364</v>
      </c>
      <c r="CZ155" s="62">
        <f t="shared" si="150"/>
        <v>404.61777090709171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-5.6843418860808015E-14</v>
      </c>
      <c r="DP155" s="18">
        <f>DO155*VLOOKUP('Données projet'!$B$14,Paramètres!$A$1:$I$89,3,0)*VLOOKUP('Données projet'!$B$14,Paramètres!$A$1:$I$89,5,0)</f>
        <v>-4.9658410716801891E-14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341.65872153228599</v>
      </c>
      <c r="DU155" s="62">
        <f t="shared" si="152"/>
        <v>339.49697153894937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1.7053025658242404E-13</v>
      </c>
      <c r="EK155" s="18">
        <f>EJ155*VLOOKUP('Données projet'!$B$15,Paramètres!$A$1:$I$89,3,0)*VLOOKUP('Données projet'!$B$15,Paramètres!$A$1:$I$89,5,0)</f>
        <v>1.1439169611549005E-13</v>
      </c>
      <c r="EL155" s="14">
        <f t="shared" si="179"/>
        <v>1.6918016515029816E-12</v>
      </c>
      <c r="EM155" s="22">
        <f t="shared" si="180"/>
        <v>3.1457867471021712E-12</v>
      </c>
      <c r="EN155" s="62">
        <f t="shared" si="128"/>
        <v>293.33333333333644</v>
      </c>
      <c r="EO155" s="62">
        <f ca="1">AVERAGE(OFFSET($EN$3,0,0,'Données projet'!$E$15+1,1))-AVERAGE(OFFSET($H$3,0,0,'Données projet'!$E$15+1,1))</f>
        <v>312.06797204903796</v>
      </c>
      <c r="EP155" s="62">
        <f t="shared" si="154"/>
        <v>258.20189001775151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-9.6633812063373625E-13</v>
      </c>
      <c r="FF155" s="18">
        <f>FE155*VLOOKUP('Données projet'!$B$16,Paramètres!$A$1:$I$89,3,0)*VLOOKUP('Données projet'!$B$16,Paramètres!$A$1:$I$89,5,0)</f>
        <v>-9.3464223027694966E-13</v>
      </c>
      <c r="FG155" s="14" t="e">
        <f t="shared" si="182"/>
        <v>#NUM!</v>
      </c>
      <c r="FH155" s="22" t="e">
        <f t="shared" si="183"/>
        <v>#NUM!</v>
      </c>
      <c r="FI155" s="62" t="e">
        <f t="shared" si="131"/>
        <v>#NUM!</v>
      </c>
      <c r="FJ155" s="62">
        <f ca="1">AVERAGE(OFFSET($FI$3,0,0,'Données projet'!$E$16+1,1))-AVERAGE(OFFSET($H$3,0,0,'Données projet'!$E$16+1,1))</f>
        <v>455.50822833641354</v>
      </c>
      <c r="FK155" s="62">
        <f t="shared" si="156"/>
        <v>261.14722581688039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2.2737367544323206E-13</v>
      </c>
      <c r="O156" s="14">
        <f>N156*VLOOKUP('Données projet'!$B$9,Paramètres!$A$1:$I$89,3,0)*VLOOKUP('Données projet'!$B$9,Paramètres!$A$1:$I$89,5,0)</f>
        <v>1.2710188457276673E-13</v>
      </c>
      <c r="P156" s="14">
        <f t="shared" si="141"/>
        <v>1.856866851063998E-12</v>
      </c>
      <c r="Q156" s="22">
        <f t="shared" si="162"/>
        <v>3.4554122145673649E-12</v>
      </c>
      <c r="R156" s="62">
        <f t="shared" si="109"/>
        <v>293.33333333333678</v>
      </c>
      <c r="S156" s="62">
        <f ca="1">AVERAGE(OFFSET($R$3,0,0,'Données projet'!$E$9+1,1))-AVERAGE(OFFSET($H$3,0,0,'Données projet'!$E$9+1,1))</f>
        <v>323.98185264074681</v>
      </c>
      <c r="T156" s="62">
        <f t="shared" si="142"/>
        <v>301.22207291854005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0.39053089536420937</v>
      </c>
      <c r="AA156" s="23">
        <f>EXP(-LN(2)/25)*AA155+(1-EXP(-LN(2)/25))/(LN(2)/25)*Calculateur!V156*Calculateur!X156*VLOOKUP('Données projet'!$B$9,Paramètres!$A$1:$I$89,3,0)*0.475*44/12</f>
        <v>0.27242326582933785</v>
      </c>
      <c r="AB156" s="23">
        <f>EXP(-LN(2)/2)*AB155+(1-EXP(-LN(2)/2))/(LN(2)/2)*V156*Y156*VLOOKUP('Données projet'!$B$9,Paramètres!$A$1:$I$89,3,0)*0.475*44/12</f>
        <v>1.866878934109218E-18</v>
      </c>
      <c r="AC156" s="24">
        <f t="shared" si="163"/>
        <v>0.66295416119354722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1.7053025658242404E-13</v>
      </c>
      <c r="AJ156" s="14">
        <f>AI156*VLOOKUP('Données projet'!$B$10,Paramètres!$A$1:$I$89,3,0)*VLOOKUP('Données projet'!$B$10,Paramètres!$A$1:$I$89,5,0)</f>
        <v>7.9808160080574461E-14</v>
      </c>
      <c r="AK156" s="14">
        <f t="shared" si="164"/>
        <v>1.2308384591775343E-12</v>
      </c>
      <c r="AL156" s="22">
        <f t="shared" si="165"/>
        <v>2.282709528541206E-12</v>
      </c>
      <c r="AM156" s="62">
        <f t="shared" si="113"/>
        <v>293.33333333333559</v>
      </c>
      <c r="AN156" s="62">
        <f ca="1">AVERAGE(OFFSET($AM$3,0,0,'Données projet'!$E$10+1,1))-AVERAGE(OFFSET($H$3,0,0,'Données projet'!$E$10+1,1))</f>
        <v>276.78862011733338</v>
      </c>
      <c r="AO156" s="62">
        <f t="shared" si="144"/>
        <v>202.1678469635836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-8.7434273154940449E-13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428.8489304403459</v>
      </c>
      <c r="BJ156" s="62">
        <f t="shared" si="146"/>
        <v>247.01165577562966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-2.8421709430404007E-13</v>
      </c>
      <c r="BZ156" s="14">
        <f>BY156*VLOOKUP('Données projet'!$B$12,Paramètres!$A$1:$I$89,3,0)*VLOOKUP('Données projet'!$B$12,Paramètres!$A$1:$I$89,5,0)</f>
        <v>-1.69961822393816E-13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289.12367833861299</v>
      </c>
      <c r="CE156" s="62">
        <f t="shared" si="148"/>
        <v>229.06617320689003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1.2716629850416215E-18</v>
      </c>
      <c r="CN156" s="24">
        <f t="shared" si="172"/>
        <v>1.2716629850416215E-18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-4.5224624045658861E-14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370.59298168107364</v>
      </c>
      <c r="CZ156" s="62">
        <f t="shared" si="150"/>
        <v>404.61777090709171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-5.6843418860808015E-14</v>
      </c>
      <c r="DP156" s="18">
        <f>DO156*VLOOKUP('Données projet'!$B$14,Paramètres!$A$1:$I$89,3,0)*VLOOKUP('Données projet'!$B$14,Paramètres!$A$1:$I$89,5,0)</f>
        <v>-4.9658410716801891E-14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341.65872153228599</v>
      </c>
      <c r="DU156" s="62">
        <f t="shared" si="152"/>
        <v>339.49697153894937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1.7053025658242404E-13</v>
      </c>
      <c r="EK156" s="18">
        <f>EJ156*VLOOKUP('Données projet'!$B$15,Paramètres!$A$1:$I$89,3,0)*VLOOKUP('Données projet'!$B$15,Paramètres!$A$1:$I$89,5,0)</f>
        <v>1.1439169611549005E-13</v>
      </c>
      <c r="EL156" s="14">
        <f t="shared" si="179"/>
        <v>1.6918016515029816E-12</v>
      </c>
      <c r="EM156" s="22">
        <f t="shared" si="180"/>
        <v>3.1457867471021712E-12</v>
      </c>
      <c r="EN156" s="62">
        <f t="shared" si="128"/>
        <v>293.33333333333644</v>
      </c>
      <c r="EO156" s="62">
        <f ca="1">AVERAGE(OFFSET($EN$3,0,0,'Données projet'!$E$15+1,1))-AVERAGE(OFFSET($H$3,0,0,'Données projet'!$E$15+1,1))</f>
        <v>312.06797204903796</v>
      </c>
      <c r="EP156" s="62">
        <f t="shared" si="154"/>
        <v>258.20189001775151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-9.6633812063373625E-13</v>
      </c>
      <c r="FF156" s="18">
        <f>FE156*VLOOKUP('Données projet'!$B$16,Paramètres!$A$1:$I$89,3,0)*VLOOKUP('Données projet'!$B$16,Paramètres!$A$1:$I$89,5,0)</f>
        <v>-9.3464223027694966E-13</v>
      </c>
      <c r="FG156" s="14" t="e">
        <f t="shared" si="182"/>
        <v>#NUM!</v>
      </c>
      <c r="FH156" s="22" t="e">
        <f t="shared" si="183"/>
        <v>#NUM!</v>
      </c>
      <c r="FI156" s="62" t="e">
        <f t="shared" si="131"/>
        <v>#NUM!</v>
      </c>
      <c r="FJ156" s="62">
        <f ca="1">AVERAGE(OFFSET($FI$3,0,0,'Données projet'!$E$16+1,1))-AVERAGE(OFFSET($H$3,0,0,'Données projet'!$E$16+1,1))</f>
        <v>455.50822833641354</v>
      </c>
      <c r="FK156" s="62">
        <f t="shared" si="156"/>
        <v>261.14722581688039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2.2737367544323206E-13</v>
      </c>
      <c r="O157" s="14">
        <f>N157*VLOOKUP('Données projet'!$B$9,Paramètres!$A$1:$I$89,3,0)*VLOOKUP('Données projet'!$B$9,Paramètres!$A$1:$I$89,5,0)</f>
        <v>1.2710188457276673E-13</v>
      </c>
      <c r="P157" s="14">
        <f t="shared" si="141"/>
        <v>1.856866851063998E-12</v>
      </c>
      <c r="Q157" s="22">
        <f t="shared" si="162"/>
        <v>3.4554122145673649E-12</v>
      </c>
      <c r="R157" s="62">
        <f t="shared" si="109"/>
        <v>293.33333333333678</v>
      </c>
      <c r="S157" s="62">
        <f ca="1">AVERAGE(OFFSET($R$3,0,0,'Données projet'!$E$9+1,1))-AVERAGE(OFFSET($H$3,0,0,'Données projet'!$E$9+1,1))</f>
        <v>323.98185264074681</v>
      </c>
      <c r="T157" s="62">
        <f t="shared" si="142"/>
        <v>301.22207291854005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0.38287282270644307</v>
      </c>
      <c r="AA157" s="23">
        <f>EXP(-LN(2)/25)*AA156+(1-EXP(-LN(2)/25))/(LN(2)/25)*Calculateur!V157*Calculateur!X157*VLOOKUP('Données projet'!$B$9,Paramètres!$A$1:$I$89,3,0)*0.475*44/12</f>
        <v>0.26497383729911766</v>
      </c>
      <c r="AB157" s="23">
        <f>EXP(-LN(2)/2)*AB156+(1-EXP(-LN(2)/2))/(LN(2)/2)*V157*Y157*VLOOKUP('Données projet'!$B$9,Paramètres!$A$1:$I$89,3,0)*0.475*44/12</f>
        <v>1.3200827539629419E-18</v>
      </c>
      <c r="AC157" s="24">
        <f t="shared" si="163"/>
        <v>0.64784666000556079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1.7053025658242404E-13</v>
      </c>
      <c r="AJ157" s="14">
        <f>AI157*VLOOKUP('Données projet'!$B$10,Paramètres!$A$1:$I$89,3,0)*VLOOKUP('Données projet'!$B$10,Paramètres!$A$1:$I$89,5,0)</f>
        <v>7.9808160080574461E-14</v>
      </c>
      <c r="AK157" s="14">
        <f t="shared" si="164"/>
        <v>1.2308384591775343E-12</v>
      </c>
      <c r="AL157" s="22">
        <f t="shared" si="165"/>
        <v>2.282709528541206E-12</v>
      </c>
      <c r="AM157" s="62">
        <f t="shared" si="113"/>
        <v>293.33333333333559</v>
      </c>
      <c r="AN157" s="62">
        <f ca="1">AVERAGE(OFFSET($AM$3,0,0,'Données projet'!$E$10+1,1))-AVERAGE(OFFSET($H$3,0,0,'Données projet'!$E$10+1,1))</f>
        <v>276.78862011733338</v>
      </c>
      <c r="AO157" s="62">
        <f t="shared" si="144"/>
        <v>202.1678469635836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-8.7434273154940449E-13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428.8489304403459</v>
      </c>
      <c r="BJ157" s="62">
        <f t="shared" si="146"/>
        <v>247.01165577562966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-2.8421709430404007E-13</v>
      </c>
      <c r="BZ157" s="14">
        <f>BY157*VLOOKUP('Données projet'!$B$12,Paramètres!$A$1:$I$89,3,0)*VLOOKUP('Données projet'!$B$12,Paramètres!$A$1:$I$89,5,0)</f>
        <v>-1.69961822393816E-13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289.12367833861299</v>
      </c>
      <c r="CE157" s="62">
        <f t="shared" si="148"/>
        <v>229.06617320689003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8.9920152010685772E-19</v>
      </c>
      <c r="CN157" s="24">
        <f t="shared" si="172"/>
        <v>8.9920152010685772E-19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-4.5224624045658861E-14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370.59298168107364</v>
      </c>
      <c r="CZ157" s="62">
        <f t="shared" si="150"/>
        <v>404.61777090709171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-5.6843418860808015E-14</v>
      </c>
      <c r="DP157" s="18">
        <f>DO157*VLOOKUP('Données projet'!$B$14,Paramètres!$A$1:$I$89,3,0)*VLOOKUP('Données projet'!$B$14,Paramètres!$A$1:$I$89,5,0)</f>
        <v>-4.9658410716801891E-14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341.65872153228599</v>
      </c>
      <c r="DU157" s="62">
        <f t="shared" si="152"/>
        <v>339.49697153894937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1.7053025658242404E-13</v>
      </c>
      <c r="EK157" s="18">
        <f>EJ157*VLOOKUP('Données projet'!$B$15,Paramètres!$A$1:$I$89,3,0)*VLOOKUP('Données projet'!$B$15,Paramètres!$A$1:$I$89,5,0)</f>
        <v>1.1439169611549005E-13</v>
      </c>
      <c r="EL157" s="14">
        <f t="shared" si="179"/>
        <v>1.6918016515029816E-12</v>
      </c>
      <c r="EM157" s="22">
        <f t="shared" si="180"/>
        <v>3.1457867471021712E-12</v>
      </c>
      <c r="EN157" s="62">
        <f t="shared" si="128"/>
        <v>293.33333333333644</v>
      </c>
      <c r="EO157" s="62">
        <f ca="1">AVERAGE(OFFSET($EN$3,0,0,'Données projet'!$E$15+1,1))-AVERAGE(OFFSET($H$3,0,0,'Données projet'!$E$15+1,1))</f>
        <v>312.06797204903796</v>
      </c>
      <c r="EP157" s="62">
        <f t="shared" si="154"/>
        <v>258.20189001775151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-9.6633812063373625E-13</v>
      </c>
      <c r="FF157" s="18">
        <f>FE157*VLOOKUP('Données projet'!$B$16,Paramètres!$A$1:$I$89,3,0)*VLOOKUP('Données projet'!$B$16,Paramètres!$A$1:$I$89,5,0)</f>
        <v>-9.3464223027694966E-13</v>
      </c>
      <c r="FG157" s="14" t="e">
        <f t="shared" si="182"/>
        <v>#NUM!</v>
      </c>
      <c r="FH157" s="22" t="e">
        <f t="shared" si="183"/>
        <v>#NUM!</v>
      </c>
      <c r="FI157" s="62" t="e">
        <f t="shared" si="131"/>
        <v>#NUM!</v>
      </c>
      <c r="FJ157" s="62">
        <f ca="1">AVERAGE(OFFSET($FI$3,0,0,'Données projet'!$E$16+1,1))-AVERAGE(OFFSET($H$3,0,0,'Données projet'!$E$16+1,1))</f>
        <v>455.50822833641354</v>
      </c>
      <c r="FK157" s="62">
        <f t="shared" si="156"/>
        <v>261.14722581688039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2.2737367544323206E-13</v>
      </c>
      <c r="O158" s="14">
        <f>N158*VLOOKUP('Données projet'!$B$9,Paramètres!$A$1:$I$89,3,0)*VLOOKUP('Données projet'!$B$9,Paramètres!$A$1:$I$89,5,0)</f>
        <v>1.2710188457276673E-13</v>
      </c>
      <c r="P158" s="14">
        <f t="shared" si="141"/>
        <v>1.856866851063998E-12</v>
      </c>
      <c r="Q158" s="22">
        <f t="shared" si="162"/>
        <v>3.4554122145673649E-12</v>
      </c>
      <c r="R158" s="62">
        <f t="shared" si="109"/>
        <v>293.33333333333678</v>
      </c>
      <c r="S158" s="62">
        <f ca="1">AVERAGE(OFFSET($R$3,0,0,'Données projet'!$E$9+1,1))-AVERAGE(OFFSET($H$3,0,0,'Données projet'!$E$9+1,1))</f>
        <v>323.98185264074681</v>
      </c>
      <c r="T158" s="62">
        <f t="shared" si="142"/>
        <v>301.22207291854005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0.37536492018253248</v>
      </c>
      <c r="AA158" s="23">
        <f>EXP(-LN(2)/25)*AA157+(1-EXP(-LN(2)/25))/(LN(2)/25)*Calculateur!V158*Calculateur!X158*VLOOKUP('Données projet'!$B$9,Paramètres!$A$1:$I$89,3,0)*0.475*44/12</f>
        <v>0.25772811378380478</v>
      </c>
      <c r="AB158" s="23">
        <f>EXP(-LN(2)/2)*AB157+(1-EXP(-LN(2)/2))/(LN(2)/2)*V158*Y158*VLOOKUP('Données projet'!$B$9,Paramètres!$A$1:$I$89,3,0)*0.475*44/12</f>
        <v>9.3343946705460899E-19</v>
      </c>
      <c r="AC158" s="24">
        <f t="shared" si="163"/>
        <v>0.6330930339663372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1.7053025658242404E-13</v>
      </c>
      <c r="AJ158" s="14">
        <f>AI158*VLOOKUP('Données projet'!$B$10,Paramètres!$A$1:$I$89,3,0)*VLOOKUP('Données projet'!$B$10,Paramètres!$A$1:$I$89,5,0)</f>
        <v>7.9808160080574461E-14</v>
      </c>
      <c r="AK158" s="14">
        <f t="shared" si="164"/>
        <v>1.2308384591775343E-12</v>
      </c>
      <c r="AL158" s="22">
        <f t="shared" si="165"/>
        <v>2.282709528541206E-12</v>
      </c>
      <c r="AM158" s="62">
        <f t="shared" si="113"/>
        <v>293.33333333333559</v>
      </c>
      <c r="AN158" s="62">
        <f ca="1">AVERAGE(OFFSET($AM$3,0,0,'Données projet'!$E$10+1,1))-AVERAGE(OFFSET($H$3,0,0,'Données projet'!$E$10+1,1))</f>
        <v>276.78862011733338</v>
      </c>
      <c r="AO158" s="62">
        <f t="shared" si="144"/>
        <v>202.1678469635836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-8.7434273154940449E-13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428.8489304403459</v>
      </c>
      <c r="BJ158" s="62">
        <f t="shared" si="146"/>
        <v>247.01165577562966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-2.8421709430404007E-13</v>
      </c>
      <c r="BZ158" s="14">
        <f>BY158*VLOOKUP('Données projet'!$B$12,Paramètres!$A$1:$I$89,3,0)*VLOOKUP('Données projet'!$B$12,Paramètres!$A$1:$I$89,5,0)</f>
        <v>-1.69961822393816E-13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289.12367833861299</v>
      </c>
      <c r="CE158" s="62">
        <f t="shared" si="148"/>
        <v>229.06617320689003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6.3583149252081077E-19</v>
      </c>
      <c r="CN158" s="24">
        <f t="shared" si="172"/>
        <v>6.3583149252081077E-19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-4.5224624045658861E-14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370.59298168107364</v>
      </c>
      <c r="CZ158" s="62">
        <f t="shared" si="150"/>
        <v>404.61777090709171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-5.6843418860808015E-14</v>
      </c>
      <c r="DP158" s="18">
        <f>DO158*VLOOKUP('Données projet'!$B$14,Paramètres!$A$1:$I$89,3,0)*VLOOKUP('Données projet'!$B$14,Paramètres!$A$1:$I$89,5,0)</f>
        <v>-4.9658410716801891E-14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341.65872153228599</v>
      </c>
      <c r="DU158" s="62">
        <f t="shared" si="152"/>
        <v>339.49697153894937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1.7053025658242404E-13</v>
      </c>
      <c r="EK158" s="18">
        <f>EJ158*VLOOKUP('Données projet'!$B$15,Paramètres!$A$1:$I$89,3,0)*VLOOKUP('Données projet'!$B$15,Paramètres!$A$1:$I$89,5,0)</f>
        <v>1.1439169611549005E-13</v>
      </c>
      <c r="EL158" s="14">
        <f t="shared" si="179"/>
        <v>1.6918016515029816E-12</v>
      </c>
      <c r="EM158" s="22">
        <f t="shared" si="180"/>
        <v>3.1457867471021712E-12</v>
      </c>
      <c r="EN158" s="62">
        <f t="shared" si="128"/>
        <v>293.33333333333644</v>
      </c>
      <c r="EO158" s="62">
        <f ca="1">AVERAGE(OFFSET($EN$3,0,0,'Données projet'!$E$15+1,1))-AVERAGE(OFFSET($H$3,0,0,'Données projet'!$E$15+1,1))</f>
        <v>312.06797204903796</v>
      </c>
      <c r="EP158" s="62">
        <f t="shared" si="154"/>
        <v>258.20189001775151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-9.6633812063373625E-13</v>
      </c>
      <c r="FF158" s="18">
        <f>FE158*VLOOKUP('Données projet'!$B$16,Paramètres!$A$1:$I$89,3,0)*VLOOKUP('Données projet'!$B$16,Paramètres!$A$1:$I$89,5,0)</f>
        <v>-9.3464223027694966E-13</v>
      </c>
      <c r="FG158" s="14" t="e">
        <f t="shared" si="182"/>
        <v>#NUM!</v>
      </c>
      <c r="FH158" s="22" t="e">
        <f t="shared" si="183"/>
        <v>#NUM!</v>
      </c>
      <c r="FI158" s="62" t="e">
        <f t="shared" si="131"/>
        <v>#NUM!</v>
      </c>
      <c r="FJ158" s="62">
        <f ca="1">AVERAGE(OFFSET($FI$3,0,0,'Données projet'!$E$16+1,1))-AVERAGE(OFFSET($H$3,0,0,'Données projet'!$E$16+1,1))</f>
        <v>455.50822833641354</v>
      </c>
      <c r="FK158" s="62">
        <f t="shared" si="156"/>
        <v>261.14722581688039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2.2737367544323206E-13</v>
      </c>
      <c r="O159" s="14">
        <f>N159*VLOOKUP('Données projet'!$B$9,Paramètres!$A$1:$I$89,3,0)*VLOOKUP('Données projet'!$B$9,Paramètres!$A$1:$I$89,5,0)</f>
        <v>1.2710188457276673E-13</v>
      </c>
      <c r="P159" s="14">
        <f t="shared" si="141"/>
        <v>1.856866851063998E-12</v>
      </c>
      <c r="Q159" s="22">
        <f t="shared" si="162"/>
        <v>3.4554122145673649E-12</v>
      </c>
      <c r="R159" s="62">
        <f t="shared" si="109"/>
        <v>293.33333333333678</v>
      </c>
      <c r="S159" s="62">
        <f ca="1">AVERAGE(OFFSET($R$3,0,0,'Données projet'!$E$9+1,1))-AVERAGE(OFFSET($H$3,0,0,'Données projet'!$E$9+1,1))</f>
        <v>323.98185264074681</v>
      </c>
      <c r="T159" s="62">
        <f t="shared" si="142"/>
        <v>301.22207291854005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0.36800424304774737</v>
      </c>
      <c r="AA159" s="23">
        <f>EXP(-LN(2)/25)*AA158+(1-EXP(-LN(2)/25))/(LN(2)/25)*Calculateur!V159*Calculateur!X159*VLOOKUP('Données projet'!$B$9,Paramètres!$A$1:$I$89,3,0)*0.475*44/12</f>
        <v>0.25068052495905419</v>
      </c>
      <c r="AB159" s="23">
        <f>EXP(-LN(2)/2)*AB158+(1-EXP(-LN(2)/2))/(LN(2)/2)*V159*Y159*VLOOKUP('Données projet'!$B$9,Paramètres!$A$1:$I$89,3,0)*0.475*44/12</f>
        <v>6.6004137698147095E-19</v>
      </c>
      <c r="AC159" s="24">
        <f t="shared" si="163"/>
        <v>0.6186847680068015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1.7053025658242404E-13</v>
      </c>
      <c r="AJ159" s="14">
        <f>AI159*VLOOKUP('Données projet'!$B$10,Paramètres!$A$1:$I$89,3,0)*VLOOKUP('Données projet'!$B$10,Paramètres!$A$1:$I$89,5,0)</f>
        <v>7.9808160080574461E-14</v>
      </c>
      <c r="AK159" s="14">
        <f t="shared" si="164"/>
        <v>1.2308384591775343E-12</v>
      </c>
      <c r="AL159" s="22">
        <f t="shared" si="165"/>
        <v>2.282709528541206E-12</v>
      </c>
      <c r="AM159" s="62">
        <f t="shared" si="113"/>
        <v>293.33333333333559</v>
      </c>
      <c r="AN159" s="62">
        <f ca="1">AVERAGE(OFFSET($AM$3,0,0,'Données projet'!$E$10+1,1))-AVERAGE(OFFSET($H$3,0,0,'Données projet'!$E$10+1,1))</f>
        <v>276.78862011733338</v>
      </c>
      <c r="AO159" s="62">
        <f t="shared" si="144"/>
        <v>202.1678469635836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-8.7434273154940449E-13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428.8489304403459</v>
      </c>
      <c r="BJ159" s="62">
        <f t="shared" si="146"/>
        <v>247.01165577562966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-2.8421709430404007E-13</v>
      </c>
      <c r="BZ159" s="14">
        <f>BY159*VLOOKUP('Données projet'!$B$12,Paramètres!$A$1:$I$89,3,0)*VLOOKUP('Données projet'!$B$12,Paramètres!$A$1:$I$89,5,0)</f>
        <v>-1.69961822393816E-13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289.12367833861299</v>
      </c>
      <c r="CE159" s="62">
        <f t="shared" si="148"/>
        <v>229.06617320689003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4.4960076005342886E-19</v>
      </c>
      <c r="CN159" s="24">
        <f t="shared" si="172"/>
        <v>4.4960076005342886E-19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-4.5224624045658861E-14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370.59298168107364</v>
      </c>
      <c r="CZ159" s="62">
        <f t="shared" si="150"/>
        <v>404.61777090709171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-5.6843418860808015E-14</v>
      </c>
      <c r="DP159" s="18">
        <f>DO159*VLOOKUP('Données projet'!$B$14,Paramètres!$A$1:$I$89,3,0)*VLOOKUP('Données projet'!$B$14,Paramètres!$A$1:$I$89,5,0)</f>
        <v>-4.9658410716801891E-14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341.65872153228599</v>
      </c>
      <c r="DU159" s="62">
        <f t="shared" si="152"/>
        <v>339.49697153894937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1.7053025658242404E-13</v>
      </c>
      <c r="EK159" s="18">
        <f>EJ159*VLOOKUP('Données projet'!$B$15,Paramètres!$A$1:$I$89,3,0)*VLOOKUP('Données projet'!$B$15,Paramètres!$A$1:$I$89,5,0)</f>
        <v>1.1439169611549005E-13</v>
      </c>
      <c r="EL159" s="14">
        <f t="shared" si="179"/>
        <v>1.6918016515029816E-12</v>
      </c>
      <c r="EM159" s="22">
        <f t="shared" si="180"/>
        <v>3.1457867471021712E-12</v>
      </c>
      <c r="EN159" s="62">
        <f t="shared" si="128"/>
        <v>293.33333333333644</v>
      </c>
      <c r="EO159" s="62">
        <f ca="1">AVERAGE(OFFSET($EN$3,0,0,'Données projet'!$E$15+1,1))-AVERAGE(OFFSET($H$3,0,0,'Données projet'!$E$15+1,1))</f>
        <v>312.06797204903796</v>
      </c>
      <c r="EP159" s="62">
        <f t="shared" si="154"/>
        <v>258.20189001775151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-9.6633812063373625E-13</v>
      </c>
      <c r="FF159" s="18">
        <f>FE159*VLOOKUP('Données projet'!$B$16,Paramètres!$A$1:$I$89,3,0)*VLOOKUP('Données projet'!$B$16,Paramètres!$A$1:$I$89,5,0)</f>
        <v>-9.3464223027694966E-13</v>
      </c>
      <c r="FG159" s="14" t="e">
        <f t="shared" si="182"/>
        <v>#NUM!</v>
      </c>
      <c r="FH159" s="22" t="e">
        <f t="shared" si="183"/>
        <v>#NUM!</v>
      </c>
      <c r="FI159" s="62" t="e">
        <f t="shared" si="131"/>
        <v>#NUM!</v>
      </c>
      <c r="FJ159" s="62">
        <f ca="1">AVERAGE(OFFSET($FI$3,0,0,'Données projet'!$E$16+1,1))-AVERAGE(OFFSET($H$3,0,0,'Données projet'!$E$16+1,1))</f>
        <v>455.50822833641354</v>
      </c>
      <c r="FK159" s="62">
        <f t="shared" si="156"/>
        <v>261.14722581688039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2.2737367544323206E-13</v>
      </c>
      <c r="O160" s="14">
        <f>N160*VLOOKUP('Données projet'!$B$9,Paramètres!$A$1:$I$89,3,0)*VLOOKUP('Données projet'!$B$9,Paramètres!$A$1:$I$89,5,0)</f>
        <v>1.2710188457276673E-13</v>
      </c>
      <c r="P160" s="14">
        <f t="shared" si="141"/>
        <v>1.856866851063998E-12</v>
      </c>
      <c r="Q160" s="22">
        <f t="shared" si="162"/>
        <v>3.4554122145673649E-12</v>
      </c>
      <c r="R160" s="62">
        <f t="shared" si="109"/>
        <v>293.33333333333678</v>
      </c>
      <c r="S160" s="62">
        <f ca="1">AVERAGE(OFFSET($R$3,0,0,'Données projet'!$E$9+1,1))-AVERAGE(OFFSET($H$3,0,0,'Données projet'!$E$9+1,1))</f>
        <v>323.98185264074681</v>
      </c>
      <c r="T160" s="62">
        <f t="shared" si="142"/>
        <v>301.22207291854005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0.36078790430200569</v>
      </c>
      <c r="AA160" s="23">
        <f>EXP(-LN(2)/25)*AA159+(1-EXP(-LN(2)/25))/(LN(2)/25)*Calculateur!V160*Calculateur!X160*VLOOKUP('Données projet'!$B$9,Paramètres!$A$1:$I$89,3,0)*0.475*44/12</f>
        <v>0.24382565282133298</v>
      </c>
      <c r="AB160" s="23">
        <f>EXP(-LN(2)/2)*AB159+(1-EXP(-LN(2)/2))/(LN(2)/2)*V160*Y160*VLOOKUP('Données projet'!$B$9,Paramètres!$A$1:$I$89,3,0)*0.475*44/12</f>
        <v>4.667197335273045E-19</v>
      </c>
      <c r="AC160" s="24">
        <f t="shared" si="163"/>
        <v>0.60461355712333864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1.7053025658242404E-13</v>
      </c>
      <c r="AJ160" s="14">
        <f>AI160*VLOOKUP('Données projet'!$B$10,Paramètres!$A$1:$I$89,3,0)*VLOOKUP('Données projet'!$B$10,Paramètres!$A$1:$I$89,5,0)</f>
        <v>7.9808160080574461E-14</v>
      </c>
      <c r="AK160" s="14">
        <f t="shared" si="164"/>
        <v>1.2308384591775343E-12</v>
      </c>
      <c r="AL160" s="22">
        <f t="shared" si="165"/>
        <v>2.282709528541206E-12</v>
      </c>
      <c r="AM160" s="62">
        <f t="shared" si="113"/>
        <v>293.33333333333559</v>
      </c>
      <c r="AN160" s="62">
        <f ca="1">AVERAGE(OFFSET($AM$3,0,0,'Données projet'!$E$10+1,1))-AVERAGE(OFFSET($H$3,0,0,'Données projet'!$E$10+1,1))</f>
        <v>276.78862011733338</v>
      </c>
      <c r="AO160" s="62">
        <f t="shared" si="144"/>
        <v>202.1678469635836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-8.7434273154940449E-13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428.8489304403459</v>
      </c>
      <c r="BJ160" s="62">
        <f t="shared" si="146"/>
        <v>247.01165577562966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-2.8421709430404007E-13</v>
      </c>
      <c r="BZ160" s="14">
        <f>BY160*VLOOKUP('Données projet'!$B$12,Paramètres!$A$1:$I$89,3,0)*VLOOKUP('Données projet'!$B$12,Paramètres!$A$1:$I$89,5,0)</f>
        <v>-1.69961822393816E-13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289.12367833861299</v>
      </c>
      <c r="CE160" s="62">
        <f t="shared" si="148"/>
        <v>229.06617320689003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3.1791574626040538E-19</v>
      </c>
      <c r="CN160" s="24">
        <f t="shared" si="172"/>
        <v>3.1791574626040538E-19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-4.5224624045658861E-14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370.59298168107364</v>
      </c>
      <c r="CZ160" s="62">
        <f t="shared" si="150"/>
        <v>404.61777090709171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-5.6843418860808015E-14</v>
      </c>
      <c r="DP160" s="18">
        <f>DO160*VLOOKUP('Données projet'!$B$14,Paramètres!$A$1:$I$89,3,0)*VLOOKUP('Données projet'!$B$14,Paramètres!$A$1:$I$89,5,0)</f>
        <v>-4.9658410716801891E-14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341.65872153228599</v>
      </c>
      <c r="DU160" s="62">
        <f t="shared" si="152"/>
        <v>339.49697153894937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1.7053025658242404E-13</v>
      </c>
      <c r="EK160" s="18">
        <f>EJ160*VLOOKUP('Données projet'!$B$15,Paramètres!$A$1:$I$89,3,0)*VLOOKUP('Données projet'!$B$15,Paramètres!$A$1:$I$89,5,0)</f>
        <v>1.1439169611549005E-13</v>
      </c>
      <c r="EL160" s="14">
        <f t="shared" si="179"/>
        <v>1.6918016515029816E-12</v>
      </c>
      <c r="EM160" s="22">
        <f t="shared" si="180"/>
        <v>3.1457867471021712E-12</v>
      </c>
      <c r="EN160" s="62">
        <f t="shared" si="128"/>
        <v>293.33333333333644</v>
      </c>
      <c r="EO160" s="62">
        <f ca="1">AVERAGE(OFFSET($EN$3,0,0,'Données projet'!$E$15+1,1))-AVERAGE(OFFSET($H$3,0,0,'Données projet'!$E$15+1,1))</f>
        <v>312.06797204903796</v>
      </c>
      <c r="EP160" s="62">
        <f t="shared" si="154"/>
        <v>258.20189001775151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-9.6633812063373625E-13</v>
      </c>
      <c r="FF160" s="18">
        <f>FE160*VLOOKUP('Données projet'!$B$16,Paramètres!$A$1:$I$89,3,0)*VLOOKUP('Données projet'!$B$16,Paramètres!$A$1:$I$89,5,0)</f>
        <v>-9.3464223027694966E-13</v>
      </c>
      <c r="FG160" s="14" t="e">
        <f t="shared" si="182"/>
        <v>#NUM!</v>
      </c>
      <c r="FH160" s="22" t="e">
        <f t="shared" si="183"/>
        <v>#NUM!</v>
      </c>
      <c r="FI160" s="62" t="e">
        <f t="shared" si="131"/>
        <v>#NUM!</v>
      </c>
      <c r="FJ160" s="62">
        <f ca="1">AVERAGE(OFFSET($FI$3,0,0,'Données projet'!$E$16+1,1))-AVERAGE(OFFSET($H$3,0,0,'Données projet'!$E$16+1,1))</f>
        <v>455.50822833641354</v>
      </c>
      <c r="FK160" s="62">
        <f t="shared" si="156"/>
        <v>261.14722581688039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2.2737367544323206E-13</v>
      </c>
      <c r="O161" s="14">
        <f>N161*VLOOKUP('Données projet'!$B$9,Paramètres!$A$1:$I$89,3,0)*VLOOKUP('Données projet'!$B$9,Paramètres!$A$1:$I$89,5,0)</f>
        <v>1.2710188457276673E-13</v>
      </c>
      <c r="P161" s="14">
        <f t="shared" si="141"/>
        <v>1.856866851063998E-12</v>
      </c>
      <c r="Q161" s="22">
        <f t="shared" si="162"/>
        <v>3.4554122145673649E-12</v>
      </c>
      <c r="R161" s="62">
        <f t="shared" si="109"/>
        <v>293.33333333333678</v>
      </c>
      <c r="S161" s="62">
        <f ca="1">AVERAGE(OFFSET($R$3,0,0,'Données projet'!$E$9+1,1))-AVERAGE(OFFSET($H$3,0,0,'Données projet'!$E$9+1,1))</f>
        <v>323.98185264074681</v>
      </c>
      <c r="T161" s="62">
        <f t="shared" si="142"/>
        <v>301.22207291854005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0.35371307355753595</v>
      </c>
      <c r="AA161" s="23">
        <f>EXP(-LN(2)/25)*AA160+(1-EXP(-LN(2)/25))/(LN(2)/25)*Calculateur!V161*Calculateur!X161*VLOOKUP('Données projet'!$B$9,Paramètres!$A$1:$I$89,3,0)*0.475*44/12</f>
        <v>0.23715822752269983</v>
      </c>
      <c r="AB161" s="23">
        <f>EXP(-LN(2)/2)*AB160+(1-EXP(-LN(2)/2))/(LN(2)/2)*V161*Y161*VLOOKUP('Données projet'!$B$9,Paramètres!$A$1:$I$89,3,0)*0.475*44/12</f>
        <v>3.3002068849073547E-19</v>
      </c>
      <c r="AC161" s="24">
        <f t="shared" si="163"/>
        <v>0.59087130108023578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1.7053025658242404E-13</v>
      </c>
      <c r="AJ161" s="14">
        <f>AI161*VLOOKUP('Données projet'!$B$10,Paramètres!$A$1:$I$89,3,0)*VLOOKUP('Données projet'!$B$10,Paramètres!$A$1:$I$89,5,0)</f>
        <v>7.9808160080574461E-14</v>
      </c>
      <c r="AK161" s="14">
        <f t="shared" si="164"/>
        <v>1.2308384591775343E-12</v>
      </c>
      <c r="AL161" s="22">
        <f t="shared" si="165"/>
        <v>2.282709528541206E-12</v>
      </c>
      <c r="AM161" s="62">
        <f t="shared" si="113"/>
        <v>293.33333333333559</v>
      </c>
      <c r="AN161" s="62">
        <f ca="1">AVERAGE(OFFSET($AM$3,0,0,'Données projet'!$E$10+1,1))-AVERAGE(OFFSET($H$3,0,0,'Données projet'!$E$10+1,1))</f>
        <v>276.78862011733338</v>
      </c>
      <c r="AO161" s="62">
        <f t="shared" si="144"/>
        <v>202.1678469635836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-8.7434273154940449E-13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428.8489304403459</v>
      </c>
      <c r="BJ161" s="62">
        <f t="shared" si="146"/>
        <v>247.01165577562966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-2.8421709430404007E-13</v>
      </c>
      <c r="BZ161" s="14">
        <f>BY161*VLOOKUP('Données projet'!$B$12,Paramètres!$A$1:$I$89,3,0)*VLOOKUP('Données projet'!$B$12,Paramètres!$A$1:$I$89,5,0)</f>
        <v>-1.69961822393816E-13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289.12367833861299</v>
      </c>
      <c r="CE161" s="62">
        <f t="shared" si="148"/>
        <v>229.06617320689003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2.2480038002671443E-19</v>
      </c>
      <c r="CN161" s="24">
        <f t="shared" si="172"/>
        <v>2.2480038002671443E-19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-4.5224624045658861E-14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370.59298168107364</v>
      </c>
      <c r="CZ161" s="62">
        <f t="shared" si="150"/>
        <v>404.61777090709171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-5.6843418860808015E-14</v>
      </c>
      <c r="DP161" s="18">
        <f>DO161*VLOOKUP('Données projet'!$B$14,Paramètres!$A$1:$I$89,3,0)*VLOOKUP('Données projet'!$B$14,Paramètres!$A$1:$I$89,5,0)</f>
        <v>-4.9658410716801891E-14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341.65872153228599</v>
      </c>
      <c r="DU161" s="62">
        <f t="shared" si="152"/>
        <v>339.49697153894937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1.7053025658242404E-13</v>
      </c>
      <c r="EK161" s="18">
        <f>EJ161*VLOOKUP('Données projet'!$B$15,Paramètres!$A$1:$I$89,3,0)*VLOOKUP('Données projet'!$B$15,Paramètres!$A$1:$I$89,5,0)</f>
        <v>1.1439169611549005E-13</v>
      </c>
      <c r="EL161" s="14">
        <f t="shared" si="179"/>
        <v>1.6918016515029816E-12</v>
      </c>
      <c r="EM161" s="22">
        <f t="shared" si="180"/>
        <v>3.1457867471021712E-12</v>
      </c>
      <c r="EN161" s="62">
        <f t="shared" si="128"/>
        <v>293.33333333333644</v>
      </c>
      <c r="EO161" s="62">
        <f ca="1">AVERAGE(OFFSET($EN$3,0,0,'Données projet'!$E$15+1,1))-AVERAGE(OFFSET($H$3,0,0,'Données projet'!$E$15+1,1))</f>
        <v>312.06797204903796</v>
      </c>
      <c r="EP161" s="62">
        <f t="shared" si="154"/>
        <v>258.20189001775151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-9.6633812063373625E-13</v>
      </c>
      <c r="FF161" s="18">
        <f>FE161*VLOOKUP('Données projet'!$B$16,Paramètres!$A$1:$I$89,3,0)*VLOOKUP('Données projet'!$B$16,Paramètres!$A$1:$I$89,5,0)</f>
        <v>-9.3464223027694966E-13</v>
      </c>
      <c r="FG161" s="14" t="e">
        <f t="shared" si="182"/>
        <v>#NUM!</v>
      </c>
      <c r="FH161" s="22" t="e">
        <f t="shared" si="183"/>
        <v>#NUM!</v>
      </c>
      <c r="FI161" s="62" t="e">
        <f t="shared" si="131"/>
        <v>#NUM!</v>
      </c>
      <c r="FJ161" s="62">
        <f ca="1">AVERAGE(OFFSET($FI$3,0,0,'Données projet'!$E$16+1,1))-AVERAGE(OFFSET($H$3,0,0,'Données projet'!$E$16+1,1))</f>
        <v>455.50822833641354</v>
      </c>
      <c r="FK161" s="62">
        <f t="shared" si="156"/>
        <v>261.14722581688039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2.2737367544323206E-13</v>
      </c>
      <c r="O162" s="14">
        <f>N162*VLOOKUP('Données projet'!$B$9,Paramètres!$A$1:$I$89,3,0)*VLOOKUP('Données projet'!$B$9,Paramètres!$A$1:$I$89,5,0)</f>
        <v>1.2710188457276673E-13</v>
      </c>
      <c r="P162" s="14">
        <f t="shared" si="141"/>
        <v>1.856866851063998E-12</v>
      </c>
      <c r="Q162" s="22">
        <f t="shared" si="162"/>
        <v>3.4554122145673649E-12</v>
      </c>
      <c r="R162" s="62">
        <f t="shared" si="109"/>
        <v>293.33333333333678</v>
      </c>
      <c r="S162" s="62">
        <f ca="1">AVERAGE(OFFSET($R$3,0,0,'Données projet'!$E$9+1,1))-AVERAGE(OFFSET($H$3,0,0,'Données projet'!$E$9+1,1))</f>
        <v>323.98185264074681</v>
      </c>
      <c r="T162" s="62">
        <f t="shared" si="142"/>
        <v>301.22207291854005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0.34677697592874462</v>
      </c>
      <c r="AA162" s="23">
        <f>EXP(-LN(2)/25)*AA161+(1-EXP(-LN(2)/25))/(LN(2)/25)*Calculateur!V162*Calculateur!X162*VLOOKUP('Données projet'!$B$9,Paramètres!$A$1:$I$89,3,0)*0.475*44/12</f>
        <v>0.23067312331948245</v>
      </c>
      <c r="AB162" s="23">
        <f>EXP(-LN(2)/2)*AB161+(1-EXP(-LN(2)/2))/(LN(2)/2)*V162*Y162*VLOOKUP('Données projet'!$B$9,Paramètres!$A$1:$I$89,3,0)*0.475*44/12</f>
        <v>2.3335986676365225E-19</v>
      </c>
      <c r="AC162" s="24">
        <f t="shared" si="163"/>
        <v>0.5774500992482271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1.7053025658242404E-13</v>
      </c>
      <c r="AJ162" s="14">
        <f>AI162*VLOOKUP('Données projet'!$B$10,Paramètres!$A$1:$I$89,3,0)*VLOOKUP('Données projet'!$B$10,Paramètres!$A$1:$I$89,5,0)</f>
        <v>7.9808160080574461E-14</v>
      </c>
      <c r="AK162" s="14">
        <f t="shared" si="164"/>
        <v>1.2308384591775343E-12</v>
      </c>
      <c r="AL162" s="22">
        <f t="shared" si="165"/>
        <v>2.282709528541206E-12</v>
      </c>
      <c r="AM162" s="62">
        <f t="shared" si="113"/>
        <v>293.33333333333559</v>
      </c>
      <c r="AN162" s="62">
        <f ca="1">AVERAGE(OFFSET($AM$3,0,0,'Données projet'!$E$10+1,1))-AVERAGE(OFFSET($H$3,0,0,'Données projet'!$E$10+1,1))</f>
        <v>276.78862011733338</v>
      </c>
      <c r="AO162" s="62">
        <f t="shared" si="144"/>
        <v>202.1678469635836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-8.7434273154940449E-13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428.8489304403459</v>
      </c>
      <c r="BJ162" s="62">
        <f t="shared" si="146"/>
        <v>247.01165577562966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-2.8421709430404007E-13</v>
      </c>
      <c r="BZ162" s="14">
        <f>BY162*VLOOKUP('Données projet'!$B$12,Paramètres!$A$1:$I$89,3,0)*VLOOKUP('Données projet'!$B$12,Paramètres!$A$1:$I$89,5,0)</f>
        <v>-1.69961822393816E-13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289.12367833861299</v>
      </c>
      <c r="CE162" s="62">
        <f t="shared" si="148"/>
        <v>229.06617320689003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1.5895787313020269E-19</v>
      </c>
      <c r="CN162" s="24">
        <f t="shared" si="172"/>
        <v>1.5895787313020269E-19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-4.5224624045658861E-14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370.59298168107364</v>
      </c>
      <c r="CZ162" s="62">
        <f t="shared" si="150"/>
        <v>404.61777090709171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-5.6843418860808015E-14</v>
      </c>
      <c r="DP162" s="18">
        <f>DO162*VLOOKUP('Données projet'!$B$14,Paramètres!$A$1:$I$89,3,0)*VLOOKUP('Données projet'!$B$14,Paramètres!$A$1:$I$89,5,0)</f>
        <v>-4.9658410716801891E-14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341.65872153228599</v>
      </c>
      <c r="DU162" s="62">
        <f t="shared" si="152"/>
        <v>339.49697153894937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1.7053025658242404E-13</v>
      </c>
      <c r="EK162" s="18">
        <f>EJ162*VLOOKUP('Données projet'!$B$15,Paramètres!$A$1:$I$89,3,0)*VLOOKUP('Données projet'!$B$15,Paramètres!$A$1:$I$89,5,0)</f>
        <v>1.1439169611549005E-13</v>
      </c>
      <c r="EL162" s="14">
        <f t="shared" si="179"/>
        <v>1.6918016515029816E-12</v>
      </c>
      <c r="EM162" s="22">
        <f t="shared" si="180"/>
        <v>3.1457867471021712E-12</v>
      </c>
      <c r="EN162" s="62">
        <f t="shared" si="128"/>
        <v>293.33333333333644</v>
      </c>
      <c r="EO162" s="62">
        <f ca="1">AVERAGE(OFFSET($EN$3,0,0,'Données projet'!$E$15+1,1))-AVERAGE(OFFSET($H$3,0,0,'Données projet'!$E$15+1,1))</f>
        <v>312.06797204903796</v>
      </c>
      <c r="EP162" s="62">
        <f t="shared" si="154"/>
        <v>258.20189001775151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-9.6633812063373625E-13</v>
      </c>
      <c r="FF162" s="18">
        <f>FE162*VLOOKUP('Données projet'!$B$16,Paramètres!$A$1:$I$89,3,0)*VLOOKUP('Données projet'!$B$16,Paramètres!$A$1:$I$89,5,0)</f>
        <v>-9.3464223027694966E-13</v>
      </c>
      <c r="FG162" s="14" t="e">
        <f t="shared" si="182"/>
        <v>#NUM!</v>
      </c>
      <c r="FH162" s="22" t="e">
        <f t="shared" si="183"/>
        <v>#NUM!</v>
      </c>
      <c r="FI162" s="62" t="e">
        <f t="shared" si="131"/>
        <v>#NUM!</v>
      </c>
      <c r="FJ162" s="62">
        <f ca="1">AVERAGE(OFFSET($FI$3,0,0,'Données projet'!$E$16+1,1))-AVERAGE(OFFSET($H$3,0,0,'Données projet'!$E$16+1,1))</f>
        <v>455.50822833641354</v>
      </c>
      <c r="FK162" s="62">
        <f t="shared" si="156"/>
        <v>261.14722581688039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2.2737367544323206E-13</v>
      </c>
      <c r="O163" s="14">
        <f>N163*VLOOKUP('Données projet'!$B$9,Paramètres!$A$1:$I$89,3,0)*VLOOKUP('Données projet'!$B$9,Paramètres!$A$1:$I$89,5,0)</f>
        <v>1.2710188457276673E-13</v>
      </c>
      <c r="P163" s="14">
        <f t="shared" si="141"/>
        <v>1.856866851063998E-12</v>
      </c>
      <c r="Q163" s="22">
        <f t="shared" si="162"/>
        <v>3.4554122145673649E-12</v>
      </c>
      <c r="R163" s="62">
        <f t="shared" si="109"/>
        <v>293.33333333333678</v>
      </c>
      <c r="S163" s="62">
        <f ca="1">AVERAGE(OFFSET($R$3,0,0,'Données projet'!$E$9+1,1))-AVERAGE(OFFSET($H$3,0,0,'Données projet'!$E$9+1,1))</f>
        <v>323.98185264074681</v>
      </c>
      <c r="T163" s="62">
        <f t="shared" si="142"/>
        <v>301.22207291854005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0.33997689094385208</v>
      </c>
      <c r="AA163" s="23">
        <f>EXP(-LN(2)/25)*AA162+(1-EXP(-LN(2)/25))/(LN(2)/25)*Calculateur!V163*Calculateur!X163*VLOOKUP('Données projet'!$B$9,Paramètres!$A$1:$I$89,3,0)*0.475*44/12</f>
        <v>0.22436535463173884</v>
      </c>
      <c r="AB163" s="23">
        <f>EXP(-LN(2)/2)*AB162+(1-EXP(-LN(2)/2))/(LN(2)/2)*V163*Y163*VLOOKUP('Données projet'!$B$9,Paramètres!$A$1:$I$89,3,0)*0.475*44/12</f>
        <v>1.6501034424536774E-19</v>
      </c>
      <c r="AC163" s="24">
        <f t="shared" si="163"/>
        <v>0.56434224557559087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1.7053025658242404E-13</v>
      </c>
      <c r="AJ163" s="14">
        <f>AI163*VLOOKUP('Données projet'!$B$10,Paramètres!$A$1:$I$89,3,0)*VLOOKUP('Données projet'!$B$10,Paramètres!$A$1:$I$89,5,0)</f>
        <v>7.9808160080574461E-14</v>
      </c>
      <c r="AK163" s="14">
        <f t="shared" si="164"/>
        <v>1.2308384591775343E-12</v>
      </c>
      <c r="AL163" s="22">
        <f t="shared" si="165"/>
        <v>2.282709528541206E-12</v>
      </c>
      <c r="AM163" s="62">
        <f t="shared" si="113"/>
        <v>293.33333333333559</v>
      </c>
      <c r="AN163" s="62">
        <f ca="1">AVERAGE(OFFSET($AM$3,0,0,'Données projet'!$E$10+1,1))-AVERAGE(OFFSET($H$3,0,0,'Données projet'!$E$10+1,1))</f>
        <v>276.78862011733338</v>
      </c>
      <c r="AO163" s="62">
        <f t="shared" si="144"/>
        <v>202.1678469635836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-8.7434273154940449E-13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428.8489304403459</v>
      </c>
      <c r="BJ163" s="62">
        <f t="shared" si="146"/>
        <v>247.01165577562966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-2.8421709430404007E-13</v>
      </c>
      <c r="BZ163" s="14">
        <f>BY163*VLOOKUP('Données projet'!$B$12,Paramètres!$A$1:$I$89,3,0)*VLOOKUP('Données projet'!$B$12,Paramètres!$A$1:$I$89,5,0)</f>
        <v>-1.69961822393816E-13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289.12367833861299</v>
      </c>
      <c r="CE163" s="62">
        <f t="shared" si="148"/>
        <v>229.06617320689003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1.1240019001335722E-19</v>
      </c>
      <c r="CN163" s="24">
        <f t="shared" si="172"/>
        <v>1.1240019001335722E-19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-4.5224624045658861E-14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370.59298168107364</v>
      </c>
      <c r="CZ163" s="62">
        <f t="shared" si="150"/>
        <v>404.61777090709171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-5.6843418860808015E-14</v>
      </c>
      <c r="DP163" s="18">
        <f>DO163*VLOOKUP('Données projet'!$B$14,Paramètres!$A$1:$I$89,3,0)*VLOOKUP('Données projet'!$B$14,Paramètres!$A$1:$I$89,5,0)</f>
        <v>-4.9658410716801891E-14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341.65872153228599</v>
      </c>
      <c r="DU163" s="62">
        <f t="shared" si="152"/>
        <v>339.49697153894937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1.7053025658242404E-13</v>
      </c>
      <c r="EK163" s="18">
        <f>EJ163*VLOOKUP('Données projet'!$B$15,Paramètres!$A$1:$I$89,3,0)*VLOOKUP('Données projet'!$B$15,Paramètres!$A$1:$I$89,5,0)</f>
        <v>1.1439169611549005E-13</v>
      </c>
      <c r="EL163" s="14">
        <f t="shared" si="179"/>
        <v>1.6918016515029816E-12</v>
      </c>
      <c r="EM163" s="22">
        <f t="shared" si="180"/>
        <v>3.1457867471021712E-12</v>
      </c>
      <c r="EN163" s="62">
        <f t="shared" si="128"/>
        <v>293.33333333333644</v>
      </c>
      <c r="EO163" s="62">
        <f ca="1">AVERAGE(OFFSET($EN$3,0,0,'Données projet'!$E$15+1,1))-AVERAGE(OFFSET($H$3,0,0,'Données projet'!$E$15+1,1))</f>
        <v>312.06797204903796</v>
      </c>
      <c r="EP163" s="62">
        <f t="shared" si="154"/>
        <v>258.20189001775151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-9.6633812063373625E-13</v>
      </c>
      <c r="FF163" s="18">
        <f>FE163*VLOOKUP('Données projet'!$B$16,Paramètres!$A$1:$I$89,3,0)*VLOOKUP('Données projet'!$B$16,Paramètres!$A$1:$I$89,5,0)</f>
        <v>-9.3464223027694966E-13</v>
      </c>
      <c r="FG163" s="14" t="e">
        <f t="shared" si="182"/>
        <v>#NUM!</v>
      </c>
      <c r="FH163" s="22" t="e">
        <f t="shared" si="183"/>
        <v>#NUM!</v>
      </c>
      <c r="FI163" s="62" t="e">
        <f t="shared" si="131"/>
        <v>#NUM!</v>
      </c>
      <c r="FJ163" s="62">
        <f ca="1">AVERAGE(OFFSET($FI$3,0,0,'Données projet'!$E$16+1,1))-AVERAGE(OFFSET($H$3,0,0,'Données projet'!$E$16+1,1))</f>
        <v>455.50822833641354</v>
      </c>
      <c r="FK163" s="62">
        <f t="shared" si="156"/>
        <v>261.14722581688039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2.2737367544323206E-13</v>
      </c>
      <c r="O164" s="14">
        <f>N164*VLOOKUP('Données projet'!$B$9,Paramètres!$A$1:$I$89,3,0)*VLOOKUP('Données projet'!$B$9,Paramètres!$A$1:$I$89,5,0)</f>
        <v>1.2710188457276673E-13</v>
      </c>
      <c r="P164" s="14">
        <f t="shared" si="141"/>
        <v>1.856866851063998E-12</v>
      </c>
      <c r="Q164" s="22">
        <f t="shared" si="162"/>
        <v>3.4554122145673649E-12</v>
      </c>
      <c r="R164" s="62">
        <f t="shared" si="109"/>
        <v>293.33333333333678</v>
      </c>
      <c r="S164" s="62">
        <f ca="1">AVERAGE(OFFSET($R$3,0,0,'Données projet'!$E$9+1,1))-AVERAGE(OFFSET($H$3,0,0,'Données projet'!$E$9+1,1))</f>
        <v>323.98185264074681</v>
      </c>
      <c r="T164" s="62">
        <f t="shared" si="142"/>
        <v>301.22207291854005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0.33331015147787096</v>
      </c>
      <c r="AA164" s="23">
        <f>EXP(-LN(2)/25)*AA163+(1-EXP(-LN(2)/25))/(LN(2)/25)*Calculateur!V164*Calculateur!X164*VLOOKUP('Données projet'!$B$9,Paramètres!$A$1:$I$89,3,0)*0.475*44/12</f>
        <v>0.21823007221047275</v>
      </c>
      <c r="AB164" s="23">
        <f>EXP(-LN(2)/2)*AB163+(1-EXP(-LN(2)/2))/(LN(2)/2)*V164*Y164*VLOOKUP('Données projet'!$B$9,Paramètres!$A$1:$I$89,3,0)*0.475*44/12</f>
        <v>1.1667993338182612E-19</v>
      </c>
      <c r="AC164" s="24">
        <f t="shared" si="163"/>
        <v>0.55154022368834377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1.7053025658242404E-13</v>
      </c>
      <c r="AJ164" s="14">
        <f>AI164*VLOOKUP('Données projet'!$B$10,Paramètres!$A$1:$I$89,3,0)*VLOOKUP('Données projet'!$B$10,Paramètres!$A$1:$I$89,5,0)</f>
        <v>7.9808160080574461E-14</v>
      </c>
      <c r="AK164" s="14">
        <f t="shared" si="164"/>
        <v>1.2308384591775343E-12</v>
      </c>
      <c r="AL164" s="22">
        <f t="shared" si="165"/>
        <v>2.282709528541206E-12</v>
      </c>
      <c r="AM164" s="62">
        <f t="shared" si="113"/>
        <v>293.33333333333559</v>
      </c>
      <c r="AN164" s="62">
        <f ca="1">AVERAGE(OFFSET($AM$3,0,0,'Données projet'!$E$10+1,1))-AVERAGE(OFFSET($H$3,0,0,'Données projet'!$E$10+1,1))</f>
        <v>276.78862011733338</v>
      </c>
      <c r="AO164" s="62">
        <f t="shared" si="144"/>
        <v>202.1678469635836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-8.7434273154940449E-13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428.8489304403459</v>
      </c>
      <c r="BJ164" s="62">
        <f t="shared" si="146"/>
        <v>247.01165577562966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-2.8421709430404007E-13</v>
      </c>
      <c r="BZ164" s="14">
        <f>BY164*VLOOKUP('Données projet'!$B$12,Paramètres!$A$1:$I$89,3,0)*VLOOKUP('Données projet'!$B$12,Paramètres!$A$1:$I$89,5,0)</f>
        <v>-1.69961822393816E-13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289.12367833861299</v>
      </c>
      <c r="CE164" s="62">
        <f t="shared" si="148"/>
        <v>229.06617320689003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7.9478936565101346E-20</v>
      </c>
      <c r="CN164" s="24">
        <f t="shared" si="172"/>
        <v>7.9478936565101346E-20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-4.5224624045658861E-14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370.59298168107364</v>
      </c>
      <c r="CZ164" s="62">
        <f t="shared" si="150"/>
        <v>404.61777090709171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-5.6843418860808015E-14</v>
      </c>
      <c r="DP164" s="18">
        <f>DO164*VLOOKUP('Données projet'!$B$14,Paramètres!$A$1:$I$89,3,0)*VLOOKUP('Données projet'!$B$14,Paramètres!$A$1:$I$89,5,0)</f>
        <v>-4.9658410716801891E-14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341.65872153228599</v>
      </c>
      <c r="DU164" s="62">
        <f t="shared" si="152"/>
        <v>339.49697153894937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1.7053025658242404E-13</v>
      </c>
      <c r="EK164" s="18">
        <f>EJ164*VLOOKUP('Données projet'!$B$15,Paramètres!$A$1:$I$89,3,0)*VLOOKUP('Données projet'!$B$15,Paramètres!$A$1:$I$89,5,0)</f>
        <v>1.1439169611549005E-13</v>
      </c>
      <c r="EL164" s="14">
        <f t="shared" si="179"/>
        <v>1.6918016515029816E-12</v>
      </c>
      <c r="EM164" s="22">
        <f t="shared" si="180"/>
        <v>3.1457867471021712E-12</v>
      </c>
      <c r="EN164" s="62">
        <f t="shared" si="128"/>
        <v>293.33333333333644</v>
      </c>
      <c r="EO164" s="62">
        <f ca="1">AVERAGE(OFFSET($EN$3,0,0,'Données projet'!$E$15+1,1))-AVERAGE(OFFSET($H$3,0,0,'Données projet'!$E$15+1,1))</f>
        <v>312.06797204903796</v>
      </c>
      <c r="EP164" s="62">
        <f t="shared" si="154"/>
        <v>258.20189001775151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-9.6633812063373625E-13</v>
      </c>
      <c r="FF164" s="18">
        <f>FE164*VLOOKUP('Données projet'!$B$16,Paramètres!$A$1:$I$89,3,0)*VLOOKUP('Données projet'!$B$16,Paramètres!$A$1:$I$89,5,0)</f>
        <v>-9.3464223027694966E-13</v>
      </c>
      <c r="FG164" s="14" t="e">
        <f t="shared" si="182"/>
        <v>#NUM!</v>
      </c>
      <c r="FH164" s="22" t="e">
        <f t="shared" si="183"/>
        <v>#NUM!</v>
      </c>
      <c r="FI164" s="62" t="e">
        <f t="shared" si="131"/>
        <v>#NUM!</v>
      </c>
      <c r="FJ164" s="62">
        <f ca="1">AVERAGE(OFFSET($FI$3,0,0,'Données projet'!$E$16+1,1))-AVERAGE(OFFSET($H$3,0,0,'Données projet'!$E$16+1,1))</f>
        <v>455.50822833641354</v>
      </c>
      <c r="FK164" s="62">
        <f t="shared" si="156"/>
        <v>261.14722581688039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2.2737367544323206E-13</v>
      </c>
      <c r="O165" s="14">
        <f>N165*VLOOKUP('Données projet'!$B$9,Paramètres!$A$1:$I$89,3,0)*VLOOKUP('Données projet'!$B$9,Paramètres!$A$1:$I$89,5,0)</f>
        <v>1.2710188457276673E-13</v>
      </c>
      <c r="P165" s="14">
        <f t="shared" si="141"/>
        <v>1.856866851063998E-12</v>
      </c>
      <c r="Q165" s="22">
        <f t="shared" si="162"/>
        <v>3.4554122145673649E-12</v>
      </c>
      <c r="R165" s="62">
        <f t="shared" si="109"/>
        <v>293.33333333333678</v>
      </c>
      <c r="S165" s="62">
        <f ca="1">AVERAGE(OFFSET($R$3,0,0,'Données projet'!$E$9+1,1))-AVERAGE(OFFSET($H$3,0,0,'Données projet'!$E$9+1,1))</f>
        <v>323.98185264074681</v>
      </c>
      <c r="T165" s="62">
        <f t="shared" si="142"/>
        <v>301.22207291854005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0.32677414270650817</v>
      </c>
      <c r="AA165" s="23">
        <f>EXP(-LN(2)/25)*AA164+(1-EXP(-LN(2)/25))/(LN(2)/25)*Calculateur!V165*Calculateur!X165*VLOOKUP('Données projet'!$B$9,Paramètres!$A$1:$I$89,3,0)*0.475*44/12</f>
        <v>0.21226255940965663</v>
      </c>
      <c r="AB165" s="23">
        <f>EXP(-LN(2)/2)*AB164+(1-EXP(-LN(2)/2))/(LN(2)/2)*V165*Y165*VLOOKUP('Données projet'!$B$9,Paramètres!$A$1:$I$89,3,0)*0.475*44/12</f>
        <v>8.2505172122683869E-20</v>
      </c>
      <c r="AC165" s="24">
        <f t="shared" si="163"/>
        <v>0.53903670211616483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1.7053025658242404E-13</v>
      </c>
      <c r="AJ165" s="14">
        <f>AI165*VLOOKUP('Données projet'!$B$10,Paramètres!$A$1:$I$89,3,0)*VLOOKUP('Données projet'!$B$10,Paramètres!$A$1:$I$89,5,0)</f>
        <v>7.9808160080574461E-14</v>
      </c>
      <c r="AK165" s="14">
        <f t="shared" si="164"/>
        <v>1.2308384591775343E-12</v>
      </c>
      <c r="AL165" s="22">
        <f t="shared" si="165"/>
        <v>2.282709528541206E-12</v>
      </c>
      <c r="AM165" s="62">
        <f t="shared" si="113"/>
        <v>293.33333333333559</v>
      </c>
      <c r="AN165" s="62">
        <f ca="1">AVERAGE(OFFSET($AM$3,0,0,'Données projet'!$E$10+1,1))-AVERAGE(OFFSET($H$3,0,0,'Données projet'!$E$10+1,1))</f>
        <v>276.78862011733338</v>
      </c>
      <c r="AO165" s="62">
        <f t="shared" si="144"/>
        <v>202.1678469635836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-8.7434273154940449E-13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428.8489304403459</v>
      </c>
      <c r="BJ165" s="62">
        <f t="shared" si="146"/>
        <v>247.01165577562966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-2.8421709430404007E-13</v>
      </c>
      <c r="BZ165" s="14">
        <f>BY165*VLOOKUP('Données projet'!$B$12,Paramètres!$A$1:$I$89,3,0)*VLOOKUP('Données projet'!$B$12,Paramètres!$A$1:$I$89,5,0)</f>
        <v>-1.69961822393816E-13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289.12367833861299</v>
      </c>
      <c r="CE165" s="62">
        <f t="shared" si="148"/>
        <v>229.06617320689003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5.6200095006678608E-20</v>
      </c>
      <c r="CN165" s="24">
        <f t="shared" si="172"/>
        <v>5.6200095006678608E-20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-4.5224624045658861E-14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370.59298168107364</v>
      </c>
      <c r="CZ165" s="62">
        <f t="shared" si="150"/>
        <v>404.61777090709171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-5.6843418860808015E-14</v>
      </c>
      <c r="DP165" s="18">
        <f>DO165*VLOOKUP('Données projet'!$B$14,Paramètres!$A$1:$I$89,3,0)*VLOOKUP('Données projet'!$B$14,Paramètres!$A$1:$I$89,5,0)</f>
        <v>-4.9658410716801891E-14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341.65872153228599</v>
      </c>
      <c r="DU165" s="62">
        <f t="shared" si="152"/>
        <v>339.49697153894937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1.7053025658242404E-13</v>
      </c>
      <c r="EK165" s="18">
        <f>EJ165*VLOOKUP('Données projet'!$B$15,Paramètres!$A$1:$I$89,3,0)*VLOOKUP('Données projet'!$B$15,Paramètres!$A$1:$I$89,5,0)</f>
        <v>1.1439169611549005E-13</v>
      </c>
      <c r="EL165" s="14">
        <f t="shared" si="179"/>
        <v>1.6918016515029816E-12</v>
      </c>
      <c r="EM165" s="22">
        <f t="shared" si="180"/>
        <v>3.1457867471021712E-12</v>
      </c>
      <c r="EN165" s="62">
        <f t="shared" si="128"/>
        <v>293.33333333333644</v>
      </c>
      <c r="EO165" s="62">
        <f ca="1">AVERAGE(OFFSET($EN$3,0,0,'Données projet'!$E$15+1,1))-AVERAGE(OFFSET($H$3,0,0,'Données projet'!$E$15+1,1))</f>
        <v>312.06797204903796</v>
      </c>
      <c r="EP165" s="62">
        <f t="shared" si="154"/>
        <v>258.20189001775151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-9.6633812063373625E-13</v>
      </c>
      <c r="FF165" s="18">
        <f>FE165*VLOOKUP('Données projet'!$B$16,Paramètres!$A$1:$I$89,3,0)*VLOOKUP('Données projet'!$B$16,Paramètres!$A$1:$I$89,5,0)</f>
        <v>-9.3464223027694966E-13</v>
      </c>
      <c r="FG165" s="14" t="e">
        <f t="shared" si="182"/>
        <v>#NUM!</v>
      </c>
      <c r="FH165" s="22" t="e">
        <f t="shared" si="183"/>
        <v>#NUM!</v>
      </c>
      <c r="FI165" s="62" t="e">
        <f t="shared" si="131"/>
        <v>#NUM!</v>
      </c>
      <c r="FJ165" s="62">
        <f ca="1">AVERAGE(OFFSET($FI$3,0,0,'Données projet'!$E$16+1,1))-AVERAGE(OFFSET($H$3,0,0,'Données projet'!$E$16+1,1))</f>
        <v>455.50822833641354</v>
      </c>
      <c r="FK165" s="62">
        <f t="shared" si="156"/>
        <v>261.14722581688039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2.2737367544323206E-13</v>
      </c>
      <c r="O166" s="14">
        <f>N166*VLOOKUP('Données projet'!$B$9,Paramètres!$A$1:$I$89,3,0)*VLOOKUP('Données projet'!$B$9,Paramètres!$A$1:$I$89,5,0)</f>
        <v>1.2710188457276673E-13</v>
      </c>
      <c r="P166" s="14">
        <f t="shared" si="141"/>
        <v>1.856866851063998E-12</v>
      </c>
      <c r="Q166" s="22">
        <f t="shared" si="162"/>
        <v>3.4554122145673649E-12</v>
      </c>
      <c r="R166" s="62">
        <f t="shared" si="109"/>
        <v>293.33333333333678</v>
      </c>
      <c r="S166" s="62">
        <f ca="1">AVERAGE(OFFSET($R$3,0,0,'Données projet'!$E$9+1,1))-AVERAGE(OFFSET($H$3,0,0,'Données projet'!$E$9+1,1))</f>
        <v>323.98185264074681</v>
      </c>
      <c r="T166" s="62">
        <f t="shared" si="142"/>
        <v>301.22207291854005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0.32036630108058012</v>
      </c>
      <c r="AA166" s="23">
        <f>EXP(-LN(2)/25)*AA165+(1-EXP(-LN(2)/25))/(LN(2)/25)*Calculateur!V166*Calculateur!X166*VLOOKUP('Données projet'!$B$9,Paramètres!$A$1:$I$89,3,0)*0.475*44/12</f>
        <v>0.20645822856019672</v>
      </c>
      <c r="AB166" s="23">
        <f>EXP(-LN(2)/2)*AB165+(1-EXP(-LN(2)/2))/(LN(2)/2)*V166*Y166*VLOOKUP('Données projet'!$B$9,Paramètres!$A$1:$I$89,3,0)*0.475*44/12</f>
        <v>5.8339966690913062E-20</v>
      </c>
      <c r="AC166" s="24">
        <f t="shared" si="163"/>
        <v>0.52682452964077686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1.7053025658242404E-13</v>
      </c>
      <c r="AJ166" s="14">
        <f>AI166*VLOOKUP('Données projet'!$B$10,Paramètres!$A$1:$I$89,3,0)*VLOOKUP('Données projet'!$B$10,Paramètres!$A$1:$I$89,5,0)</f>
        <v>7.9808160080574461E-14</v>
      </c>
      <c r="AK166" s="14">
        <f t="shared" si="164"/>
        <v>1.2308384591775343E-12</v>
      </c>
      <c r="AL166" s="22">
        <f t="shared" si="165"/>
        <v>2.282709528541206E-12</v>
      </c>
      <c r="AM166" s="62">
        <f t="shared" si="113"/>
        <v>293.33333333333559</v>
      </c>
      <c r="AN166" s="62">
        <f ca="1">AVERAGE(OFFSET($AM$3,0,0,'Données projet'!$E$10+1,1))-AVERAGE(OFFSET($H$3,0,0,'Données projet'!$E$10+1,1))</f>
        <v>276.78862011733338</v>
      </c>
      <c r="AO166" s="62">
        <f t="shared" si="144"/>
        <v>202.1678469635836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-8.7434273154940449E-13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428.8489304403459</v>
      </c>
      <c r="BJ166" s="62">
        <f t="shared" si="146"/>
        <v>247.01165577562966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-2.8421709430404007E-13</v>
      </c>
      <c r="BZ166" s="14">
        <f>BY166*VLOOKUP('Données projet'!$B$12,Paramètres!$A$1:$I$89,3,0)*VLOOKUP('Données projet'!$B$12,Paramètres!$A$1:$I$89,5,0)</f>
        <v>-1.69961822393816E-13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289.12367833861299</v>
      </c>
      <c r="CE166" s="62">
        <f t="shared" si="148"/>
        <v>229.06617320689003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3.9739468282550673E-20</v>
      </c>
      <c r="CN166" s="24">
        <f t="shared" si="172"/>
        <v>3.9739468282550673E-20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-4.5224624045658861E-14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370.59298168107364</v>
      </c>
      <c r="CZ166" s="62">
        <f t="shared" si="150"/>
        <v>404.61777090709171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-5.6843418860808015E-14</v>
      </c>
      <c r="DP166" s="18">
        <f>DO166*VLOOKUP('Données projet'!$B$14,Paramètres!$A$1:$I$89,3,0)*VLOOKUP('Données projet'!$B$14,Paramètres!$A$1:$I$89,5,0)</f>
        <v>-4.9658410716801891E-14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341.65872153228599</v>
      </c>
      <c r="DU166" s="62">
        <f t="shared" si="152"/>
        <v>339.49697153894937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1.7053025658242404E-13</v>
      </c>
      <c r="EK166" s="18">
        <f>EJ166*VLOOKUP('Données projet'!$B$15,Paramètres!$A$1:$I$89,3,0)*VLOOKUP('Données projet'!$B$15,Paramètres!$A$1:$I$89,5,0)</f>
        <v>1.1439169611549005E-13</v>
      </c>
      <c r="EL166" s="14">
        <f t="shared" si="179"/>
        <v>1.6918016515029816E-12</v>
      </c>
      <c r="EM166" s="22">
        <f t="shared" si="180"/>
        <v>3.1457867471021712E-12</v>
      </c>
      <c r="EN166" s="62">
        <f t="shared" si="128"/>
        <v>293.33333333333644</v>
      </c>
      <c r="EO166" s="62">
        <f ca="1">AVERAGE(OFFSET($EN$3,0,0,'Données projet'!$E$15+1,1))-AVERAGE(OFFSET($H$3,0,0,'Données projet'!$E$15+1,1))</f>
        <v>312.06797204903796</v>
      </c>
      <c r="EP166" s="62">
        <f t="shared" si="154"/>
        <v>258.20189001775151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-9.6633812063373625E-13</v>
      </c>
      <c r="FF166" s="18">
        <f>FE166*VLOOKUP('Données projet'!$B$16,Paramètres!$A$1:$I$89,3,0)*VLOOKUP('Données projet'!$B$16,Paramètres!$A$1:$I$89,5,0)</f>
        <v>-9.3464223027694966E-13</v>
      </c>
      <c r="FG166" s="14" t="e">
        <f t="shared" si="182"/>
        <v>#NUM!</v>
      </c>
      <c r="FH166" s="22" t="e">
        <f t="shared" si="183"/>
        <v>#NUM!</v>
      </c>
      <c r="FI166" s="62" t="e">
        <f t="shared" si="131"/>
        <v>#NUM!</v>
      </c>
      <c r="FJ166" s="62">
        <f ca="1">AVERAGE(OFFSET($FI$3,0,0,'Données projet'!$E$16+1,1))-AVERAGE(OFFSET($H$3,0,0,'Données projet'!$E$16+1,1))</f>
        <v>455.50822833641354</v>
      </c>
      <c r="FK166" s="62">
        <f t="shared" si="156"/>
        <v>261.14722581688039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2.2737367544323206E-13</v>
      </c>
      <c r="O167" s="14">
        <f>N167*VLOOKUP('Données projet'!$B$9,Paramètres!$A$1:$I$89,3,0)*VLOOKUP('Données projet'!$B$9,Paramètres!$A$1:$I$89,5,0)</f>
        <v>1.2710188457276673E-13</v>
      </c>
      <c r="P167" s="14">
        <f t="shared" si="141"/>
        <v>1.856866851063998E-12</v>
      </c>
      <c r="Q167" s="22">
        <f t="shared" si="162"/>
        <v>3.4554122145673649E-12</v>
      </c>
      <c r="R167" s="62">
        <f t="shared" si="109"/>
        <v>293.33333333333678</v>
      </c>
      <c r="S167" s="62">
        <f ca="1">AVERAGE(OFFSET($R$3,0,0,'Données projet'!$E$9+1,1))-AVERAGE(OFFSET($H$3,0,0,'Données projet'!$E$9+1,1))</f>
        <v>323.98185264074681</v>
      </c>
      <c r="T167" s="62">
        <f t="shared" si="142"/>
        <v>301.22207291854005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0.31408411332053904</v>
      </c>
      <c r="AA167" s="23">
        <f>EXP(-LN(2)/25)*AA166+(1-EXP(-LN(2)/25))/(LN(2)/25)*Calculateur!V167*Calculateur!X167*VLOOKUP('Données projet'!$B$9,Paramètres!$A$1:$I$89,3,0)*0.475*44/12</f>
        <v>0.20081261744305176</v>
      </c>
      <c r="AB167" s="23">
        <f>EXP(-LN(2)/2)*AB166+(1-EXP(-LN(2)/2))/(LN(2)/2)*V167*Y167*VLOOKUP('Données projet'!$B$9,Paramètres!$A$1:$I$89,3,0)*0.475*44/12</f>
        <v>4.1252586061341934E-20</v>
      </c>
      <c r="AC167" s="24">
        <f t="shared" si="163"/>
        <v>0.51489673076359077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1.7053025658242404E-13</v>
      </c>
      <c r="AJ167" s="14">
        <f>AI167*VLOOKUP('Données projet'!$B$10,Paramètres!$A$1:$I$89,3,0)*VLOOKUP('Données projet'!$B$10,Paramètres!$A$1:$I$89,5,0)</f>
        <v>7.9808160080574461E-14</v>
      </c>
      <c r="AK167" s="14">
        <f t="shared" si="164"/>
        <v>1.2308384591775343E-12</v>
      </c>
      <c r="AL167" s="22">
        <f t="shared" si="165"/>
        <v>2.282709528541206E-12</v>
      </c>
      <c r="AM167" s="62">
        <f t="shared" si="113"/>
        <v>293.33333333333559</v>
      </c>
      <c r="AN167" s="62">
        <f ca="1">AVERAGE(OFFSET($AM$3,0,0,'Données projet'!$E$10+1,1))-AVERAGE(OFFSET($H$3,0,0,'Données projet'!$E$10+1,1))</f>
        <v>276.78862011733338</v>
      </c>
      <c r="AO167" s="62">
        <f t="shared" si="144"/>
        <v>202.1678469635836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-8.7434273154940449E-13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428.8489304403459</v>
      </c>
      <c r="BJ167" s="62">
        <f t="shared" si="146"/>
        <v>247.01165577562966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-2.8421709430404007E-13</v>
      </c>
      <c r="BZ167" s="14">
        <f>BY167*VLOOKUP('Données projet'!$B$12,Paramètres!$A$1:$I$89,3,0)*VLOOKUP('Données projet'!$B$12,Paramètres!$A$1:$I$89,5,0)</f>
        <v>-1.69961822393816E-13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289.12367833861299</v>
      </c>
      <c r="CE167" s="62">
        <f t="shared" si="148"/>
        <v>229.06617320689003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2.8100047503339304E-20</v>
      </c>
      <c r="CN167" s="24">
        <f t="shared" si="172"/>
        <v>2.8100047503339304E-20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-4.5224624045658861E-14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370.59298168107364</v>
      </c>
      <c r="CZ167" s="62">
        <f t="shared" si="150"/>
        <v>404.61777090709171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-5.6843418860808015E-14</v>
      </c>
      <c r="DP167" s="18">
        <f>DO167*VLOOKUP('Données projet'!$B$14,Paramètres!$A$1:$I$89,3,0)*VLOOKUP('Données projet'!$B$14,Paramètres!$A$1:$I$89,5,0)</f>
        <v>-4.9658410716801891E-14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341.65872153228599</v>
      </c>
      <c r="DU167" s="62">
        <f t="shared" si="152"/>
        <v>339.49697153894937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1.7053025658242404E-13</v>
      </c>
      <c r="EK167" s="18">
        <f>EJ167*VLOOKUP('Données projet'!$B$15,Paramètres!$A$1:$I$89,3,0)*VLOOKUP('Données projet'!$B$15,Paramètres!$A$1:$I$89,5,0)</f>
        <v>1.1439169611549005E-13</v>
      </c>
      <c r="EL167" s="14">
        <f t="shared" si="179"/>
        <v>1.6918016515029816E-12</v>
      </c>
      <c r="EM167" s="22">
        <f t="shared" si="180"/>
        <v>3.1457867471021712E-12</v>
      </c>
      <c r="EN167" s="62">
        <f t="shared" si="128"/>
        <v>293.33333333333644</v>
      </c>
      <c r="EO167" s="62">
        <f ca="1">AVERAGE(OFFSET($EN$3,0,0,'Données projet'!$E$15+1,1))-AVERAGE(OFFSET($H$3,0,0,'Données projet'!$E$15+1,1))</f>
        <v>312.06797204903796</v>
      </c>
      <c r="EP167" s="62">
        <f t="shared" si="154"/>
        <v>258.20189001775151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-9.6633812063373625E-13</v>
      </c>
      <c r="FF167" s="18">
        <f>FE167*VLOOKUP('Données projet'!$B$16,Paramètres!$A$1:$I$89,3,0)*VLOOKUP('Données projet'!$B$16,Paramètres!$A$1:$I$89,5,0)</f>
        <v>-9.3464223027694966E-13</v>
      </c>
      <c r="FG167" s="14" t="e">
        <f t="shared" si="182"/>
        <v>#NUM!</v>
      </c>
      <c r="FH167" s="22" t="e">
        <f t="shared" si="183"/>
        <v>#NUM!</v>
      </c>
      <c r="FI167" s="62" t="e">
        <f t="shared" si="131"/>
        <v>#NUM!</v>
      </c>
      <c r="FJ167" s="62">
        <f ca="1">AVERAGE(OFFSET($FI$3,0,0,'Données projet'!$E$16+1,1))-AVERAGE(OFFSET($H$3,0,0,'Données projet'!$E$16+1,1))</f>
        <v>455.50822833641354</v>
      </c>
      <c r="FK167" s="62">
        <f t="shared" si="156"/>
        <v>261.14722581688039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2.2737367544323206E-13</v>
      </c>
      <c r="O168" s="14">
        <f>N168*VLOOKUP('Données projet'!$B$9,Paramètres!$A$1:$I$89,3,0)*VLOOKUP('Données projet'!$B$9,Paramètres!$A$1:$I$89,5,0)</f>
        <v>1.2710188457276673E-13</v>
      </c>
      <c r="P168" s="14">
        <f t="shared" si="141"/>
        <v>1.856866851063998E-12</v>
      </c>
      <c r="Q168" s="22">
        <f t="shared" si="162"/>
        <v>3.4554122145673649E-12</v>
      </c>
      <c r="R168" s="62">
        <f t="shared" si="109"/>
        <v>293.33333333333678</v>
      </c>
      <c r="S168" s="62">
        <f ca="1">AVERAGE(OFFSET($R$3,0,0,'Données projet'!$E$9+1,1))-AVERAGE(OFFSET($H$3,0,0,'Données projet'!$E$9+1,1))</f>
        <v>323.98185264074681</v>
      </c>
      <c r="T168" s="62">
        <f t="shared" si="142"/>
        <v>301.22207291854005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0.30792511543071621</v>
      </c>
      <c r="AA168" s="23">
        <f>EXP(-LN(2)/25)*AA167+(1-EXP(-LN(2)/25))/(LN(2)/25)*Calculateur!V168*Calculateur!X168*VLOOKUP('Données projet'!$B$9,Paramètres!$A$1:$I$89,3,0)*0.475*44/12</f>
        <v>0.19532138585879491</v>
      </c>
      <c r="AB168" s="23">
        <f>EXP(-LN(2)/2)*AB167+(1-EXP(-LN(2)/2))/(LN(2)/2)*V168*Y168*VLOOKUP('Données projet'!$B$9,Paramètres!$A$1:$I$89,3,0)*0.475*44/12</f>
        <v>2.9169983345456531E-20</v>
      </c>
      <c r="AC168" s="24">
        <f t="shared" si="163"/>
        <v>0.50324650128951109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1.7053025658242404E-13</v>
      </c>
      <c r="AJ168" s="14">
        <f>AI168*VLOOKUP('Données projet'!$B$10,Paramètres!$A$1:$I$89,3,0)*VLOOKUP('Données projet'!$B$10,Paramètres!$A$1:$I$89,5,0)</f>
        <v>7.9808160080574461E-14</v>
      </c>
      <c r="AK168" s="14">
        <f t="shared" si="164"/>
        <v>1.2308384591775343E-12</v>
      </c>
      <c r="AL168" s="22">
        <f t="shared" si="165"/>
        <v>2.282709528541206E-12</v>
      </c>
      <c r="AM168" s="62">
        <f t="shared" si="113"/>
        <v>293.33333333333559</v>
      </c>
      <c r="AN168" s="62">
        <f ca="1">AVERAGE(OFFSET($AM$3,0,0,'Données projet'!$E$10+1,1))-AVERAGE(OFFSET($H$3,0,0,'Données projet'!$E$10+1,1))</f>
        <v>276.78862011733338</v>
      </c>
      <c r="AO168" s="62">
        <f t="shared" si="144"/>
        <v>202.1678469635836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-8.7434273154940449E-13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428.8489304403459</v>
      </c>
      <c r="BJ168" s="62">
        <f t="shared" si="146"/>
        <v>247.01165577562966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-2.8421709430404007E-13</v>
      </c>
      <c r="BZ168" s="14">
        <f>BY168*VLOOKUP('Données projet'!$B$12,Paramètres!$A$1:$I$89,3,0)*VLOOKUP('Données projet'!$B$12,Paramètres!$A$1:$I$89,5,0)</f>
        <v>-1.69961822393816E-13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289.12367833861299</v>
      </c>
      <c r="CE168" s="62">
        <f t="shared" si="148"/>
        <v>229.06617320689003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1.9869734141275337E-20</v>
      </c>
      <c r="CN168" s="24">
        <f t="shared" si="172"/>
        <v>1.9869734141275337E-20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-4.5224624045658861E-14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370.59298168107364</v>
      </c>
      <c r="CZ168" s="62">
        <f t="shared" si="150"/>
        <v>404.61777090709171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-5.6843418860808015E-14</v>
      </c>
      <c r="DP168" s="18">
        <f>DO168*VLOOKUP('Données projet'!$B$14,Paramètres!$A$1:$I$89,3,0)*VLOOKUP('Données projet'!$B$14,Paramètres!$A$1:$I$89,5,0)</f>
        <v>-4.9658410716801891E-14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341.65872153228599</v>
      </c>
      <c r="DU168" s="62">
        <f t="shared" si="152"/>
        <v>339.49697153894937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1.7053025658242404E-13</v>
      </c>
      <c r="EK168" s="18">
        <f>EJ168*VLOOKUP('Données projet'!$B$15,Paramètres!$A$1:$I$89,3,0)*VLOOKUP('Données projet'!$B$15,Paramètres!$A$1:$I$89,5,0)</f>
        <v>1.1439169611549005E-13</v>
      </c>
      <c r="EL168" s="14">
        <f t="shared" si="179"/>
        <v>1.6918016515029816E-12</v>
      </c>
      <c r="EM168" s="22">
        <f t="shared" si="180"/>
        <v>3.1457867471021712E-12</v>
      </c>
      <c r="EN168" s="62">
        <f t="shared" si="128"/>
        <v>293.33333333333644</v>
      </c>
      <c r="EO168" s="62">
        <f ca="1">AVERAGE(OFFSET($EN$3,0,0,'Données projet'!$E$15+1,1))-AVERAGE(OFFSET($H$3,0,0,'Données projet'!$E$15+1,1))</f>
        <v>312.06797204903796</v>
      </c>
      <c r="EP168" s="62">
        <f t="shared" si="154"/>
        <v>258.20189001775151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-9.6633812063373625E-13</v>
      </c>
      <c r="FF168" s="18">
        <f>FE168*VLOOKUP('Données projet'!$B$16,Paramètres!$A$1:$I$89,3,0)*VLOOKUP('Données projet'!$B$16,Paramètres!$A$1:$I$89,5,0)</f>
        <v>-9.3464223027694966E-13</v>
      </c>
      <c r="FG168" s="14" t="e">
        <f t="shared" si="182"/>
        <v>#NUM!</v>
      </c>
      <c r="FH168" s="22" t="e">
        <f t="shared" si="183"/>
        <v>#NUM!</v>
      </c>
      <c r="FI168" s="62" t="e">
        <f t="shared" si="131"/>
        <v>#NUM!</v>
      </c>
      <c r="FJ168" s="62">
        <f ca="1">AVERAGE(OFFSET($FI$3,0,0,'Données projet'!$E$16+1,1))-AVERAGE(OFFSET($H$3,0,0,'Données projet'!$E$16+1,1))</f>
        <v>455.50822833641354</v>
      </c>
      <c r="FK168" s="62">
        <f t="shared" si="156"/>
        <v>261.14722581688039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2.2737367544323206E-13</v>
      </c>
      <c r="O169" s="14">
        <f>N169*VLOOKUP('Données projet'!$B$9,Paramètres!$A$1:$I$89,3,0)*VLOOKUP('Données projet'!$B$9,Paramètres!$A$1:$I$89,5,0)</f>
        <v>1.2710188457276673E-13</v>
      </c>
      <c r="P169" s="14">
        <f t="shared" si="141"/>
        <v>1.856866851063998E-12</v>
      </c>
      <c r="Q169" s="22">
        <f t="shared" si="162"/>
        <v>3.4554122145673649E-12</v>
      </c>
      <c r="R169" s="62">
        <f t="shared" si="109"/>
        <v>293.33333333333678</v>
      </c>
      <c r="S169" s="62">
        <f ca="1">AVERAGE(OFFSET($R$3,0,0,'Données projet'!$E$9+1,1))-AVERAGE(OFFSET($H$3,0,0,'Données projet'!$E$9+1,1))</f>
        <v>323.98185264074681</v>
      </c>
      <c r="T169" s="62">
        <f t="shared" si="142"/>
        <v>301.22207291854005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0.30188689173289501</v>
      </c>
      <c r="AA169" s="23">
        <f>EXP(-LN(2)/25)*AA168+(1-EXP(-LN(2)/25))/(LN(2)/25)*Calculateur!V169*Calculateur!X169*VLOOKUP('Données projet'!$B$9,Paramètres!$A$1:$I$89,3,0)*0.475*44/12</f>
        <v>0.18998031229098089</v>
      </c>
      <c r="AB169" s="23">
        <f>EXP(-LN(2)/2)*AB168+(1-EXP(-LN(2)/2))/(LN(2)/2)*V169*Y169*VLOOKUP('Données projet'!$B$9,Paramètres!$A$1:$I$89,3,0)*0.475*44/12</f>
        <v>2.0626293030670967E-20</v>
      </c>
      <c r="AC169" s="24">
        <f t="shared" si="163"/>
        <v>0.4918672040238759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1.7053025658242404E-13</v>
      </c>
      <c r="AJ169" s="14">
        <f>AI169*VLOOKUP('Données projet'!$B$10,Paramètres!$A$1:$I$89,3,0)*VLOOKUP('Données projet'!$B$10,Paramètres!$A$1:$I$89,5,0)</f>
        <v>7.9808160080574461E-14</v>
      </c>
      <c r="AK169" s="14">
        <f t="shared" si="164"/>
        <v>1.2308384591775343E-12</v>
      </c>
      <c r="AL169" s="22">
        <f t="shared" si="165"/>
        <v>2.282709528541206E-12</v>
      </c>
      <c r="AM169" s="62">
        <f t="shared" si="113"/>
        <v>293.33333333333559</v>
      </c>
      <c r="AN169" s="62">
        <f ca="1">AVERAGE(OFFSET($AM$3,0,0,'Données projet'!$E$10+1,1))-AVERAGE(OFFSET($H$3,0,0,'Données projet'!$E$10+1,1))</f>
        <v>276.78862011733338</v>
      </c>
      <c r="AO169" s="62">
        <f t="shared" si="144"/>
        <v>202.1678469635836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-8.7434273154940449E-13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428.8489304403459</v>
      </c>
      <c r="BJ169" s="62">
        <f t="shared" si="146"/>
        <v>247.01165577562966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-2.8421709430404007E-13</v>
      </c>
      <c r="BZ169" s="14">
        <f>BY169*VLOOKUP('Données projet'!$B$12,Paramètres!$A$1:$I$89,3,0)*VLOOKUP('Données projet'!$B$12,Paramètres!$A$1:$I$89,5,0)</f>
        <v>-1.69961822393816E-13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289.12367833861299</v>
      </c>
      <c r="CE169" s="62">
        <f t="shared" si="148"/>
        <v>229.06617320689003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1.4050023751669652E-20</v>
      </c>
      <c r="CN169" s="24">
        <f t="shared" si="172"/>
        <v>1.4050023751669652E-20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-4.5224624045658861E-14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370.59298168107364</v>
      </c>
      <c r="CZ169" s="62">
        <f t="shared" si="150"/>
        <v>404.61777090709171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-5.6843418860808015E-14</v>
      </c>
      <c r="DP169" s="18">
        <f>DO169*VLOOKUP('Données projet'!$B$14,Paramètres!$A$1:$I$89,3,0)*VLOOKUP('Données projet'!$B$14,Paramètres!$A$1:$I$89,5,0)</f>
        <v>-4.9658410716801891E-14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341.65872153228599</v>
      </c>
      <c r="DU169" s="62">
        <f t="shared" si="152"/>
        <v>339.49697153894937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1.7053025658242404E-13</v>
      </c>
      <c r="EK169" s="18">
        <f>EJ169*VLOOKUP('Données projet'!$B$15,Paramètres!$A$1:$I$89,3,0)*VLOOKUP('Données projet'!$B$15,Paramètres!$A$1:$I$89,5,0)</f>
        <v>1.1439169611549005E-13</v>
      </c>
      <c r="EL169" s="14">
        <f t="shared" si="179"/>
        <v>1.6918016515029816E-12</v>
      </c>
      <c r="EM169" s="22">
        <f t="shared" si="180"/>
        <v>3.1457867471021712E-12</v>
      </c>
      <c r="EN169" s="62">
        <f t="shared" si="128"/>
        <v>293.33333333333644</v>
      </c>
      <c r="EO169" s="62">
        <f ca="1">AVERAGE(OFFSET($EN$3,0,0,'Données projet'!$E$15+1,1))-AVERAGE(OFFSET($H$3,0,0,'Données projet'!$E$15+1,1))</f>
        <v>312.06797204903796</v>
      </c>
      <c r="EP169" s="62">
        <f t="shared" si="154"/>
        <v>258.20189001775151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-9.6633812063373625E-13</v>
      </c>
      <c r="FF169" s="18">
        <f>FE169*VLOOKUP('Données projet'!$B$16,Paramètres!$A$1:$I$89,3,0)*VLOOKUP('Données projet'!$B$16,Paramètres!$A$1:$I$89,5,0)</f>
        <v>-9.3464223027694966E-13</v>
      </c>
      <c r="FG169" s="14" t="e">
        <f t="shared" si="182"/>
        <v>#NUM!</v>
      </c>
      <c r="FH169" s="22" t="e">
        <f t="shared" si="183"/>
        <v>#NUM!</v>
      </c>
      <c r="FI169" s="62" t="e">
        <f t="shared" si="131"/>
        <v>#NUM!</v>
      </c>
      <c r="FJ169" s="62">
        <f ca="1">AVERAGE(OFFSET($FI$3,0,0,'Données projet'!$E$16+1,1))-AVERAGE(OFFSET($H$3,0,0,'Données projet'!$E$16+1,1))</f>
        <v>455.50822833641354</v>
      </c>
      <c r="FK169" s="62">
        <f t="shared" si="156"/>
        <v>261.14722581688039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2.2737367544323206E-13</v>
      </c>
      <c r="O170" s="14">
        <f>N170*VLOOKUP('Données projet'!$B$9,Paramètres!$A$1:$I$89,3,0)*VLOOKUP('Données projet'!$B$9,Paramètres!$A$1:$I$89,5,0)</f>
        <v>1.2710188457276673E-13</v>
      </c>
      <c r="P170" s="14">
        <f t="shared" si="141"/>
        <v>1.856866851063998E-12</v>
      </c>
      <c r="Q170" s="22">
        <f t="shared" si="162"/>
        <v>3.4554122145673649E-12</v>
      </c>
      <c r="R170" s="62">
        <f t="shared" si="109"/>
        <v>293.33333333333678</v>
      </c>
      <c r="S170" s="62">
        <f ca="1">AVERAGE(OFFSET($R$3,0,0,'Données projet'!$E$9+1,1))-AVERAGE(OFFSET($H$3,0,0,'Données projet'!$E$9+1,1))</f>
        <v>323.98185264074681</v>
      </c>
      <c r="T170" s="62">
        <f t="shared" si="142"/>
        <v>301.22207291854005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0.29596707391883531</v>
      </c>
      <c r="AA170" s="23">
        <f>EXP(-LN(2)/25)*AA169+(1-EXP(-LN(2)/25))/(LN(2)/25)*Calculateur!V170*Calculateur!X170*VLOOKUP('Données projet'!$B$9,Paramètres!$A$1:$I$89,3,0)*0.475*44/12</f>
        <v>0.18478529066075361</v>
      </c>
      <c r="AB170" s="23">
        <f>EXP(-LN(2)/2)*AB169+(1-EXP(-LN(2)/2))/(LN(2)/2)*V170*Y170*VLOOKUP('Données projet'!$B$9,Paramètres!$A$1:$I$89,3,0)*0.475*44/12</f>
        <v>1.4584991672728265E-20</v>
      </c>
      <c r="AC170" s="24">
        <f t="shared" si="163"/>
        <v>0.48075236457958892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1.7053025658242404E-13</v>
      </c>
      <c r="AJ170" s="14">
        <f>AI170*VLOOKUP('Données projet'!$B$10,Paramètres!$A$1:$I$89,3,0)*VLOOKUP('Données projet'!$B$10,Paramètres!$A$1:$I$89,5,0)</f>
        <v>7.9808160080574461E-14</v>
      </c>
      <c r="AK170" s="14">
        <f t="shared" si="164"/>
        <v>1.2308384591775343E-12</v>
      </c>
      <c r="AL170" s="22">
        <f t="shared" si="165"/>
        <v>2.282709528541206E-12</v>
      </c>
      <c r="AM170" s="62">
        <f t="shared" si="113"/>
        <v>293.33333333333559</v>
      </c>
      <c r="AN170" s="62">
        <f ca="1">AVERAGE(OFFSET($AM$3,0,0,'Données projet'!$E$10+1,1))-AVERAGE(OFFSET($H$3,0,0,'Données projet'!$E$10+1,1))</f>
        <v>276.78862011733338</v>
      </c>
      <c r="AO170" s="62">
        <f t="shared" si="144"/>
        <v>202.1678469635836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-8.7434273154940449E-13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428.8489304403459</v>
      </c>
      <c r="BJ170" s="62">
        <f t="shared" si="146"/>
        <v>247.01165577562966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-2.8421709430404007E-13</v>
      </c>
      <c r="BZ170" s="14">
        <f>BY170*VLOOKUP('Données projet'!$B$12,Paramètres!$A$1:$I$89,3,0)*VLOOKUP('Données projet'!$B$12,Paramètres!$A$1:$I$89,5,0)</f>
        <v>-1.69961822393816E-13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289.12367833861299</v>
      </c>
      <c r="CE170" s="62">
        <f t="shared" si="148"/>
        <v>229.06617320689003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9.9348670706376683E-21</v>
      </c>
      <c r="CN170" s="24">
        <f t="shared" si="172"/>
        <v>9.9348670706376683E-21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-4.5224624045658861E-14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370.59298168107364</v>
      </c>
      <c r="CZ170" s="62">
        <f t="shared" si="150"/>
        <v>404.61777090709171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-5.6843418860808015E-14</v>
      </c>
      <c r="DP170" s="18">
        <f>DO170*VLOOKUP('Données projet'!$B$14,Paramètres!$A$1:$I$89,3,0)*VLOOKUP('Données projet'!$B$14,Paramètres!$A$1:$I$89,5,0)</f>
        <v>-4.9658410716801891E-14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341.65872153228599</v>
      </c>
      <c r="DU170" s="62">
        <f t="shared" si="152"/>
        <v>339.49697153894937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1.7053025658242404E-13</v>
      </c>
      <c r="EK170" s="18">
        <f>EJ170*VLOOKUP('Données projet'!$B$15,Paramètres!$A$1:$I$89,3,0)*VLOOKUP('Données projet'!$B$15,Paramètres!$A$1:$I$89,5,0)</f>
        <v>1.1439169611549005E-13</v>
      </c>
      <c r="EL170" s="14">
        <f t="shared" si="179"/>
        <v>1.6918016515029816E-12</v>
      </c>
      <c r="EM170" s="22">
        <f t="shared" si="180"/>
        <v>3.1457867471021712E-12</v>
      </c>
      <c r="EN170" s="62">
        <f t="shared" si="128"/>
        <v>293.33333333333644</v>
      </c>
      <c r="EO170" s="62">
        <f ca="1">AVERAGE(OFFSET($EN$3,0,0,'Données projet'!$E$15+1,1))-AVERAGE(OFFSET($H$3,0,0,'Données projet'!$E$15+1,1))</f>
        <v>312.06797204903796</v>
      </c>
      <c r="EP170" s="62">
        <f t="shared" si="154"/>
        <v>258.20189001775151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-9.6633812063373625E-13</v>
      </c>
      <c r="FF170" s="18">
        <f>FE170*VLOOKUP('Données projet'!$B$16,Paramètres!$A$1:$I$89,3,0)*VLOOKUP('Données projet'!$B$16,Paramètres!$A$1:$I$89,5,0)</f>
        <v>-9.3464223027694966E-13</v>
      </c>
      <c r="FG170" s="14" t="e">
        <f t="shared" si="182"/>
        <v>#NUM!</v>
      </c>
      <c r="FH170" s="22" t="e">
        <f t="shared" si="183"/>
        <v>#NUM!</v>
      </c>
      <c r="FI170" s="62" t="e">
        <f t="shared" si="131"/>
        <v>#NUM!</v>
      </c>
      <c r="FJ170" s="62">
        <f ca="1">AVERAGE(OFFSET($FI$3,0,0,'Données projet'!$E$16+1,1))-AVERAGE(OFFSET($H$3,0,0,'Données projet'!$E$16+1,1))</f>
        <v>455.50822833641354</v>
      </c>
      <c r="FK170" s="62">
        <f t="shared" si="156"/>
        <v>261.14722581688039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2.2737367544323206E-13</v>
      </c>
      <c r="O171" s="14">
        <f>N171*VLOOKUP('Données projet'!$B$9,Paramètres!$A$1:$I$89,3,0)*VLOOKUP('Données projet'!$B$9,Paramètres!$A$1:$I$89,5,0)</f>
        <v>1.2710188457276673E-13</v>
      </c>
      <c r="P171" s="14">
        <f t="shared" si="141"/>
        <v>1.856866851063998E-12</v>
      </c>
      <c r="Q171" s="22">
        <f t="shared" si="162"/>
        <v>3.4554122145673649E-12</v>
      </c>
      <c r="R171" s="62">
        <f t="shared" si="109"/>
        <v>293.33333333333678</v>
      </c>
      <c r="S171" s="62">
        <f ca="1">AVERAGE(OFFSET($R$3,0,0,'Données projet'!$E$9+1,1))-AVERAGE(OFFSET($H$3,0,0,'Données projet'!$E$9+1,1))</f>
        <v>323.98185264074681</v>
      </c>
      <c r="T171" s="62">
        <f t="shared" si="142"/>
        <v>301.22207291854005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0.29016334012137696</v>
      </c>
      <c r="AA171" s="23">
        <f>EXP(-LN(2)/25)*AA170+(1-EXP(-LN(2)/25))/(LN(2)/25)*Calculateur!V171*Calculateur!X171*VLOOKUP('Données projet'!$B$9,Paramètres!$A$1:$I$89,3,0)*0.475*44/12</f>
        <v>0.17973232717019919</v>
      </c>
      <c r="AB171" s="23">
        <f>EXP(-LN(2)/2)*AB170+(1-EXP(-LN(2)/2))/(LN(2)/2)*V171*Y171*VLOOKUP('Données projet'!$B$9,Paramètres!$A$1:$I$89,3,0)*0.475*44/12</f>
        <v>1.0313146515335484E-20</v>
      </c>
      <c r="AC171" s="24">
        <f t="shared" si="163"/>
        <v>0.46989566729157617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1.7053025658242404E-13</v>
      </c>
      <c r="AJ171" s="14">
        <f>AI171*VLOOKUP('Données projet'!$B$10,Paramètres!$A$1:$I$89,3,0)*VLOOKUP('Données projet'!$B$10,Paramètres!$A$1:$I$89,5,0)</f>
        <v>7.9808160080574461E-14</v>
      </c>
      <c r="AK171" s="14">
        <f t="shared" si="164"/>
        <v>1.2308384591775343E-12</v>
      </c>
      <c r="AL171" s="22">
        <f t="shared" si="165"/>
        <v>2.282709528541206E-12</v>
      </c>
      <c r="AM171" s="62">
        <f t="shared" si="113"/>
        <v>293.33333333333559</v>
      </c>
      <c r="AN171" s="62">
        <f ca="1">AVERAGE(OFFSET($AM$3,0,0,'Données projet'!$E$10+1,1))-AVERAGE(OFFSET($H$3,0,0,'Données projet'!$E$10+1,1))</f>
        <v>276.78862011733338</v>
      </c>
      <c r="AO171" s="62">
        <f t="shared" si="144"/>
        <v>202.1678469635836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-8.7434273154940449E-13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428.8489304403459</v>
      </c>
      <c r="BJ171" s="62">
        <f t="shared" si="146"/>
        <v>247.01165577562966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-2.8421709430404007E-13</v>
      </c>
      <c r="BZ171" s="14">
        <f>BY171*VLOOKUP('Données projet'!$B$12,Paramètres!$A$1:$I$89,3,0)*VLOOKUP('Données projet'!$B$12,Paramètres!$A$1:$I$89,5,0)</f>
        <v>-1.69961822393816E-13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289.12367833861299</v>
      </c>
      <c r="CE171" s="62">
        <f t="shared" si="148"/>
        <v>229.06617320689003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7.025011875834826E-21</v>
      </c>
      <c r="CN171" s="24">
        <f t="shared" si="172"/>
        <v>7.025011875834826E-21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-4.5224624045658861E-14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370.59298168107364</v>
      </c>
      <c r="CZ171" s="62">
        <f t="shared" si="150"/>
        <v>404.61777090709171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-5.6843418860808015E-14</v>
      </c>
      <c r="DP171" s="18">
        <f>DO171*VLOOKUP('Données projet'!$B$14,Paramètres!$A$1:$I$89,3,0)*VLOOKUP('Données projet'!$B$14,Paramètres!$A$1:$I$89,5,0)</f>
        <v>-4.9658410716801891E-14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341.65872153228599</v>
      </c>
      <c r="DU171" s="62">
        <f t="shared" si="152"/>
        <v>339.49697153894937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1.7053025658242404E-13</v>
      </c>
      <c r="EK171" s="18">
        <f>EJ171*VLOOKUP('Données projet'!$B$15,Paramètres!$A$1:$I$89,3,0)*VLOOKUP('Données projet'!$B$15,Paramètres!$A$1:$I$89,5,0)</f>
        <v>1.1439169611549005E-13</v>
      </c>
      <c r="EL171" s="14">
        <f t="shared" si="179"/>
        <v>1.6918016515029816E-12</v>
      </c>
      <c r="EM171" s="22">
        <f t="shared" si="180"/>
        <v>3.1457867471021712E-12</v>
      </c>
      <c r="EN171" s="62">
        <f t="shared" si="128"/>
        <v>293.33333333333644</v>
      </c>
      <c r="EO171" s="62">
        <f ca="1">AVERAGE(OFFSET($EN$3,0,0,'Données projet'!$E$15+1,1))-AVERAGE(OFFSET($H$3,0,0,'Données projet'!$E$15+1,1))</f>
        <v>312.06797204903796</v>
      </c>
      <c r="EP171" s="62">
        <f t="shared" si="154"/>
        <v>258.20189001775151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-9.6633812063373625E-13</v>
      </c>
      <c r="FF171" s="18">
        <f>FE171*VLOOKUP('Données projet'!$B$16,Paramètres!$A$1:$I$89,3,0)*VLOOKUP('Données projet'!$B$16,Paramètres!$A$1:$I$89,5,0)</f>
        <v>-9.3464223027694966E-13</v>
      </c>
      <c r="FG171" s="14" t="e">
        <f t="shared" si="182"/>
        <v>#NUM!</v>
      </c>
      <c r="FH171" s="22" t="e">
        <f t="shared" si="183"/>
        <v>#NUM!</v>
      </c>
      <c r="FI171" s="62" t="e">
        <f t="shared" si="131"/>
        <v>#NUM!</v>
      </c>
      <c r="FJ171" s="62">
        <f ca="1">AVERAGE(OFFSET($FI$3,0,0,'Données projet'!$E$16+1,1))-AVERAGE(OFFSET($H$3,0,0,'Données projet'!$E$16+1,1))</f>
        <v>455.50822833641354</v>
      </c>
      <c r="FK171" s="62">
        <f t="shared" si="156"/>
        <v>261.14722581688039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2.2737367544323206E-13</v>
      </c>
      <c r="O172" s="14">
        <f>N172*VLOOKUP('Données projet'!$B$9,Paramètres!$A$1:$I$89,3,0)*VLOOKUP('Données projet'!$B$9,Paramètres!$A$1:$I$89,5,0)</f>
        <v>1.2710188457276673E-13</v>
      </c>
      <c r="P172" s="14">
        <f t="shared" si="141"/>
        <v>1.856866851063998E-12</v>
      </c>
      <c r="Q172" s="22">
        <f t="shared" si="162"/>
        <v>3.4554122145673649E-12</v>
      </c>
      <c r="R172" s="62">
        <f t="shared" si="109"/>
        <v>293.33333333333678</v>
      </c>
      <c r="S172" s="62">
        <f ca="1">AVERAGE(OFFSET($R$3,0,0,'Données projet'!$E$9+1,1))-AVERAGE(OFFSET($H$3,0,0,'Données projet'!$E$9+1,1))</f>
        <v>323.98185264074681</v>
      </c>
      <c r="T172" s="62">
        <f t="shared" si="142"/>
        <v>301.22207291854005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0.2844734140037587</v>
      </c>
      <c r="AA172" s="23">
        <f>EXP(-LN(2)/25)*AA171+(1-EXP(-LN(2)/25))/(LN(2)/25)*Calculateur!V172*Calculateur!X172*VLOOKUP('Données projet'!$B$9,Paramètres!$A$1:$I$89,3,0)*0.475*44/12</f>
        <v>0.17481753723201779</v>
      </c>
      <c r="AB172" s="23">
        <f>EXP(-LN(2)/2)*AB171+(1-EXP(-LN(2)/2))/(LN(2)/2)*V172*Y172*VLOOKUP('Données projet'!$B$9,Paramètres!$A$1:$I$89,3,0)*0.475*44/12</f>
        <v>7.2924958363641327E-21</v>
      </c>
      <c r="AC172" s="24">
        <f t="shared" si="163"/>
        <v>0.45929095123577646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1.7053025658242404E-13</v>
      </c>
      <c r="AJ172" s="14">
        <f>AI172*VLOOKUP('Données projet'!$B$10,Paramètres!$A$1:$I$89,3,0)*VLOOKUP('Données projet'!$B$10,Paramètres!$A$1:$I$89,5,0)</f>
        <v>7.9808160080574461E-14</v>
      </c>
      <c r="AK172" s="14">
        <f t="shared" si="164"/>
        <v>1.2308384591775343E-12</v>
      </c>
      <c r="AL172" s="22">
        <f t="shared" si="165"/>
        <v>2.282709528541206E-12</v>
      </c>
      <c r="AM172" s="62">
        <f t="shared" si="113"/>
        <v>293.33333333333559</v>
      </c>
      <c r="AN172" s="62">
        <f ca="1">AVERAGE(OFFSET($AM$3,0,0,'Données projet'!$E$10+1,1))-AVERAGE(OFFSET($H$3,0,0,'Données projet'!$E$10+1,1))</f>
        <v>276.78862011733338</v>
      </c>
      <c r="AO172" s="62">
        <f t="shared" si="144"/>
        <v>202.1678469635836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-8.7434273154940449E-13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428.8489304403459</v>
      </c>
      <c r="BJ172" s="62">
        <f t="shared" si="146"/>
        <v>247.01165577562966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-2.8421709430404007E-13</v>
      </c>
      <c r="BZ172" s="14">
        <f>BY172*VLOOKUP('Données projet'!$B$12,Paramètres!$A$1:$I$89,3,0)*VLOOKUP('Données projet'!$B$12,Paramètres!$A$1:$I$89,5,0)</f>
        <v>-1.69961822393816E-13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289.12367833861299</v>
      </c>
      <c r="CE172" s="62">
        <f t="shared" si="148"/>
        <v>229.06617320689003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4.9674335353188341E-21</v>
      </c>
      <c r="CN172" s="24">
        <f t="shared" si="172"/>
        <v>4.9674335353188341E-21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-4.5224624045658861E-14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370.59298168107364</v>
      </c>
      <c r="CZ172" s="62">
        <f t="shared" si="150"/>
        <v>404.61777090709171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-5.6843418860808015E-14</v>
      </c>
      <c r="DP172" s="18">
        <f>DO172*VLOOKUP('Données projet'!$B$14,Paramètres!$A$1:$I$89,3,0)*VLOOKUP('Données projet'!$B$14,Paramètres!$A$1:$I$89,5,0)</f>
        <v>-4.9658410716801891E-14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341.65872153228599</v>
      </c>
      <c r="DU172" s="62">
        <f t="shared" si="152"/>
        <v>339.49697153894937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1.7053025658242404E-13</v>
      </c>
      <c r="EK172" s="18">
        <f>EJ172*VLOOKUP('Données projet'!$B$15,Paramètres!$A$1:$I$89,3,0)*VLOOKUP('Données projet'!$B$15,Paramètres!$A$1:$I$89,5,0)</f>
        <v>1.1439169611549005E-13</v>
      </c>
      <c r="EL172" s="14">
        <f t="shared" si="179"/>
        <v>1.6918016515029816E-12</v>
      </c>
      <c r="EM172" s="22">
        <f t="shared" si="180"/>
        <v>3.1457867471021712E-12</v>
      </c>
      <c r="EN172" s="62">
        <f t="shared" si="128"/>
        <v>293.33333333333644</v>
      </c>
      <c r="EO172" s="62">
        <f ca="1">AVERAGE(OFFSET($EN$3,0,0,'Données projet'!$E$15+1,1))-AVERAGE(OFFSET($H$3,0,0,'Données projet'!$E$15+1,1))</f>
        <v>312.06797204903796</v>
      </c>
      <c r="EP172" s="62">
        <f t="shared" si="154"/>
        <v>258.20189001775151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-9.6633812063373625E-13</v>
      </c>
      <c r="FF172" s="18">
        <f>FE172*VLOOKUP('Données projet'!$B$16,Paramètres!$A$1:$I$89,3,0)*VLOOKUP('Données projet'!$B$16,Paramètres!$A$1:$I$89,5,0)</f>
        <v>-9.3464223027694966E-13</v>
      </c>
      <c r="FG172" s="14" t="e">
        <f t="shared" si="182"/>
        <v>#NUM!</v>
      </c>
      <c r="FH172" s="22" t="e">
        <f t="shared" si="183"/>
        <v>#NUM!</v>
      </c>
      <c r="FI172" s="62" t="e">
        <f t="shared" si="131"/>
        <v>#NUM!</v>
      </c>
      <c r="FJ172" s="62">
        <f ca="1">AVERAGE(OFFSET($FI$3,0,0,'Données projet'!$E$16+1,1))-AVERAGE(OFFSET($H$3,0,0,'Données projet'!$E$16+1,1))</f>
        <v>455.50822833641354</v>
      </c>
      <c r="FK172" s="62">
        <f t="shared" si="156"/>
        <v>261.14722581688039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2.2737367544323206E-13</v>
      </c>
      <c r="O173" s="14">
        <f>N173*VLOOKUP('Données projet'!$B$9,Paramètres!$A$1:$I$89,3,0)*VLOOKUP('Données projet'!$B$9,Paramètres!$A$1:$I$89,5,0)</f>
        <v>1.2710188457276673E-13</v>
      </c>
      <c r="P173" s="14">
        <f t="shared" si="141"/>
        <v>1.856866851063998E-12</v>
      </c>
      <c r="Q173" s="22">
        <f t="shared" si="162"/>
        <v>3.4554122145673649E-12</v>
      </c>
      <c r="R173" s="62">
        <f t="shared" si="109"/>
        <v>293.33333333333678</v>
      </c>
      <c r="S173" s="62">
        <f ca="1">AVERAGE(OFFSET($R$3,0,0,'Données projet'!$E$9+1,1))-AVERAGE(OFFSET($H$3,0,0,'Données projet'!$E$9+1,1))</f>
        <v>323.98185264074681</v>
      </c>
      <c r="T173" s="62">
        <f t="shared" si="142"/>
        <v>301.22207291854005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0.27889506386679469</v>
      </c>
      <c r="AA173" s="23">
        <f>EXP(-LN(2)/25)*AA172+(1-EXP(-LN(2)/25))/(LN(2)/25)*Calculateur!V173*Calculateur!X173*VLOOKUP('Données projet'!$B$9,Paramètres!$A$1:$I$89,3,0)*0.475*44/12</f>
        <v>0.17003714248315352</v>
      </c>
      <c r="AB173" s="23">
        <f>EXP(-LN(2)/2)*AB172+(1-EXP(-LN(2)/2))/(LN(2)/2)*V173*Y173*VLOOKUP('Données projet'!$B$9,Paramètres!$A$1:$I$89,3,0)*0.475*44/12</f>
        <v>5.1565732576677418E-21</v>
      </c>
      <c r="AC173" s="24">
        <f t="shared" si="163"/>
        <v>0.44893220634994824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1.7053025658242404E-13</v>
      </c>
      <c r="AJ173" s="14">
        <f>AI173*VLOOKUP('Données projet'!$B$10,Paramètres!$A$1:$I$89,3,0)*VLOOKUP('Données projet'!$B$10,Paramètres!$A$1:$I$89,5,0)</f>
        <v>7.9808160080574461E-14</v>
      </c>
      <c r="AK173" s="14">
        <f t="shared" si="164"/>
        <v>1.2308384591775343E-12</v>
      </c>
      <c r="AL173" s="22">
        <f t="shared" si="165"/>
        <v>2.282709528541206E-12</v>
      </c>
      <c r="AM173" s="62">
        <f t="shared" si="113"/>
        <v>293.33333333333559</v>
      </c>
      <c r="AN173" s="62">
        <f ca="1">AVERAGE(OFFSET($AM$3,0,0,'Données projet'!$E$10+1,1))-AVERAGE(OFFSET($H$3,0,0,'Données projet'!$E$10+1,1))</f>
        <v>276.78862011733338</v>
      </c>
      <c r="AO173" s="62">
        <f t="shared" si="144"/>
        <v>202.1678469635836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-8.7434273154940449E-13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428.8489304403459</v>
      </c>
      <c r="BJ173" s="62">
        <f t="shared" si="146"/>
        <v>247.01165577562966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-2.8421709430404007E-13</v>
      </c>
      <c r="BZ173" s="14">
        <f>BY173*VLOOKUP('Données projet'!$B$12,Paramètres!$A$1:$I$89,3,0)*VLOOKUP('Données projet'!$B$12,Paramètres!$A$1:$I$89,5,0)</f>
        <v>-1.69961822393816E-13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289.12367833861299</v>
      </c>
      <c r="CE173" s="62">
        <f t="shared" si="148"/>
        <v>229.06617320689003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3.512505937917413E-21</v>
      </c>
      <c r="CN173" s="24">
        <f t="shared" si="172"/>
        <v>3.512505937917413E-21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-4.5224624045658861E-14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370.59298168107364</v>
      </c>
      <c r="CZ173" s="62">
        <f t="shared" si="150"/>
        <v>404.61777090709171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-5.6843418860808015E-14</v>
      </c>
      <c r="DP173" s="18">
        <f>DO173*VLOOKUP('Données projet'!$B$14,Paramètres!$A$1:$I$89,3,0)*VLOOKUP('Données projet'!$B$14,Paramètres!$A$1:$I$89,5,0)</f>
        <v>-4.9658410716801891E-14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341.65872153228599</v>
      </c>
      <c r="DU173" s="62">
        <f t="shared" si="152"/>
        <v>339.49697153894937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1.7053025658242404E-13</v>
      </c>
      <c r="EK173" s="18">
        <f>EJ173*VLOOKUP('Données projet'!$B$15,Paramètres!$A$1:$I$89,3,0)*VLOOKUP('Données projet'!$B$15,Paramètres!$A$1:$I$89,5,0)</f>
        <v>1.1439169611549005E-13</v>
      </c>
      <c r="EL173" s="14">
        <f t="shared" si="179"/>
        <v>1.6918016515029816E-12</v>
      </c>
      <c r="EM173" s="22">
        <f t="shared" si="180"/>
        <v>3.1457867471021712E-12</v>
      </c>
      <c r="EN173" s="62">
        <f t="shared" si="128"/>
        <v>293.33333333333644</v>
      </c>
      <c r="EO173" s="62">
        <f ca="1">AVERAGE(OFFSET($EN$3,0,0,'Données projet'!$E$15+1,1))-AVERAGE(OFFSET($H$3,0,0,'Données projet'!$E$15+1,1))</f>
        <v>312.06797204903796</v>
      </c>
      <c r="EP173" s="62">
        <f t="shared" si="154"/>
        <v>258.20189001775151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-9.6633812063373625E-13</v>
      </c>
      <c r="FF173" s="18">
        <f>FE173*VLOOKUP('Données projet'!$B$16,Paramètres!$A$1:$I$89,3,0)*VLOOKUP('Données projet'!$B$16,Paramètres!$A$1:$I$89,5,0)</f>
        <v>-9.3464223027694966E-13</v>
      </c>
      <c r="FG173" s="14" t="e">
        <f t="shared" si="182"/>
        <v>#NUM!</v>
      </c>
      <c r="FH173" s="22" t="e">
        <f t="shared" si="183"/>
        <v>#NUM!</v>
      </c>
      <c r="FI173" s="62" t="e">
        <f t="shared" si="131"/>
        <v>#NUM!</v>
      </c>
      <c r="FJ173" s="62">
        <f ca="1">AVERAGE(OFFSET($FI$3,0,0,'Données projet'!$E$16+1,1))-AVERAGE(OFFSET($H$3,0,0,'Données projet'!$E$16+1,1))</f>
        <v>455.50822833641354</v>
      </c>
      <c r="FK173" s="62">
        <f t="shared" si="156"/>
        <v>261.14722581688039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2.2737367544323206E-13</v>
      </c>
      <c r="O174" s="14">
        <f>N174*VLOOKUP('Données projet'!$B$9,Paramètres!$A$1:$I$89,3,0)*VLOOKUP('Données projet'!$B$9,Paramètres!$A$1:$I$89,5,0)</f>
        <v>1.2710188457276673E-13</v>
      </c>
      <c r="P174" s="14">
        <f t="shared" si="141"/>
        <v>1.856866851063998E-12</v>
      </c>
      <c r="Q174" s="22">
        <f t="shared" si="162"/>
        <v>3.4554122145673649E-12</v>
      </c>
      <c r="R174" s="62">
        <f t="shared" si="109"/>
        <v>293.33333333333678</v>
      </c>
      <c r="S174" s="62">
        <f ca="1">AVERAGE(OFFSET($R$3,0,0,'Données projet'!$E$9+1,1))-AVERAGE(OFFSET($H$3,0,0,'Données projet'!$E$9+1,1))</f>
        <v>323.98185264074681</v>
      </c>
      <c r="T174" s="62">
        <f t="shared" si="142"/>
        <v>301.22207291854005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0.27342610177355892</v>
      </c>
      <c r="AA174" s="23">
        <f>EXP(-LN(2)/25)*AA173+(1-EXP(-LN(2)/25))/(LN(2)/25)*Calculateur!V174*Calculateur!X174*VLOOKUP('Données projet'!$B$9,Paramètres!$A$1:$I$89,3,0)*0.475*44/12</f>
        <v>0.16538746788008699</v>
      </c>
      <c r="AB174" s="23">
        <f>EXP(-LN(2)/2)*AB173+(1-EXP(-LN(2)/2))/(LN(2)/2)*V174*Y174*VLOOKUP('Données projet'!$B$9,Paramètres!$A$1:$I$89,3,0)*0.475*44/12</f>
        <v>3.6462479181820664E-21</v>
      </c>
      <c r="AC174" s="24">
        <f t="shared" si="163"/>
        <v>0.43881356965364593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1.7053025658242404E-13</v>
      </c>
      <c r="AJ174" s="14">
        <f>AI174*VLOOKUP('Données projet'!$B$10,Paramètres!$A$1:$I$89,3,0)*VLOOKUP('Données projet'!$B$10,Paramètres!$A$1:$I$89,5,0)</f>
        <v>7.9808160080574461E-14</v>
      </c>
      <c r="AK174" s="14">
        <f t="shared" si="164"/>
        <v>1.2308384591775343E-12</v>
      </c>
      <c r="AL174" s="22">
        <f t="shared" si="165"/>
        <v>2.282709528541206E-12</v>
      </c>
      <c r="AM174" s="62">
        <f t="shared" si="113"/>
        <v>293.33333333333559</v>
      </c>
      <c r="AN174" s="62">
        <f ca="1">AVERAGE(OFFSET($AM$3,0,0,'Données projet'!$E$10+1,1))-AVERAGE(OFFSET($H$3,0,0,'Données projet'!$E$10+1,1))</f>
        <v>276.78862011733338</v>
      </c>
      <c r="AO174" s="62">
        <f t="shared" si="144"/>
        <v>202.1678469635836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-8.7434273154940449E-13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428.8489304403459</v>
      </c>
      <c r="BJ174" s="62">
        <f t="shared" si="146"/>
        <v>247.01165577562966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-2.8421709430404007E-13</v>
      </c>
      <c r="BZ174" s="14">
        <f>BY174*VLOOKUP('Données projet'!$B$12,Paramètres!$A$1:$I$89,3,0)*VLOOKUP('Données projet'!$B$12,Paramètres!$A$1:$I$89,5,0)</f>
        <v>-1.69961822393816E-13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289.12367833861299</v>
      </c>
      <c r="CE174" s="62">
        <f t="shared" si="148"/>
        <v>229.06617320689003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2.4837167676594171E-21</v>
      </c>
      <c r="CN174" s="24">
        <f t="shared" si="172"/>
        <v>2.4837167676594171E-21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-4.5224624045658861E-14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370.59298168107364</v>
      </c>
      <c r="CZ174" s="62">
        <f t="shared" si="150"/>
        <v>404.61777090709171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-5.6843418860808015E-14</v>
      </c>
      <c r="DP174" s="18">
        <f>DO174*VLOOKUP('Données projet'!$B$14,Paramètres!$A$1:$I$89,3,0)*VLOOKUP('Données projet'!$B$14,Paramètres!$A$1:$I$89,5,0)</f>
        <v>-4.9658410716801891E-14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341.65872153228599</v>
      </c>
      <c r="DU174" s="62">
        <f t="shared" si="152"/>
        <v>339.49697153894937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1.7053025658242404E-13</v>
      </c>
      <c r="EK174" s="18">
        <f>EJ174*VLOOKUP('Données projet'!$B$15,Paramètres!$A$1:$I$89,3,0)*VLOOKUP('Données projet'!$B$15,Paramètres!$A$1:$I$89,5,0)</f>
        <v>1.1439169611549005E-13</v>
      </c>
      <c r="EL174" s="14">
        <f t="shared" si="179"/>
        <v>1.6918016515029816E-12</v>
      </c>
      <c r="EM174" s="22">
        <f t="shared" si="180"/>
        <v>3.1457867471021712E-12</v>
      </c>
      <c r="EN174" s="62">
        <f t="shared" si="128"/>
        <v>293.33333333333644</v>
      </c>
      <c r="EO174" s="62">
        <f ca="1">AVERAGE(OFFSET($EN$3,0,0,'Données projet'!$E$15+1,1))-AVERAGE(OFFSET($H$3,0,0,'Données projet'!$E$15+1,1))</f>
        <v>312.06797204903796</v>
      </c>
      <c r="EP174" s="62">
        <f t="shared" si="154"/>
        <v>258.20189001775151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-9.6633812063373625E-13</v>
      </c>
      <c r="FF174" s="18">
        <f>FE174*VLOOKUP('Données projet'!$B$16,Paramètres!$A$1:$I$89,3,0)*VLOOKUP('Données projet'!$B$16,Paramètres!$A$1:$I$89,5,0)</f>
        <v>-9.3464223027694966E-13</v>
      </c>
      <c r="FG174" s="14" t="e">
        <f t="shared" si="182"/>
        <v>#NUM!</v>
      </c>
      <c r="FH174" s="22" t="e">
        <f t="shared" si="183"/>
        <v>#NUM!</v>
      </c>
      <c r="FI174" s="62" t="e">
        <f t="shared" si="131"/>
        <v>#NUM!</v>
      </c>
      <c r="FJ174" s="62">
        <f ca="1">AVERAGE(OFFSET($FI$3,0,0,'Données projet'!$E$16+1,1))-AVERAGE(OFFSET($H$3,0,0,'Données projet'!$E$16+1,1))</f>
        <v>455.50822833641354</v>
      </c>
      <c r="FK174" s="62">
        <f t="shared" si="156"/>
        <v>261.14722581688039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2.2737367544323206E-13</v>
      </c>
      <c r="O175" s="14">
        <f>N175*VLOOKUP('Données projet'!$B$9,Paramètres!$A$1:$I$89,3,0)*VLOOKUP('Données projet'!$B$9,Paramètres!$A$1:$I$89,5,0)</f>
        <v>1.2710188457276673E-13</v>
      </c>
      <c r="P175" s="14">
        <f t="shared" si="141"/>
        <v>1.856866851063998E-12</v>
      </c>
      <c r="Q175" s="22">
        <f t="shared" si="162"/>
        <v>3.4554122145673649E-12</v>
      </c>
      <c r="R175" s="62">
        <f t="shared" si="109"/>
        <v>293.33333333333678</v>
      </c>
      <c r="S175" s="62">
        <f ca="1">AVERAGE(OFFSET($R$3,0,0,'Données projet'!$E$9+1,1))-AVERAGE(OFFSET($H$3,0,0,'Données projet'!$E$9+1,1))</f>
        <v>323.98185264074681</v>
      </c>
      <c r="T175" s="62">
        <f t="shared" si="142"/>
        <v>301.22207291854005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0.268064382691234</v>
      </c>
      <c r="AA175" s="23">
        <f>EXP(-LN(2)/25)*AA174+(1-EXP(-LN(2)/25))/(LN(2)/25)*Calculateur!V175*Calculateur!X175*VLOOKUP('Données projet'!$B$9,Paramètres!$A$1:$I$89,3,0)*0.475*44/12</f>
        <v>0.16086493887355707</v>
      </c>
      <c r="AB175" s="23">
        <f>EXP(-LN(2)/2)*AB174+(1-EXP(-LN(2)/2))/(LN(2)/2)*V175*Y175*VLOOKUP('Données projet'!$B$9,Paramètres!$A$1:$I$89,3,0)*0.475*44/12</f>
        <v>2.5782866288338709E-21</v>
      </c>
      <c r="AC175" s="24">
        <f t="shared" si="163"/>
        <v>0.42892932156479108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1.7053025658242404E-13</v>
      </c>
      <c r="AJ175" s="14">
        <f>AI175*VLOOKUP('Données projet'!$B$10,Paramètres!$A$1:$I$89,3,0)*VLOOKUP('Données projet'!$B$10,Paramètres!$A$1:$I$89,5,0)</f>
        <v>7.9808160080574461E-14</v>
      </c>
      <c r="AK175" s="14">
        <f t="shared" si="164"/>
        <v>1.2308384591775343E-12</v>
      </c>
      <c r="AL175" s="22">
        <f t="shared" si="165"/>
        <v>2.282709528541206E-12</v>
      </c>
      <c r="AM175" s="62">
        <f t="shared" si="113"/>
        <v>293.33333333333559</v>
      </c>
      <c r="AN175" s="62">
        <f ca="1">AVERAGE(OFFSET($AM$3,0,0,'Données projet'!$E$10+1,1))-AVERAGE(OFFSET($H$3,0,0,'Données projet'!$E$10+1,1))</f>
        <v>276.78862011733338</v>
      </c>
      <c r="AO175" s="62">
        <f t="shared" si="144"/>
        <v>202.1678469635836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-8.7434273154940449E-13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428.8489304403459</v>
      </c>
      <c r="BJ175" s="62">
        <f t="shared" si="146"/>
        <v>247.01165577562966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-2.8421709430404007E-13</v>
      </c>
      <c r="BZ175" s="14">
        <f>BY175*VLOOKUP('Données projet'!$B$12,Paramètres!$A$1:$I$89,3,0)*VLOOKUP('Données projet'!$B$12,Paramètres!$A$1:$I$89,5,0)</f>
        <v>-1.69961822393816E-13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289.12367833861299</v>
      </c>
      <c r="CE175" s="62">
        <f t="shared" si="148"/>
        <v>229.06617320689003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1.7562529689587065E-21</v>
      </c>
      <c r="CN175" s="24">
        <f t="shared" si="172"/>
        <v>1.7562529689587065E-21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-4.5224624045658861E-14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370.59298168107364</v>
      </c>
      <c r="CZ175" s="62">
        <f t="shared" si="150"/>
        <v>404.61777090709171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-5.6843418860808015E-14</v>
      </c>
      <c r="DP175" s="18">
        <f>DO175*VLOOKUP('Données projet'!$B$14,Paramètres!$A$1:$I$89,3,0)*VLOOKUP('Données projet'!$B$14,Paramètres!$A$1:$I$89,5,0)</f>
        <v>-4.9658410716801891E-14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341.65872153228599</v>
      </c>
      <c r="DU175" s="62">
        <f t="shared" si="152"/>
        <v>339.49697153894937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1.7053025658242404E-13</v>
      </c>
      <c r="EK175" s="18">
        <f>EJ175*VLOOKUP('Données projet'!$B$15,Paramètres!$A$1:$I$89,3,0)*VLOOKUP('Données projet'!$B$15,Paramètres!$A$1:$I$89,5,0)</f>
        <v>1.1439169611549005E-13</v>
      </c>
      <c r="EL175" s="14">
        <f t="shared" si="179"/>
        <v>1.6918016515029816E-12</v>
      </c>
      <c r="EM175" s="22">
        <f t="shared" si="180"/>
        <v>3.1457867471021712E-12</v>
      </c>
      <c r="EN175" s="62">
        <f t="shared" si="128"/>
        <v>293.33333333333644</v>
      </c>
      <c r="EO175" s="62">
        <f ca="1">AVERAGE(OFFSET($EN$3,0,0,'Données projet'!$E$15+1,1))-AVERAGE(OFFSET($H$3,0,0,'Données projet'!$E$15+1,1))</f>
        <v>312.06797204903796</v>
      </c>
      <c r="EP175" s="62">
        <f t="shared" si="154"/>
        <v>258.20189001775151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-9.6633812063373625E-13</v>
      </c>
      <c r="FF175" s="18">
        <f>FE175*VLOOKUP('Données projet'!$B$16,Paramètres!$A$1:$I$89,3,0)*VLOOKUP('Données projet'!$B$16,Paramètres!$A$1:$I$89,5,0)</f>
        <v>-9.3464223027694966E-13</v>
      </c>
      <c r="FG175" s="14" t="e">
        <f t="shared" si="182"/>
        <v>#NUM!</v>
      </c>
      <c r="FH175" s="22" t="e">
        <f t="shared" si="183"/>
        <v>#NUM!</v>
      </c>
      <c r="FI175" s="62" t="e">
        <f t="shared" si="131"/>
        <v>#NUM!</v>
      </c>
      <c r="FJ175" s="62">
        <f ca="1">AVERAGE(OFFSET($FI$3,0,0,'Données projet'!$E$16+1,1))-AVERAGE(OFFSET($H$3,0,0,'Données projet'!$E$16+1,1))</f>
        <v>455.50822833641354</v>
      </c>
      <c r="FK175" s="62">
        <f t="shared" si="156"/>
        <v>261.14722581688039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2.2737367544323206E-13</v>
      </c>
      <c r="O176" s="14">
        <f>N176*VLOOKUP('Données projet'!$B$9,Paramètres!$A$1:$I$89,3,0)*VLOOKUP('Données projet'!$B$9,Paramètres!$A$1:$I$89,5,0)</f>
        <v>1.2710188457276673E-13</v>
      </c>
      <c r="P176" s="14">
        <f t="shared" si="141"/>
        <v>1.856866851063998E-12</v>
      </c>
      <c r="Q176" s="22">
        <f t="shared" si="162"/>
        <v>3.4554122145673649E-12</v>
      </c>
      <c r="R176" s="62">
        <f t="shared" si="109"/>
        <v>293.33333333333678</v>
      </c>
      <c r="S176" s="62">
        <f ca="1">AVERAGE(OFFSET($R$3,0,0,'Données projet'!$E$9+1,1))-AVERAGE(OFFSET($H$3,0,0,'Données projet'!$E$9+1,1))</f>
        <v>323.98185264074681</v>
      </c>
      <c r="T176" s="62">
        <f t="shared" si="142"/>
        <v>301.22207291854005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0.26280780364978773</v>
      </c>
      <c r="AA176" s="23">
        <f>EXP(-LN(2)/25)*AA175+(1-EXP(-LN(2)/25))/(LN(2)/25)*Calculateur!V176*Calculateur!X176*VLOOKUP('Données projet'!$B$9,Paramètres!$A$1:$I$89,3,0)*0.475*44/12</f>
        <v>0.15646607866054019</v>
      </c>
      <c r="AB176" s="23">
        <f>EXP(-LN(2)/2)*AB175+(1-EXP(-LN(2)/2))/(LN(2)/2)*V176*Y176*VLOOKUP('Données projet'!$B$9,Paramètres!$A$1:$I$89,3,0)*0.475*44/12</f>
        <v>1.8231239590910332E-21</v>
      </c>
      <c r="AC176" s="24">
        <f t="shared" si="163"/>
        <v>0.41927388231032792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1.7053025658242404E-13</v>
      </c>
      <c r="AJ176" s="14">
        <f>AI176*VLOOKUP('Données projet'!$B$10,Paramètres!$A$1:$I$89,3,0)*VLOOKUP('Données projet'!$B$10,Paramètres!$A$1:$I$89,5,0)</f>
        <v>7.9808160080574461E-14</v>
      </c>
      <c r="AK176" s="14">
        <f t="shared" si="164"/>
        <v>1.2308384591775343E-12</v>
      </c>
      <c r="AL176" s="22">
        <f t="shared" si="165"/>
        <v>2.282709528541206E-12</v>
      </c>
      <c r="AM176" s="62">
        <f t="shared" si="113"/>
        <v>293.33333333333559</v>
      </c>
      <c r="AN176" s="62">
        <f ca="1">AVERAGE(OFFSET($AM$3,0,0,'Données projet'!$E$10+1,1))-AVERAGE(OFFSET($H$3,0,0,'Données projet'!$E$10+1,1))</f>
        <v>276.78862011733338</v>
      </c>
      <c r="AO176" s="62">
        <f t="shared" si="144"/>
        <v>202.1678469635836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-8.7434273154940449E-13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428.8489304403459</v>
      </c>
      <c r="BJ176" s="62">
        <f t="shared" si="146"/>
        <v>247.01165577562966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-2.8421709430404007E-13</v>
      </c>
      <c r="BZ176" s="14">
        <f>BY176*VLOOKUP('Données projet'!$B$12,Paramètres!$A$1:$I$89,3,0)*VLOOKUP('Données projet'!$B$12,Paramètres!$A$1:$I$89,5,0)</f>
        <v>-1.69961822393816E-13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289.12367833861299</v>
      </c>
      <c r="CE176" s="62">
        <f t="shared" si="148"/>
        <v>229.06617320689003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1.2418583838297085E-21</v>
      </c>
      <c r="CN176" s="24">
        <f t="shared" si="172"/>
        <v>1.2418583838297085E-21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-4.5224624045658861E-14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370.59298168107364</v>
      </c>
      <c r="CZ176" s="62">
        <f t="shared" si="150"/>
        <v>404.61777090709171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-5.6843418860808015E-14</v>
      </c>
      <c r="DP176" s="18">
        <f>DO176*VLOOKUP('Données projet'!$B$14,Paramètres!$A$1:$I$89,3,0)*VLOOKUP('Données projet'!$B$14,Paramètres!$A$1:$I$89,5,0)</f>
        <v>-4.9658410716801891E-14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341.65872153228599</v>
      </c>
      <c r="DU176" s="62">
        <f t="shared" si="152"/>
        <v>339.49697153894937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1.7053025658242404E-13</v>
      </c>
      <c r="EK176" s="18">
        <f>EJ176*VLOOKUP('Données projet'!$B$15,Paramètres!$A$1:$I$89,3,0)*VLOOKUP('Données projet'!$B$15,Paramètres!$A$1:$I$89,5,0)</f>
        <v>1.1439169611549005E-13</v>
      </c>
      <c r="EL176" s="14">
        <f t="shared" si="179"/>
        <v>1.6918016515029816E-12</v>
      </c>
      <c r="EM176" s="22">
        <f t="shared" si="180"/>
        <v>3.1457867471021712E-12</v>
      </c>
      <c r="EN176" s="62">
        <f t="shared" si="128"/>
        <v>293.33333333333644</v>
      </c>
      <c r="EO176" s="62">
        <f ca="1">AVERAGE(OFFSET($EN$3,0,0,'Données projet'!$E$15+1,1))-AVERAGE(OFFSET($H$3,0,0,'Données projet'!$E$15+1,1))</f>
        <v>312.06797204903796</v>
      </c>
      <c r="EP176" s="62">
        <f t="shared" si="154"/>
        <v>258.20189001775151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-9.6633812063373625E-13</v>
      </c>
      <c r="FF176" s="18">
        <f>FE176*VLOOKUP('Données projet'!$B$16,Paramètres!$A$1:$I$89,3,0)*VLOOKUP('Données projet'!$B$16,Paramètres!$A$1:$I$89,5,0)</f>
        <v>-9.3464223027694966E-13</v>
      </c>
      <c r="FG176" s="14" t="e">
        <f t="shared" si="182"/>
        <v>#NUM!</v>
      </c>
      <c r="FH176" s="22" t="e">
        <f t="shared" si="183"/>
        <v>#NUM!</v>
      </c>
      <c r="FI176" s="62" t="e">
        <f t="shared" si="131"/>
        <v>#NUM!</v>
      </c>
      <c r="FJ176" s="62">
        <f ca="1">AVERAGE(OFFSET($FI$3,0,0,'Données projet'!$E$16+1,1))-AVERAGE(OFFSET($H$3,0,0,'Données projet'!$E$16+1,1))</f>
        <v>455.50822833641354</v>
      </c>
      <c r="FK176" s="62">
        <f t="shared" si="156"/>
        <v>261.14722581688039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2.2737367544323206E-13</v>
      </c>
      <c r="O177" s="14">
        <f>N177*VLOOKUP('Données projet'!$B$9,Paramètres!$A$1:$I$89,3,0)*VLOOKUP('Données projet'!$B$9,Paramètres!$A$1:$I$89,5,0)</f>
        <v>1.2710188457276673E-13</v>
      </c>
      <c r="P177" s="14">
        <f t="shared" si="141"/>
        <v>1.856866851063998E-12</v>
      </c>
      <c r="Q177" s="22">
        <f t="shared" si="162"/>
        <v>3.4554122145673649E-12</v>
      </c>
      <c r="R177" s="62">
        <f t="shared" si="109"/>
        <v>293.33333333333678</v>
      </c>
      <c r="S177" s="62">
        <f ca="1">AVERAGE(OFFSET($R$3,0,0,'Données projet'!$E$9+1,1))-AVERAGE(OFFSET($H$3,0,0,'Données projet'!$E$9+1,1))</f>
        <v>323.98185264074681</v>
      </c>
      <c r="T177" s="62">
        <f t="shared" si="142"/>
        <v>301.22207291854005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0.25765430291714764</v>
      </c>
      <c r="AA177" s="23">
        <f>EXP(-LN(2)/25)*AA176+(1-EXP(-LN(2)/25))/(LN(2)/25)*Calculateur!V177*Calculateur!X177*VLOOKUP('Données projet'!$B$9,Paramètres!$A$1:$I$89,3,0)*0.475*44/12</f>
        <v>0.15218750551137425</v>
      </c>
      <c r="AB177" s="23">
        <f>EXP(-LN(2)/2)*AB176+(1-EXP(-LN(2)/2))/(LN(2)/2)*V177*Y177*VLOOKUP('Données projet'!$B$9,Paramètres!$A$1:$I$89,3,0)*0.475*44/12</f>
        <v>1.2891433144169354E-21</v>
      </c>
      <c r="AC177" s="24">
        <f t="shared" si="163"/>
        <v>0.40984180842852191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1.7053025658242404E-13</v>
      </c>
      <c r="AJ177" s="14">
        <f>AI177*VLOOKUP('Données projet'!$B$10,Paramètres!$A$1:$I$89,3,0)*VLOOKUP('Données projet'!$B$10,Paramètres!$A$1:$I$89,5,0)</f>
        <v>7.9808160080574461E-14</v>
      </c>
      <c r="AK177" s="14">
        <f t="shared" si="164"/>
        <v>1.2308384591775343E-12</v>
      </c>
      <c r="AL177" s="22">
        <f t="shared" si="165"/>
        <v>2.282709528541206E-12</v>
      </c>
      <c r="AM177" s="62">
        <f t="shared" si="113"/>
        <v>293.33333333333559</v>
      </c>
      <c r="AN177" s="62">
        <f ca="1">AVERAGE(OFFSET($AM$3,0,0,'Données projet'!$E$10+1,1))-AVERAGE(OFFSET($H$3,0,0,'Données projet'!$E$10+1,1))</f>
        <v>276.78862011733338</v>
      </c>
      <c r="AO177" s="62">
        <f t="shared" si="144"/>
        <v>202.1678469635836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-8.7434273154940449E-13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428.8489304403459</v>
      </c>
      <c r="BJ177" s="62">
        <f t="shared" si="146"/>
        <v>247.01165577562966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-2.8421709430404007E-13</v>
      </c>
      <c r="BZ177" s="14">
        <f>BY177*VLOOKUP('Données projet'!$B$12,Paramètres!$A$1:$I$89,3,0)*VLOOKUP('Données projet'!$B$12,Paramètres!$A$1:$I$89,5,0)</f>
        <v>-1.69961822393816E-13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289.12367833861299</v>
      </c>
      <c r="CE177" s="62">
        <f t="shared" si="148"/>
        <v>229.06617320689003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8.7812648447935325E-22</v>
      </c>
      <c r="CN177" s="24">
        <f t="shared" si="172"/>
        <v>8.7812648447935325E-22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-4.5224624045658861E-14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370.59298168107364</v>
      </c>
      <c r="CZ177" s="62">
        <f t="shared" si="150"/>
        <v>404.61777090709171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-5.6843418860808015E-14</v>
      </c>
      <c r="DP177" s="18">
        <f>DO177*VLOOKUP('Données projet'!$B$14,Paramètres!$A$1:$I$89,3,0)*VLOOKUP('Données projet'!$B$14,Paramètres!$A$1:$I$89,5,0)</f>
        <v>-4.9658410716801891E-14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341.65872153228599</v>
      </c>
      <c r="DU177" s="62">
        <f t="shared" si="152"/>
        <v>339.49697153894937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1.7053025658242404E-13</v>
      </c>
      <c r="EK177" s="18">
        <f>EJ177*VLOOKUP('Données projet'!$B$15,Paramètres!$A$1:$I$89,3,0)*VLOOKUP('Données projet'!$B$15,Paramètres!$A$1:$I$89,5,0)</f>
        <v>1.1439169611549005E-13</v>
      </c>
      <c r="EL177" s="14">
        <f t="shared" si="179"/>
        <v>1.6918016515029816E-12</v>
      </c>
      <c r="EM177" s="22">
        <f t="shared" si="180"/>
        <v>3.1457867471021712E-12</v>
      </c>
      <c r="EN177" s="62">
        <f t="shared" si="128"/>
        <v>293.33333333333644</v>
      </c>
      <c r="EO177" s="62">
        <f ca="1">AVERAGE(OFFSET($EN$3,0,0,'Données projet'!$E$15+1,1))-AVERAGE(OFFSET($H$3,0,0,'Données projet'!$E$15+1,1))</f>
        <v>312.06797204903796</v>
      </c>
      <c r="EP177" s="62">
        <f t="shared" si="154"/>
        <v>258.20189001775151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-9.6633812063373625E-13</v>
      </c>
      <c r="FF177" s="18">
        <f>FE177*VLOOKUP('Données projet'!$B$16,Paramètres!$A$1:$I$89,3,0)*VLOOKUP('Données projet'!$B$16,Paramètres!$A$1:$I$89,5,0)</f>
        <v>-9.3464223027694966E-13</v>
      </c>
      <c r="FG177" s="14" t="e">
        <f t="shared" si="182"/>
        <v>#NUM!</v>
      </c>
      <c r="FH177" s="22" t="e">
        <f t="shared" si="183"/>
        <v>#NUM!</v>
      </c>
      <c r="FI177" s="62" t="e">
        <f t="shared" si="131"/>
        <v>#NUM!</v>
      </c>
      <c r="FJ177" s="62">
        <f ca="1">AVERAGE(OFFSET($FI$3,0,0,'Données projet'!$E$16+1,1))-AVERAGE(OFFSET($H$3,0,0,'Données projet'!$E$16+1,1))</f>
        <v>455.50822833641354</v>
      </c>
      <c r="FK177" s="62">
        <f t="shared" si="156"/>
        <v>261.14722581688039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2.2737367544323206E-13</v>
      </c>
      <c r="O178" s="14">
        <f>N178*VLOOKUP('Données projet'!$B$9,Paramètres!$A$1:$I$89,3,0)*VLOOKUP('Données projet'!$B$9,Paramètres!$A$1:$I$89,5,0)</f>
        <v>1.2710188457276673E-13</v>
      </c>
      <c r="P178" s="14">
        <f t="shared" si="141"/>
        <v>1.856866851063998E-12</v>
      </c>
      <c r="Q178" s="22">
        <f t="shared" si="162"/>
        <v>3.4554122145673649E-12</v>
      </c>
      <c r="R178" s="62">
        <f t="shared" si="109"/>
        <v>293.33333333333678</v>
      </c>
      <c r="S178" s="62">
        <f ca="1">AVERAGE(OFFSET($R$3,0,0,'Données projet'!$E$9+1,1))-AVERAGE(OFFSET($H$3,0,0,'Données projet'!$E$9+1,1))</f>
        <v>323.98185264074681</v>
      </c>
      <c r="T178" s="62">
        <f t="shared" si="142"/>
        <v>301.22207291854005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0.2526018591905495</v>
      </c>
      <c r="AA178" s="23">
        <f>EXP(-LN(2)/25)*AA177+(1-EXP(-LN(2)/25))/(LN(2)/25)*Calculateur!V178*Calculateur!X178*VLOOKUP('Données projet'!$B$9,Paramètres!$A$1:$I$89,3,0)*0.475*44/12</f>
        <v>0.14802593016997265</v>
      </c>
      <c r="AB178" s="23">
        <f>EXP(-LN(2)/2)*AB177+(1-EXP(-LN(2)/2))/(LN(2)/2)*V178*Y178*VLOOKUP('Données projet'!$B$9,Paramètres!$A$1:$I$89,3,0)*0.475*44/12</f>
        <v>9.1156197954551659E-22</v>
      </c>
      <c r="AC178" s="24">
        <f t="shared" si="163"/>
        <v>0.40062778936052212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1.7053025658242404E-13</v>
      </c>
      <c r="AJ178" s="14">
        <f>AI178*VLOOKUP('Données projet'!$B$10,Paramètres!$A$1:$I$89,3,0)*VLOOKUP('Données projet'!$B$10,Paramètres!$A$1:$I$89,5,0)</f>
        <v>7.9808160080574461E-14</v>
      </c>
      <c r="AK178" s="14">
        <f t="shared" si="164"/>
        <v>1.2308384591775343E-12</v>
      </c>
      <c r="AL178" s="22">
        <f t="shared" si="165"/>
        <v>2.282709528541206E-12</v>
      </c>
      <c r="AM178" s="62">
        <f t="shared" si="113"/>
        <v>293.33333333333559</v>
      </c>
      <c r="AN178" s="62">
        <f ca="1">AVERAGE(OFFSET($AM$3,0,0,'Données projet'!$E$10+1,1))-AVERAGE(OFFSET($H$3,0,0,'Données projet'!$E$10+1,1))</f>
        <v>276.78862011733338</v>
      </c>
      <c r="AO178" s="62">
        <f t="shared" si="144"/>
        <v>202.1678469635836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-8.7434273154940449E-13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428.8489304403459</v>
      </c>
      <c r="BJ178" s="62">
        <f t="shared" si="146"/>
        <v>247.01165577562966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-2.8421709430404007E-13</v>
      </c>
      <c r="BZ178" s="14">
        <f>BY178*VLOOKUP('Données projet'!$B$12,Paramètres!$A$1:$I$89,3,0)*VLOOKUP('Données projet'!$B$12,Paramètres!$A$1:$I$89,5,0)</f>
        <v>-1.69961822393816E-13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289.12367833861299</v>
      </c>
      <c r="CE178" s="62">
        <f t="shared" si="148"/>
        <v>229.06617320689003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6.2092919191485427E-22</v>
      </c>
      <c r="CN178" s="24">
        <f t="shared" si="172"/>
        <v>6.2092919191485427E-22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-4.5224624045658861E-14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370.59298168107364</v>
      </c>
      <c r="CZ178" s="62">
        <f t="shared" si="150"/>
        <v>404.61777090709171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-5.6843418860808015E-14</v>
      </c>
      <c r="DP178" s="18">
        <f>DO178*VLOOKUP('Données projet'!$B$14,Paramètres!$A$1:$I$89,3,0)*VLOOKUP('Données projet'!$B$14,Paramètres!$A$1:$I$89,5,0)</f>
        <v>-4.9658410716801891E-14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341.65872153228599</v>
      </c>
      <c r="DU178" s="62">
        <f t="shared" si="152"/>
        <v>339.49697153894937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1.7053025658242404E-13</v>
      </c>
      <c r="EK178" s="18">
        <f>EJ178*VLOOKUP('Données projet'!$B$15,Paramètres!$A$1:$I$89,3,0)*VLOOKUP('Données projet'!$B$15,Paramètres!$A$1:$I$89,5,0)</f>
        <v>1.1439169611549005E-13</v>
      </c>
      <c r="EL178" s="14">
        <f t="shared" si="179"/>
        <v>1.6918016515029816E-12</v>
      </c>
      <c r="EM178" s="22">
        <f t="shared" si="180"/>
        <v>3.1457867471021712E-12</v>
      </c>
      <c r="EN178" s="62">
        <f t="shared" si="128"/>
        <v>293.33333333333644</v>
      </c>
      <c r="EO178" s="62">
        <f ca="1">AVERAGE(OFFSET($EN$3,0,0,'Données projet'!$E$15+1,1))-AVERAGE(OFFSET($H$3,0,0,'Données projet'!$E$15+1,1))</f>
        <v>312.06797204903796</v>
      </c>
      <c r="EP178" s="62">
        <f t="shared" si="154"/>
        <v>258.20189001775151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-9.6633812063373625E-13</v>
      </c>
      <c r="FF178" s="18">
        <f>FE178*VLOOKUP('Données projet'!$B$16,Paramètres!$A$1:$I$89,3,0)*VLOOKUP('Données projet'!$B$16,Paramètres!$A$1:$I$89,5,0)</f>
        <v>-9.3464223027694966E-13</v>
      </c>
      <c r="FG178" s="14" t="e">
        <f t="shared" si="182"/>
        <v>#NUM!</v>
      </c>
      <c r="FH178" s="22" t="e">
        <f t="shared" si="183"/>
        <v>#NUM!</v>
      </c>
      <c r="FI178" s="62" t="e">
        <f t="shared" si="131"/>
        <v>#NUM!</v>
      </c>
      <c r="FJ178" s="62">
        <f ca="1">AVERAGE(OFFSET($FI$3,0,0,'Données projet'!$E$16+1,1))-AVERAGE(OFFSET($H$3,0,0,'Données projet'!$E$16+1,1))</f>
        <v>455.50822833641354</v>
      </c>
      <c r="FK178" s="62">
        <f t="shared" si="156"/>
        <v>261.14722581688039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2.2737367544323206E-13</v>
      </c>
      <c r="O179" s="14">
        <f>N179*VLOOKUP('Données projet'!$B$9,Paramètres!$A$1:$I$89,3,0)*VLOOKUP('Données projet'!$B$9,Paramètres!$A$1:$I$89,5,0)</f>
        <v>1.2710188457276673E-13</v>
      </c>
      <c r="P179" s="14">
        <f t="shared" si="141"/>
        <v>1.856866851063998E-12</v>
      </c>
      <c r="Q179" s="22">
        <f t="shared" si="162"/>
        <v>3.4554122145673649E-12</v>
      </c>
      <c r="R179" s="62">
        <f t="shared" si="109"/>
        <v>293.33333333333678</v>
      </c>
      <c r="S179" s="62">
        <f ca="1">AVERAGE(OFFSET($R$3,0,0,'Données projet'!$E$9+1,1))-AVERAGE(OFFSET($H$3,0,0,'Données projet'!$E$9+1,1))</f>
        <v>323.98185264074681</v>
      </c>
      <c r="T179" s="62">
        <f t="shared" si="142"/>
        <v>301.22207291854005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0.2476484908037436</v>
      </c>
      <c r="AA179" s="23">
        <f>EXP(-LN(2)/25)*AA178+(1-EXP(-LN(2)/25))/(LN(2)/25)*Calculateur!V179*Calculateur!X179*VLOOKUP('Données projet'!$B$9,Paramètres!$A$1:$I$89,3,0)*0.475*44/12</f>
        <v>0.14397815332512939</v>
      </c>
      <c r="AB179" s="23">
        <f>EXP(-LN(2)/2)*AB178+(1-EXP(-LN(2)/2))/(LN(2)/2)*V179*Y179*VLOOKUP('Données projet'!$B$9,Paramètres!$A$1:$I$89,3,0)*0.475*44/12</f>
        <v>6.4457165720846772E-22</v>
      </c>
      <c r="AC179" s="24">
        <f t="shared" si="163"/>
        <v>0.39162664412887299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1.7053025658242404E-13</v>
      </c>
      <c r="AJ179" s="14">
        <f>AI179*VLOOKUP('Données projet'!$B$10,Paramètres!$A$1:$I$89,3,0)*VLOOKUP('Données projet'!$B$10,Paramètres!$A$1:$I$89,5,0)</f>
        <v>7.9808160080574461E-14</v>
      </c>
      <c r="AK179" s="14">
        <f t="shared" si="164"/>
        <v>1.2308384591775343E-12</v>
      </c>
      <c r="AL179" s="22">
        <f t="shared" si="165"/>
        <v>2.282709528541206E-12</v>
      </c>
      <c r="AM179" s="62">
        <f t="shared" si="113"/>
        <v>293.33333333333559</v>
      </c>
      <c r="AN179" s="62">
        <f ca="1">AVERAGE(OFFSET($AM$3,0,0,'Données projet'!$E$10+1,1))-AVERAGE(OFFSET($H$3,0,0,'Données projet'!$E$10+1,1))</f>
        <v>276.78862011733338</v>
      </c>
      <c r="AO179" s="62">
        <f t="shared" si="144"/>
        <v>202.1678469635836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-8.7434273154940449E-13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428.8489304403459</v>
      </c>
      <c r="BJ179" s="62">
        <f t="shared" si="146"/>
        <v>247.01165577562966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-2.8421709430404007E-13</v>
      </c>
      <c r="BZ179" s="14">
        <f>BY179*VLOOKUP('Données projet'!$B$12,Paramètres!$A$1:$I$89,3,0)*VLOOKUP('Données projet'!$B$12,Paramètres!$A$1:$I$89,5,0)</f>
        <v>-1.69961822393816E-13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289.12367833861299</v>
      </c>
      <c r="CE179" s="62">
        <f t="shared" si="148"/>
        <v>229.06617320689003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4.3906324223967662E-22</v>
      </c>
      <c r="CN179" s="24">
        <f t="shared" si="172"/>
        <v>4.3906324223967662E-22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-4.5224624045658861E-14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370.59298168107364</v>
      </c>
      <c r="CZ179" s="62">
        <f t="shared" si="150"/>
        <v>404.61777090709171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-5.6843418860808015E-14</v>
      </c>
      <c r="DP179" s="18">
        <f>DO179*VLOOKUP('Données projet'!$B$14,Paramètres!$A$1:$I$89,3,0)*VLOOKUP('Données projet'!$B$14,Paramètres!$A$1:$I$89,5,0)</f>
        <v>-4.9658410716801891E-14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341.65872153228599</v>
      </c>
      <c r="DU179" s="62">
        <f t="shared" si="152"/>
        <v>339.49697153894937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1.7053025658242404E-13</v>
      </c>
      <c r="EK179" s="18">
        <f>EJ179*VLOOKUP('Données projet'!$B$15,Paramètres!$A$1:$I$89,3,0)*VLOOKUP('Données projet'!$B$15,Paramètres!$A$1:$I$89,5,0)</f>
        <v>1.1439169611549005E-13</v>
      </c>
      <c r="EL179" s="14">
        <f t="shared" si="179"/>
        <v>1.6918016515029816E-12</v>
      </c>
      <c r="EM179" s="22">
        <f t="shared" si="180"/>
        <v>3.1457867471021712E-12</v>
      </c>
      <c r="EN179" s="62">
        <f t="shared" si="128"/>
        <v>293.33333333333644</v>
      </c>
      <c r="EO179" s="62">
        <f ca="1">AVERAGE(OFFSET($EN$3,0,0,'Données projet'!$E$15+1,1))-AVERAGE(OFFSET($H$3,0,0,'Données projet'!$E$15+1,1))</f>
        <v>312.06797204903796</v>
      </c>
      <c r="EP179" s="62">
        <f t="shared" si="154"/>
        <v>258.20189001775151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-9.6633812063373625E-13</v>
      </c>
      <c r="FF179" s="18">
        <f>FE179*VLOOKUP('Données projet'!$B$16,Paramètres!$A$1:$I$89,3,0)*VLOOKUP('Données projet'!$B$16,Paramètres!$A$1:$I$89,5,0)</f>
        <v>-9.3464223027694966E-13</v>
      </c>
      <c r="FG179" s="14" t="e">
        <f t="shared" si="182"/>
        <v>#NUM!</v>
      </c>
      <c r="FH179" s="22" t="e">
        <f t="shared" si="183"/>
        <v>#NUM!</v>
      </c>
      <c r="FI179" s="62" t="e">
        <f t="shared" si="131"/>
        <v>#NUM!</v>
      </c>
      <c r="FJ179" s="62">
        <f ca="1">AVERAGE(OFFSET($FI$3,0,0,'Données projet'!$E$16+1,1))-AVERAGE(OFFSET($H$3,0,0,'Données projet'!$E$16+1,1))</f>
        <v>455.50822833641354</v>
      </c>
      <c r="FK179" s="62">
        <f t="shared" si="156"/>
        <v>261.14722581688039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2.2737367544323206E-13</v>
      </c>
      <c r="O180" s="14">
        <f>N180*VLOOKUP('Données projet'!$B$9,Paramètres!$A$1:$I$89,3,0)*VLOOKUP('Données projet'!$B$9,Paramètres!$A$1:$I$89,5,0)</f>
        <v>1.2710188457276673E-13</v>
      </c>
      <c r="P180" s="14">
        <f t="shared" si="141"/>
        <v>1.856866851063998E-12</v>
      </c>
      <c r="Q180" s="22">
        <f t="shared" si="162"/>
        <v>3.4554122145673649E-12</v>
      </c>
      <c r="R180" s="62">
        <f t="shared" si="109"/>
        <v>293.33333333333678</v>
      </c>
      <c r="S180" s="62">
        <f ca="1">AVERAGE(OFFSET($R$3,0,0,'Données projet'!$E$9+1,1))-AVERAGE(OFFSET($H$3,0,0,'Données projet'!$E$9+1,1))</f>
        <v>323.98185264074681</v>
      </c>
      <c r="T180" s="62">
        <f t="shared" si="142"/>
        <v>301.22207291854005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0.24279225494974657</v>
      </c>
      <c r="AA180" s="23">
        <f>EXP(-LN(2)/25)*AA179+(1-EXP(-LN(2)/25))/(LN(2)/25)*Calculateur!V180*Calculateur!X180*VLOOKUP('Données projet'!$B$9,Paramètres!$A$1:$I$89,3,0)*0.475*44/12</f>
        <v>0.1400410631509717</v>
      </c>
      <c r="AB180" s="23">
        <f>EXP(-LN(2)/2)*AB179+(1-EXP(-LN(2)/2))/(LN(2)/2)*V180*Y180*VLOOKUP('Données projet'!$B$9,Paramètres!$A$1:$I$89,3,0)*0.475*44/12</f>
        <v>4.557809897727583E-22</v>
      </c>
      <c r="AC180" s="24">
        <f t="shared" si="163"/>
        <v>0.3828333181007183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1.7053025658242404E-13</v>
      </c>
      <c r="AJ180" s="14">
        <f>AI180*VLOOKUP('Données projet'!$B$10,Paramètres!$A$1:$I$89,3,0)*VLOOKUP('Données projet'!$B$10,Paramètres!$A$1:$I$89,5,0)</f>
        <v>7.9808160080574461E-14</v>
      </c>
      <c r="AK180" s="14">
        <f t="shared" si="164"/>
        <v>1.2308384591775343E-12</v>
      </c>
      <c r="AL180" s="22">
        <f t="shared" si="165"/>
        <v>2.282709528541206E-12</v>
      </c>
      <c r="AM180" s="62">
        <f t="shared" si="113"/>
        <v>293.33333333333559</v>
      </c>
      <c r="AN180" s="62">
        <f ca="1">AVERAGE(OFFSET($AM$3,0,0,'Données projet'!$E$10+1,1))-AVERAGE(OFFSET($H$3,0,0,'Données projet'!$E$10+1,1))</f>
        <v>276.78862011733338</v>
      </c>
      <c r="AO180" s="62">
        <f t="shared" si="144"/>
        <v>202.1678469635836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-8.7434273154940449E-13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428.8489304403459</v>
      </c>
      <c r="BJ180" s="62">
        <f t="shared" si="146"/>
        <v>247.01165577562966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-2.8421709430404007E-13</v>
      </c>
      <c r="BZ180" s="14">
        <f>BY180*VLOOKUP('Données projet'!$B$12,Paramètres!$A$1:$I$89,3,0)*VLOOKUP('Données projet'!$B$12,Paramètres!$A$1:$I$89,5,0)</f>
        <v>-1.69961822393816E-13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289.12367833861299</v>
      </c>
      <c r="CE180" s="62">
        <f t="shared" si="148"/>
        <v>229.06617320689003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3.1046459595742713E-22</v>
      </c>
      <c r="CN180" s="24">
        <f t="shared" si="172"/>
        <v>3.1046459595742713E-22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-4.5224624045658861E-14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370.59298168107364</v>
      </c>
      <c r="CZ180" s="62">
        <f t="shared" si="150"/>
        <v>404.61777090709171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-5.6843418860808015E-14</v>
      </c>
      <c r="DP180" s="18">
        <f>DO180*VLOOKUP('Données projet'!$B$14,Paramètres!$A$1:$I$89,3,0)*VLOOKUP('Données projet'!$B$14,Paramètres!$A$1:$I$89,5,0)</f>
        <v>-4.9658410716801891E-14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341.65872153228599</v>
      </c>
      <c r="DU180" s="62">
        <f t="shared" si="152"/>
        <v>339.49697153894937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1.7053025658242404E-13</v>
      </c>
      <c r="EK180" s="18">
        <f>EJ180*VLOOKUP('Données projet'!$B$15,Paramètres!$A$1:$I$89,3,0)*VLOOKUP('Données projet'!$B$15,Paramètres!$A$1:$I$89,5,0)</f>
        <v>1.1439169611549005E-13</v>
      </c>
      <c r="EL180" s="14">
        <f t="shared" si="179"/>
        <v>1.6918016515029816E-12</v>
      </c>
      <c r="EM180" s="22">
        <f t="shared" si="180"/>
        <v>3.1457867471021712E-12</v>
      </c>
      <c r="EN180" s="62">
        <f t="shared" si="128"/>
        <v>293.33333333333644</v>
      </c>
      <c r="EO180" s="62">
        <f ca="1">AVERAGE(OFFSET($EN$3,0,0,'Données projet'!$E$15+1,1))-AVERAGE(OFFSET($H$3,0,0,'Données projet'!$E$15+1,1))</f>
        <v>312.06797204903796</v>
      </c>
      <c r="EP180" s="62">
        <f t="shared" si="154"/>
        <v>258.20189001775151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-9.6633812063373625E-13</v>
      </c>
      <c r="FF180" s="18">
        <f>FE180*VLOOKUP('Données projet'!$B$16,Paramètres!$A$1:$I$89,3,0)*VLOOKUP('Données projet'!$B$16,Paramètres!$A$1:$I$89,5,0)</f>
        <v>-9.3464223027694966E-13</v>
      </c>
      <c r="FG180" s="14" t="e">
        <f t="shared" si="182"/>
        <v>#NUM!</v>
      </c>
      <c r="FH180" s="22" t="e">
        <f t="shared" si="183"/>
        <v>#NUM!</v>
      </c>
      <c r="FI180" s="62" t="e">
        <f t="shared" si="131"/>
        <v>#NUM!</v>
      </c>
      <c r="FJ180" s="62">
        <f ca="1">AVERAGE(OFFSET($FI$3,0,0,'Données projet'!$E$16+1,1))-AVERAGE(OFFSET($H$3,0,0,'Données projet'!$E$16+1,1))</f>
        <v>455.50822833641354</v>
      </c>
      <c r="FK180" s="62">
        <f t="shared" si="156"/>
        <v>261.14722581688039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2.2737367544323206E-13</v>
      </c>
      <c r="O181" s="14">
        <f>N181*VLOOKUP('Données projet'!$B$9,Paramètres!$A$1:$I$89,3,0)*VLOOKUP('Données projet'!$B$9,Paramètres!$A$1:$I$89,5,0)</f>
        <v>1.2710188457276673E-13</v>
      </c>
      <c r="P181" s="14">
        <f t="shared" si="141"/>
        <v>1.856866851063998E-12</v>
      </c>
      <c r="Q181" s="22">
        <f t="shared" si="162"/>
        <v>3.4554122145673649E-12</v>
      </c>
      <c r="R181" s="62">
        <f t="shared" si="109"/>
        <v>293.33333333333678</v>
      </c>
      <c r="S181" s="62">
        <f ca="1">AVERAGE(OFFSET($R$3,0,0,'Données projet'!$E$9+1,1))-AVERAGE(OFFSET($H$3,0,0,'Données projet'!$E$9+1,1))</f>
        <v>323.98185264074681</v>
      </c>
      <c r="T181" s="62">
        <f t="shared" si="142"/>
        <v>301.22207291854005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0.23803124691883501</v>
      </c>
      <c r="AA181" s="23">
        <f>EXP(-LN(2)/25)*AA180+(1-EXP(-LN(2)/25))/(LN(2)/25)*Calculateur!V181*Calculateur!X181*VLOOKUP('Données projet'!$B$9,Paramètres!$A$1:$I$89,3,0)*0.475*44/12</f>
        <v>0.13621163291466892</v>
      </c>
      <c r="AB181" s="23">
        <f>EXP(-LN(2)/2)*AB180+(1-EXP(-LN(2)/2))/(LN(2)/2)*V181*Y181*VLOOKUP('Données projet'!$B$9,Paramètres!$A$1:$I$89,3,0)*0.475*44/12</f>
        <v>3.2228582860423386E-22</v>
      </c>
      <c r="AC181" s="24">
        <f t="shared" si="163"/>
        <v>0.37424287983350391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1.7053025658242404E-13</v>
      </c>
      <c r="AJ181" s="14">
        <f>AI181*VLOOKUP('Données projet'!$B$10,Paramètres!$A$1:$I$89,3,0)*VLOOKUP('Données projet'!$B$10,Paramètres!$A$1:$I$89,5,0)</f>
        <v>7.9808160080574461E-14</v>
      </c>
      <c r="AK181" s="14">
        <f t="shared" si="164"/>
        <v>1.2308384591775343E-12</v>
      </c>
      <c r="AL181" s="22">
        <f t="shared" si="165"/>
        <v>2.282709528541206E-12</v>
      </c>
      <c r="AM181" s="62">
        <f t="shared" si="113"/>
        <v>293.33333333333559</v>
      </c>
      <c r="AN181" s="62">
        <f ca="1">AVERAGE(OFFSET($AM$3,0,0,'Données projet'!$E$10+1,1))-AVERAGE(OFFSET($H$3,0,0,'Données projet'!$E$10+1,1))</f>
        <v>276.78862011733338</v>
      </c>
      <c r="AO181" s="62">
        <f t="shared" si="144"/>
        <v>202.1678469635836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-8.7434273154940449E-13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428.8489304403459</v>
      </c>
      <c r="BJ181" s="62">
        <f t="shared" si="146"/>
        <v>247.01165577562966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-2.8421709430404007E-13</v>
      </c>
      <c r="BZ181" s="14">
        <f>BY181*VLOOKUP('Données projet'!$B$12,Paramètres!$A$1:$I$89,3,0)*VLOOKUP('Données projet'!$B$12,Paramètres!$A$1:$I$89,5,0)</f>
        <v>-1.69961822393816E-13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289.12367833861299</v>
      </c>
      <c r="CE181" s="62">
        <f t="shared" si="148"/>
        <v>229.06617320689003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2.1953162111983831E-22</v>
      </c>
      <c r="CN181" s="24">
        <f t="shared" si="172"/>
        <v>2.1953162111983831E-22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-4.5224624045658861E-14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370.59298168107364</v>
      </c>
      <c r="CZ181" s="62">
        <f t="shared" si="150"/>
        <v>404.61777090709171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-5.6843418860808015E-14</v>
      </c>
      <c r="DP181" s="18">
        <f>DO181*VLOOKUP('Données projet'!$B$14,Paramètres!$A$1:$I$89,3,0)*VLOOKUP('Données projet'!$B$14,Paramètres!$A$1:$I$89,5,0)</f>
        <v>-4.9658410716801891E-14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341.65872153228599</v>
      </c>
      <c r="DU181" s="62">
        <f t="shared" si="152"/>
        <v>339.49697153894937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1.7053025658242404E-13</v>
      </c>
      <c r="EK181" s="18">
        <f>EJ181*VLOOKUP('Données projet'!$B$15,Paramètres!$A$1:$I$89,3,0)*VLOOKUP('Données projet'!$B$15,Paramètres!$A$1:$I$89,5,0)</f>
        <v>1.1439169611549005E-13</v>
      </c>
      <c r="EL181" s="14">
        <f t="shared" si="179"/>
        <v>1.6918016515029816E-12</v>
      </c>
      <c r="EM181" s="22">
        <f t="shared" si="180"/>
        <v>3.1457867471021712E-12</v>
      </c>
      <c r="EN181" s="62">
        <f t="shared" si="128"/>
        <v>293.33333333333644</v>
      </c>
      <c r="EO181" s="62">
        <f ca="1">AVERAGE(OFFSET($EN$3,0,0,'Données projet'!$E$15+1,1))-AVERAGE(OFFSET($H$3,0,0,'Données projet'!$E$15+1,1))</f>
        <v>312.06797204903796</v>
      </c>
      <c r="EP181" s="62">
        <f t="shared" si="154"/>
        <v>258.20189001775151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-9.6633812063373625E-13</v>
      </c>
      <c r="FF181" s="18">
        <f>FE181*VLOOKUP('Données projet'!$B$16,Paramètres!$A$1:$I$89,3,0)*VLOOKUP('Données projet'!$B$16,Paramètres!$A$1:$I$89,5,0)</f>
        <v>-9.3464223027694966E-13</v>
      </c>
      <c r="FG181" s="14" t="e">
        <f t="shared" si="182"/>
        <v>#NUM!</v>
      </c>
      <c r="FH181" s="22" t="e">
        <f t="shared" si="183"/>
        <v>#NUM!</v>
      </c>
      <c r="FI181" s="62" t="e">
        <f t="shared" si="131"/>
        <v>#NUM!</v>
      </c>
      <c r="FJ181" s="62">
        <f ca="1">AVERAGE(OFFSET($FI$3,0,0,'Données projet'!$E$16+1,1))-AVERAGE(OFFSET($H$3,0,0,'Données projet'!$E$16+1,1))</f>
        <v>455.50822833641354</v>
      </c>
      <c r="FK181" s="62">
        <f t="shared" si="156"/>
        <v>261.14722581688039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2.2737367544323206E-13</v>
      </c>
      <c r="O182" s="14">
        <f>N182*VLOOKUP('Données projet'!$B$9,Paramètres!$A$1:$I$89,3,0)*VLOOKUP('Données projet'!$B$9,Paramètres!$A$1:$I$89,5,0)</f>
        <v>1.2710188457276673E-13</v>
      </c>
      <c r="P182" s="14">
        <f t="shared" si="141"/>
        <v>1.856866851063998E-12</v>
      </c>
      <c r="Q182" s="22">
        <f t="shared" si="162"/>
        <v>3.4554122145673649E-12</v>
      </c>
      <c r="R182" s="62">
        <f t="shared" si="109"/>
        <v>293.33333333333678</v>
      </c>
      <c r="S182" s="62">
        <f ca="1">AVERAGE(OFFSET($R$3,0,0,'Données projet'!$E$9+1,1))-AVERAGE(OFFSET($H$3,0,0,'Données projet'!$E$9+1,1))</f>
        <v>323.98185264074681</v>
      </c>
      <c r="T182" s="62">
        <f t="shared" si="142"/>
        <v>301.22207291854005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0.23336359935148149</v>
      </c>
      <c r="AA182" s="23">
        <f>EXP(-LN(2)/25)*AA181+(1-EXP(-LN(2)/25))/(LN(2)/25)*Calculateur!V182*Calculateur!X182*VLOOKUP('Données projet'!$B$9,Paramètres!$A$1:$I$89,3,0)*0.475*44/12</f>
        <v>0.13248691864955883</v>
      </c>
      <c r="AB182" s="23">
        <f>EXP(-LN(2)/2)*AB181+(1-EXP(-LN(2)/2))/(LN(2)/2)*V182*Y182*VLOOKUP('Données projet'!$B$9,Paramètres!$A$1:$I$89,3,0)*0.475*44/12</f>
        <v>2.2789049488637915E-22</v>
      </c>
      <c r="AC182" s="24">
        <f t="shared" si="163"/>
        <v>0.36585051800104029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1.7053025658242404E-13</v>
      </c>
      <c r="AJ182" s="14">
        <f>AI182*VLOOKUP('Données projet'!$B$10,Paramètres!$A$1:$I$89,3,0)*VLOOKUP('Données projet'!$B$10,Paramètres!$A$1:$I$89,5,0)</f>
        <v>7.9808160080574461E-14</v>
      </c>
      <c r="AK182" s="14">
        <f t="shared" si="164"/>
        <v>1.2308384591775343E-12</v>
      </c>
      <c r="AL182" s="22">
        <f t="shared" si="165"/>
        <v>2.282709528541206E-12</v>
      </c>
      <c r="AM182" s="62">
        <f t="shared" si="113"/>
        <v>293.33333333333559</v>
      </c>
      <c r="AN182" s="62">
        <f ca="1">AVERAGE(OFFSET($AM$3,0,0,'Données projet'!$E$10+1,1))-AVERAGE(OFFSET($H$3,0,0,'Données projet'!$E$10+1,1))</f>
        <v>276.78862011733338</v>
      </c>
      <c r="AO182" s="62">
        <f t="shared" si="144"/>
        <v>202.1678469635836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-8.7434273154940449E-13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428.8489304403459</v>
      </c>
      <c r="BJ182" s="62">
        <f t="shared" si="146"/>
        <v>247.01165577562966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-2.8421709430404007E-13</v>
      </c>
      <c r="BZ182" s="14">
        <f>BY182*VLOOKUP('Données projet'!$B$12,Paramètres!$A$1:$I$89,3,0)*VLOOKUP('Données projet'!$B$12,Paramètres!$A$1:$I$89,5,0)</f>
        <v>-1.69961822393816E-13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289.12367833861299</v>
      </c>
      <c r="CE182" s="62">
        <f t="shared" si="148"/>
        <v>229.06617320689003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1.5523229797871357E-22</v>
      </c>
      <c r="CN182" s="24">
        <f t="shared" si="172"/>
        <v>1.5523229797871357E-22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-4.5224624045658861E-14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370.59298168107364</v>
      </c>
      <c r="CZ182" s="62">
        <f t="shared" si="150"/>
        <v>404.61777090709171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-5.6843418860808015E-14</v>
      </c>
      <c r="DP182" s="18">
        <f>DO182*VLOOKUP('Données projet'!$B$14,Paramètres!$A$1:$I$89,3,0)*VLOOKUP('Données projet'!$B$14,Paramètres!$A$1:$I$89,5,0)</f>
        <v>-4.9658410716801891E-14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341.65872153228599</v>
      </c>
      <c r="DU182" s="62">
        <f t="shared" si="152"/>
        <v>339.49697153894937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1.7053025658242404E-13</v>
      </c>
      <c r="EK182" s="18">
        <f>EJ182*VLOOKUP('Données projet'!$B$15,Paramètres!$A$1:$I$89,3,0)*VLOOKUP('Données projet'!$B$15,Paramètres!$A$1:$I$89,5,0)</f>
        <v>1.1439169611549005E-13</v>
      </c>
      <c r="EL182" s="14">
        <f t="shared" si="179"/>
        <v>1.6918016515029816E-12</v>
      </c>
      <c r="EM182" s="22">
        <f t="shared" si="180"/>
        <v>3.1457867471021712E-12</v>
      </c>
      <c r="EN182" s="62">
        <f t="shared" si="128"/>
        <v>293.33333333333644</v>
      </c>
      <c r="EO182" s="62">
        <f ca="1">AVERAGE(OFFSET($EN$3,0,0,'Données projet'!$E$15+1,1))-AVERAGE(OFFSET($H$3,0,0,'Données projet'!$E$15+1,1))</f>
        <v>312.06797204903796</v>
      </c>
      <c r="EP182" s="62">
        <f t="shared" si="154"/>
        <v>258.20189001775151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-9.6633812063373625E-13</v>
      </c>
      <c r="FF182" s="18">
        <f>FE182*VLOOKUP('Données projet'!$B$16,Paramètres!$A$1:$I$89,3,0)*VLOOKUP('Données projet'!$B$16,Paramètres!$A$1:$I$89,5,0)</f>
        <v>-9.3464223027694966E-13</v>
      </c>
      <c r="FG182" s="14" t="e">
        <f t="shared" si="182"/>
        <v>#NUM!</v>
      </c>
      <c r="FH182" s="22" t="e">
        <f t="shared" si="183"/>
        <v>#NUM!</v>
      </c>
      <c r="FI182" s="62" t="e">
        <f t="shared" si="131"/>
        <v>#NUM!</v>
      </c>
      <c r="FJ182" s="62">
        <f ca="1">AVERAGE(OFFSET($FI$3,0,0,'Données projet'!$E$16+1,1))-AVERAGE(OFFSET($H$3,0,0,'Données projet'!$E$16+1,1))</f>
        <v>455.50822833641354</v>
      </c>
      <c r="FK182" s="62">
        <f t="shared" si="156"/>
        <v>261.14722581688039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2.2737367544323206E-13</v>
      </c>
      <c r="O183" s="14">
        <f>N183*VLOOKUP('Données projet'!$B$9,Paramètres!$A$1:$I$89,3,0)*VLOOKUP('Données projet'!$B$9,Paramètres!$A$1:$I$89,5,0)</f>
        <v>1.2710188457276673E-13</v>
      </c>
      <c r="P183" s="14">
        <f t="shared" si="141"/>
        <v>1.856866851063998E-12</v>
      </c>
      <c r="Q183" s="22">
        <f t="shared" si="162"/>
        <v>3.4554122145673649E-12</v>
      </c>
      <c r="R183" s="62">
        <f t="shared" si="109"/>
        <v>293.33333333333678</v>
      </c>
      <c r="S183" s="62">
        <f ca="1">AVERAGE(OFFSET($R$3,0,0,'Données projet'!$E$9+1,1))-AVERAGE(OFFSET($H$3,0,0,'Données projet'!$E$9+1,1))</f>
        <v>323.98185264074681</v>
      </c>
      <c r="T183" s="62">
        <f t="shared" si="142"/>
        <v>301.22207291854005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0.22878748150593986</v>
      </c>
      <c r="AA183" s="23">
        <f>EXP(-LN(2)/25)*AA182+(1-EXP(-LN(2)/25))/(LN(2)/25)*Calculateur!V183*Calculateur!X183*VLOOKUP('Données projet'!$B$9,Paramètres!$A$1:$I$89,3,0)*0.475*44/12</f>
        <v>0.12886405689190239</v>
      </c>
      <c r="AB183" s="23">
        <f>EXP(-LN(2)/2)*AB182+(1-EXP(-LN(2)/2))/(LN(2)/2)*V183*Y183*VLOOKUP('Données projet'!$B$9,Paramètres!$A$1:$I$89,3,0)*0.475*44/12</f>
        <v>1.6114291430211693E-22</v>
      </c>
      <c r="AC183" s="24">
        <f t="shared" si="163"/>
        <v>0.35765153839784225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1.7053025658242404E-13</v>
      </c>
      <c r="AJ183" s="14">
        <f>AI183*VLOOKUP('Données projet'!$B$10,Paramètres!$A$1:$I$89,3,0)*VLOOKUP('Données projet'!$B$10,Paramètres!$A$1:$I$89,5,0)</f>
        <v>7.9808160080574461E-14</v>
      </c>
      <c r="AK183" s="14">
        <f t="shared" si="164"/>
        <v>1.2308384591775343E-12</v>
      </c>
      <c r="AL183" s="22">
        <f t="shared" si="165"/>
        <v>2.282709528541206E-12</v>
      </c>
      <c r="AM183" s="62">
        <f t="shared" si="113"/>
        <v>293.33333333333559</v>
      </c>
      <c r="AN183" s="62">
        <f ca="1">AVERAGE(OFFSET($AM$3,0,0,'Données projet'!$E$10+1,1))-AVERAGE(OFFSET($H$3,0,0,'Données projet'!$E$10+1,1))</f>
        <v>276.78862011733338</v>
      </c>
      <c r="AO183" s="62">
        <f t="shared" si="144"/>
        <v>202.1678469635836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-8.7434273154940449E-13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428.8489304403459</v>
      </c>
      <c r="BJ183" s="62">
        <f t="shared" si="146"/>
        <v>247.01165577562966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-2.8421709430404007E-13</v>
      </c>
      <c r="BZ183" s="14">
        <f>BY183*VLOOKUP('Données projet'!$B$12,Paramètres!$A$1:$I$89,3,0)*VLOOKUP('Données projet'!$B$12,Paramètres!$A$1:$I$89,5,0)</f>
        <v>-1.69961822393816E-13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289.12367833861299</v>
      </c>
      <c r="CE183" s="62">
        <f t="shared" si="148"/>
        <v>229.06617320689003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1.0976581055991916E-22</v>
      </c>
      <c r="CN183" s="24">
        <f t="shared" si="172"/>
        <v>1.0976581055991916E-22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-4.5224624045658861E-14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370.59298168107364</v>
      </c>
      <c r="CZ183" s="62">
        <f t="shared" si="150"/>
        <v>404.61777090709171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-5.6843418860808015E-14</v>
      </c>
      <c r="DP183" s="18">
        <f>DO183*VLOOKUP('Données projet'!$B$14,Paramètres!$A$1:$I$89,3,0)*VLOOKUP('Données projet'!$B$14,Paramètres!$A$1:$I$89,5,0)</f>
        <v>-4.9658410716801891E-14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341.65872153228599</v>
      </c>
      <c r="DU183" s="62">
        <f t="shared" si="152"/>
        <v>339.49697153894937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1.7053025658242404E-13</v>
      </c>
      <c r="EK183" s="18">
        <f>EJ183*VLOOKUP('Données projet'!$B$15,Paramètres!$A$1:$I$89,3,0)*VLOOKUP('Données projet'!$B$15,Paramètres!$A$1:$I$89,5,0)</f>
        <v>1.1439169611549005E-13</v>
      </c>
      <c r="EL183" s="14">
        <f t="shared" si="179"/>
        <v>1.6918016515029816E-12</v>
      </c>
      <c r="EM183" s="22">
        <f t="shared" si="180"/>
        <v>3.1457867471021712E-12</v>
      </c>
      <c r="EN183" s="62">
        <f t="shared" si="128"/>
        <v>293.33333333333644</v>
      </c>
      <c r="EO183" s="62">
        <f ca="1">AVERAGE(OFFSET($EN$3,0,0,'Données projet'!$E$15+1,1))-AVERAGE(OFFSET($H$3,0,0,'Données projet'!$E$15+1,1))</f>
        <v>312.06797204903796</v>
      </c>
      <c r="EP183" s="62">
        <f t="shared" si="154"/>
        <v>258.20189001775151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-9.6633812063373625E-13</v>
      </c>
      <c r="FF183" s="18">
        <f>FE183*VLOOKUP('Données projet'!$B$16,Paramètres!$A$1:$I$89,3,0)*VLOOKUP('Données projet'!$B$16,Paramètres!$A$1:$I$89,5,0)</f>
        <v>-9.3464223027694966E-13</v>
      </c>
      <c r="FG183" s="14" t="e">
        <f t="shared" si="182"/>
        <v>#NUM!</v>
      </c>
      <c r="FH183" s="22" t="e">
        <f t="shared" si="183"/>
        <v>#NUM!</v>
      </c>
      <c r="FI183" s="62" t="e">
        <f t="shared" si="131"/>
        <v>#NUM!</v>
      </c>
      <c r="FJ183" s="62">
        <f ca="1">AVERAGE(OFFSET($FI$3,0,0,'Données projet'!$E$16+1,1))-AVERAGE(OFFSET($H$3,0,0,'Données projet'!$E$16+1,1))</f>
        <v>455.50822833641354</v>
      </c>
      <c r="FK183" s="62">
        <f t="shared" si="156"/>
        <v>261.14722581688039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2.2737367544323206E-13</v>
      </c>
      <c r="O184" s="14">
        <f>N184*VLOOKUP('Données projet'!$B$9,Paramètres!$A$1:$I$89,3,0)*VLOOKUP('Données projet'!$B$9,Paramètres!$A$1:$I$89,5,0)</f>
        <v>1.2710188457276673E-13</v>
      </c>
      <c r="P184" s="14">
        <f t="shared" si="141"/>
        <v>1.856866851063998E-12</v>
      </c>
      <c r="Q184" s="22">
        <f t="shared" si="162"/>
        <v>3.4554122145673649E-12</v>
      </c>
      <c r="R184" s="62">
        <f t="shared" si="109"/>
        <v>293.33333333333678</v>
      </c>
      <c r="S184" s="62">
        <f ca="1">AVERAGE(OFFSET($R$3,0,0,'Données projet'!$E$9+1,1))-AVERAGE(OFFSET($H$3,0,0,'Données projet'!$E$9+1,1))</f>
        <v>323.98185264074681</v>
      </c>
      <c r="T184" s="62">
        <f t="shared" si="142"/>
        <v>301.22207291854005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0.22430109854019301</v>
      </c>
      <c r="AA184" s="23">
        <f>EXP(-LN(2)/25)*AA183+(1-EXP(-LN(2)/25))/(LN(2)/25)*Calculateur!V184*Calculateur!X184*VLOOKUP('Données projet'!$B$9,Paramètres!$A$1:$I$89,3,0)*0.475*44/12</f>
        <v>0.12534026247952709</v>
      </c>
      <c r="AB184" s="23">
        <f>EXP(-LN(2)/2)*AB183+(1-EXP(-LN(2)/2))/(LN(2)/2)*V184*Y184*VLOOKUP('Données projet'!$B$9,Paramètres!$A$1:$I$89,3,0)*0.475*44/12</f>
        <v>1.1394524744318957E-22</v>
      </c>
      <c r="AC184" s="24">
        <f t="shared" si="163"/>
        <v>0.3496413610197201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1.7053025658242404E-13</v>
      </c>
      <c r="AJ184" s="14">
        <f>AI184*VLOOKUP('Données projet'!$B$10,Paramètres!$A$1:$I$89,3,0)*VLOOKUP('Données projet'!$B$10,Paramètres!$A$1:$I$89,5,0)</f>
        <v>7.9808160080574461E-14</v>
      </c>
      <c r="AK184" s="14">
        <f t="shared" si="164"/>
        <v>1.2308384591775343E-12</v>
      </c>
      <c r="AL184" s="22">
        <f t="shared" si="165"/>
        <v>2.282709528541206E-12</v>
      </c>
      <c r="AM184" s="62">
        <f t="shared" si="113"/>
        <v>293.33333333333559</v>
      </c>
      <c r="AN184" s="62">
        <f ca="1">AVERAGE(OFFSET($AM$3,0,0,'Données projet'!$E$10+1,1))-AVERAGE(OFFSET($H$3,0,0,'Données projet'!$E$10+1,1))</f>
        <v>276.78862011733338</v>
      </c>
      <c r="AO184" s="62">
        <f t="shared" si="144"/>
        <v>202.1678469635836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-8.7434273154940449E-13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428.8489304403459</v>
      </c>
      <c r="BJ184" s="62">
        <f t="shared" si="146"/>
        <v>247.01165577562966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-2.8421709430404007E-13</v>
      </c>
      <c r="BZ184" s="14">
        <f>BY184*VLOOKUP('Données projet'!$B$12,Paramètres!$A$1:$I$89,3,0)*VLOOKUP('Données projet'!$B$12,Paramètres!$A$1:$I$89,5,0)</f>
        <v>-1.69961822393816E-13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289.12367833861299</v>
      </c>
      <c r="CE184" s="62">
        <f t="shared" si="148"/>
        <v>229.06617320689003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7.7616148989356783E-23</v>
      </c>
      <c r="CN184" s="24">
        <f t="shared" si="172"/>
        <v>7.7616148989356783E-23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-4.5224624045658861E-14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370.59298168107364</v>
      </c>
      <c r="CZ184" s="62">
        <f t="shared" si="150"/>
        <v>404.61777090709171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-5.6843418860808015E-14</v>
      </c>
      <c r="DP184" s="18">
        <f>DO184*VLOOKUP('Données projet'!$B$14,Paramètres!$A$1:$I$89,3,0)*VLOOKUP('Données projet'!$B$14,Paramètres!$A$1:$I$89,5,0)</f>
        <v>-4.9658410716801891E-14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341.65872153228599</v>
      </c>
      <c r="DU184" s="62">
        <f t="shared" si="152"/>
        <v>339.49697153894937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1.7053025658242404E-13</v>
      </c>
      <c r="EK184" s="18">
        <f>EJ184*VLOOKUP('Données projet'!$B$15,Paramètres!$A$1:$I$89,3,0)*VLOOKUP('Données projet'!$B$15,Paramètres!$A$1:$I$89,5,0)</f>
        <v>1.1439169611549005E-13</v>
      </c>
      <c r="EL184" s="14">
        <f t="shared" si="179"/>
        <v>1.6918016515029816E-12</v>
      </c>
      <c r="EM184" s="22">
        <f t="shared" si="180"/>
        <v>3.1457867471021712E-12</v>
      </c>
      <c r="EN184" s="62">
        <f t="shared" si="128"/>
        <v>293.33333333333644</v>
      </c>
      <c r="EO184" s="62">
        <f ca="1">AVERAGE(OFFSET($EN$3,0,0,'Données projet'!$E$15+1,1))-AVERAGE(OFFSET($H$3,0,0,'Données projet'!$E$15+1,1))</f>
        <v>312.06797204903796</v>
      </c>
      <c r="EP184" s="62">
        <f t="shared" si="154"/>
        <v>258.20189001775151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-9.6633812063373625E-13</v>
      </c>
      <c r="FF184" s="18">
        <f>FE184*VLOOKUP('Données projet'!$B$16,Paramètres!$A$1:$I$89,3,0)*VLOOKUP('Données projet'!$B$16,Paramètres!$A$1:$I$89,5,0)</f>
        <v>-9.3464223027694966E-13</v>
      </c>
      <c r="FG184" s="14" t="e">
        <f t="shared" si="182"/>
        <v>#NUM!</v>
      </c>
      <c r="FH184" s="22" t="e">
        <f t="shared" si="183"/>
        <v>#NUM!</v>
      </c>
      <c r="FI184" s="62" t="e">
        <f t="shared" si="131"/>
        <v>#NUM!</v>
      </c>
      <c r="FJ184" s="62">
        <f ca="1">AVERAGE(OFFSET($FI$3,0,0,'Données projet'!$E$16+1,1))-AVERAGE(OFFSET($H$3,0,0,'Données projet'!$E$16+1,1))</f>
        <v>455.50822833641354</v>
      </c>
      <c r="FK184" s="62">
        <f t="shared" si="156"/>
        <v>261.14722581688039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2.2737367544323206E-13</v>
      </c>
      <c r="O185" s="14">
        <f>N185*VLOOKUP('Données projet'!$B$9,Paramètres!$A$1:$I$89,3,0)*VLOOKUP('Données projet'!$B$9,Paramètres!$A$1:$I$89,5,0)</f>
        <v>1.2710188457276673E-13</v>
      </c>
      <c r="P185" s="14">
        <f t="shared" si="141"/>
        <v>1.856866851063998E-12</v>
      </c>
      <c r="Q185" s="22">
        <f t="shared" si="162"/>
        <v>3.4554122145673649E-12</v>
      </c>
      <c r="R185" s="62">
        <f t="shared" si="109"/>
        <v>293.33333333333678</v>
      </c>
      <c r="S185" s="62">
        <f ca="1">AVERAGE(OFFSET($R$3,0,0,'Données projet'!$E$9+1,1))-AVERAGE(OFFSET($H$3,0,0,'Données projet'!$E$9+1,1))</f>
        <v>323.98185264074681</v>
      </c>
      <c r="T185" s="62">
        <f t="shared" si="142"/>
        <v>301.22207291854005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0.21990269080798105</v>
      </c>
      <c r="AA185" s="23">
        <f>EXP(-LN(2)/25)*AA184+(1-EXP(-LN(2)/25))/(LN(2)/25)*Calculateur!V185*Calculateur!X185*VLOOKUP('Données projet'!$B$9,Paramètres!$A$1:$I$89,3,0)*0.475*44/12</f>
        <v>0.12191282641066649</v>
      </c>
      <c r="AB185" s="23">
        <f>EXP(-LN(2)/2)*AB184+(1-EXP(-LN(2)/2))/(LN(2)/2)*V185*Y185*VLOOKUP('Données projet'!$B$9,Paramètres!$A$1:$I$89,3,0)*0.475*44/12</f>
        <v>8.0571457151058466E-23</v>
      </c>
      <c r="AC185" s="24">
        <f t="shared" si="163"/>
        <v>0.34181551721864756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1.7053025658242404E-13</v>
      </c>
      <c r="AJ185" s="14">
        <f>AI185*VLOOKUP('Données projet'!$B$10,Paramètres!$A$1:$I$89,3,0)*VLOOKUP('Données projet'!$B$10,Paramètres!$A$1:$I$89,5,0)</f>
        <v>7.9808160080574461E-14</v>
      </c>
      <c r="AK185" s="14">
        <f t="shared" si="164"/>
        <v>1.2308384591775343E-12</v>
      </c>
      <c r="AL185" s="22">
        <f t="shared" si="165"/>
        <v>2.282709528541206E-12</v>
      </c>
      <c r="AM185" s="62">
        <f t="shared" si="113"/>
        <v>293.33333333333559</v>
      </c>
      <c r="AN185" s="62">
        <f ca="1">AVERAGE(OFFSET($AM$3,0,0,'Données projet'!$E$10+1,1))-AVERAGE(OFFSET($H$3,0,0,'Données projet'!$E$10+1,1))</f>
        <v>276.78862011733338</v>
      </c>
      <c r="AO185" s="62">
        <f t="shared" si="144"/>
        <v>202.1678469635836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-8.7434273154940449E-13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428.8489304403459</v>
      </c>
      <c r="BJ185" s="62">
        <f t="shared" si="146"/>
        <v>247.01165577562966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-2.8421709430404007E-13</v>
      </c>
      <c r="BZ185" s="14">
        <f>BY185*VLOOKUP('Données projet'!$B$12,Paramètres!$A$1:$I$89,3,0)*VLOOKUP('Données projet'!$B$12,Paramètres!$A$1:$I$89,5,0)</f>
        <v>-1.69961822393816E-13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289.12367833861299</v>
      </c>
      <c r="CE185" s="62">
        <f t="shared" si="148"/>
        <v>229.06617320689003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5.4882905279959578E-23</v>
      </c>
      <c r="CN185" s="24">
        <f t="shared" si="172"/>
        <v>5.4882905279959578E-23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-4.5224624045658861E-14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370.59298168107364</v>
      </c>
      <c r="CZ185" s="62">
        <f t="shared" si="150"/>
        <v>404.61777090709171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-5.6843418860808015E-14</v>
      </c>
      <c r="DP185" s="18">
        <f>DO185*VLOOKUP('Données projet'!$B$14,Paramètres!$A$1:$I$89,3,0)*VLOOKUP('Données projet'!$B$14,Paramètres!$A$1:$I$89,5,0)</f>
        <v>-4.9658410716801891E-14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341.65872153228599</v>
      </c>
      <c r="DU185" s="62">
        <f t="shared" si="152"/>
        <v>339.49697153894937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1.7053025658242404E-13</v>
      </c>
      <c r="EK185" s="18">
        <f>EJ185*VLOOKUP('Données projet'!$B$15,Paramètres!$A$1:$I$89,3,0)*VLOOKUP('Données projet'!$B$15,Paramètres!$A$1:$I$89,5,0)</f>
        <v>1.1439169611549005E-13</v>
      </c>
      <c r="EL185" s="14">
        <f t="shared" si="179"/>
        <v>1.6918016515029816E-12</v>
      </c>
      <c r="EM185" s="22">
        <f t="shared" si="180"/>
        <v>3.1457867471021712E-12</v>
      </c>
      <c r="EN185" s="62">
        <f t="shared" si="128"/>
        <v>293.33333333333644</v>
      </c>
      <c r="EO185" s="62">
        <f ca="1">AVERAGE(OFFSET($EN$3,0,0,'Données projet'!$E$15+1,1))-AVERAGE(OFFSET($H$3,0,0,'Données projet'!$E$15+1,1))</f>
        <v>312.06797204903796</v>
      </c>
      <c r="EP185" s="62">
        <f t="shared" si="154"/>
        <v>258.20189001775151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-9.6633812063373625E-13</v>
      </c>
      <c r="FF185" s="18">
        <f>FE185*VLOOKUP('Données projet'!$B$16,Paramètres!$A$1:$I$89,3,0)*VLOOKUP('Données projet'!$B$16,Paramètres!$A$1:$I$89,5,0)</f>
        <v>-9.3464223027694966E-13</v>
      </c>
      <c r="FG185" s="14" t="e">
        <f t="shared" si="182"/>
        <v>#NUM!</v>
      </c>
      <c r="FH185" s="22" t="e">
        <f t="shared" si="183"/>
        <v>#NUM!</v>
      </c>
      <c r="FI185" s="62" t="e">
        <f t="shared" si="131"/>
        <v>#NUM!</v>
      </c>
      <c r="FJ185" s="62">
        <f ca="1">AVERAGE(OFFSET($FI$3,0,0,'Données projet'!$E$16+1,1))-AVERAGE(OFFSET($H$3,0,0,'Données projet'!$E$16+1,1))</f>
        <v>455.50822833641354</v>
      </c>
      <c r="FK185" s="62">
        <f t="shared" si="156"/>
        <v>261.14722581688039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2.2737367544323206E-13</v>
      </c>
      <c r="O186" s="14">
        <f>N186*VLOOKUP('Données projet'!$B$9,Paramètres!$A$1:$I$89,3,0)*VLOOKUP('Données projet'!$B$9,Paramètres!$A$1:$I$89,5,0)</f>
        <v>1.2710188457276673E-13</v>
      </c>
      <c r="P186" s="14">
        <f t="shared" si="141"/>
        <v>1.856866851063998E-12</v>
      </c>
      <c r="Q186" s="22">
        <f t="shared" si="162"/>
        <v>3.4554122145673649E-12</v>
      </c>
      <c r="R186" s="62">
        <f t="shared" si="109"/>
        <v>293.33333333333678</v>
      </c>
      <c r="S186" s="62">
        <f ca="1">AVERAGE(OFFSET($R$3,0,0,'Données projet'!$E$9+1,1))-AVERAGE(OFFSET($H$3,0,0,'Données projet'!$E$9+1,1))</f>
        <v>323.98185264074681</v>
      </c>
      <c r="T186" s="62">
        <f t="shared" si="142"/>
        <v>301.22207291854005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0.21559053316863397</v>
      </c>
      <c r="AA186" s="23">
        <f>EXP(-LN(2)/25)*AA185+(1-EXP(-LN(2)/25))/(LN(2)/25)*Calculateur!V186*Calculateur!X186*VLOOKUP('Données projet'!$B$9,Paramètres!$A$1:$I$89,3,0)*0.475*44/12</f>
        <v>0.11857911376134991</v>
      </c>
      <c r="AB186" s="23">
        <f>EXP(-LN(2)/2)*AB185+(1-EXP(-LN(2)/2))/(LN(2)/2)*V186*Y186*VLOOKUP('Données projet'!$B$9,Paramètres!$A$1:$I$89,3,0)*0.475*44/12</f>
        <v>5.6972623721594787E-23</v>
      </c>
      <c r="AC186" s="24">
        <f t="shared" si="163"/>
        <v>0.33416964692998385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1.7053025658242404E-13</v>
      </c>
      <c r="AJ186" s="14">
        <f>AI186*VLOOKUP('Données projet'!$B$10,Paramètres!$A$1:$I$89,3,0)*VLOOKUP('Données projet'!$B$10,Paramètres!$A$1:$I$89,5,0)</f>
        <v>7.9808160080574461E-14</v>
      </c>
      <c r="AK186" s="14">
        <f t="shared" si="164"/>
        <v>1.2308384591775343E-12</v>
      </c>
      <c r="AL186" s="22">
        <f t="shared" si="165"/>
        <v>2.282709528541206E-12</v>
      </c>
      <c r="AM186" s="62">
        <f t="shared" si="113"/>
        <v>293.33333333333559</v>
      </c>
      <c r="AN186" s="62">
        <f ca="1">AVERAGE(OFFSET($AM$3,0,0,'Données projet'!$E$10+1,1))-AVERAGE(OFFSET($H$3,0,0,'Données projet'!$E$10+1,1))</f>
        <v>276.78862011733338</v>
      </c>
      <c r="AO186" s="62">
        <f t="shared" si="144"/>
        <v>202.1678469635836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-8.7434273154940449E-13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428.8489304403459</v>
      </c>
      <c r="BJ186" s="62">
        <f t="shared" si="146"/>
        <v>247.01165577562966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-2.8421709430404007E-13</v>
      </c>
      <c r="BZ186" s="14">
        <f>BY186*VLOOKUP('Données projet'!$B$12,Paramètres!$A$1:$I$89,3,0)*VLOOKUP('Données projet'!$B$12,Paramètres!$A$1:$I$89,5,0)</f>
        <v>-1.69961822393816E-13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289.12367833861299</v>
      </c>
      <c r="CE186" s="62">
        <f t="shared" si="148"/>
        <v>229.06617320689003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3.8808074494678392E-23</v>
      </c>
      <c r="CN186" s="24">
        <f t="shared" si="172"/>
        <v>3.8808074494678392E-23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-4.5224624045658861E-14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370.59298168107364</v>
      </c>
      <c r="CZ186" s="62">
        <f t="shared" si="150"/>
        <v>404.61777090709171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-5.6843418860808015E-14</v>
      </c>
      <c r="DP186" s="18">
        <f>DO186*VLOOKUP('Données projet'!$B$14,Paramètres!$A$1:$I$89,3,0)*VLOOKUP('Données projet'!$B$14,Paramètres!$A$1:$I$89,5,0)</f>
        <v>-4.9658410716801891E-14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341.65872153228599</v>
      </c>
      <c r="DU186" s="62">
        <f t="shared" si="152"/>
        <v>339.49697153894937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1.7053025658242404E-13</v>
      </c>
      <c r="EK186" s="18">
        <f>EJ186*VLOOKUP('Données projet'!$B$15,Paramètres!$A$1:$I$89,3,0)*VLOOKUP('Données projet'!$B$15,Paramètres!$A$1:$I$89,5,0)</f>
        <v>1.1439169611549005E-13</v>
      </c>
      <c r="EL186" s="14">
        <f t="shared" si="179"/>
        <v>1.6918016515029816E-12</v>
      </c>
      <c r="EM186" s="22">
        <f t="shared" si="180"/>
        <v>3.1457867471021712E-12</v>
      </c>
      <c r="EN186" s="62">
        <f t="shared" si="128"/>
        <v>293.33333333333644</v>
      </c>
      <c r="EO186" s="62">
        <f ca="1">AVERAGE(OFFSET($EN$3,0,0,'Données projet'!$E$15+1,1))-AVERAGE(OFFSET($H$3,0,0,'Données projet'!$E$15+1,1))</f>
        <v>312.06797204903796</v>
      </c>
      <c r="EP186" s="62">
        <f t="shared" si="154"/>
        <v>258.20189001775151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-9.6633812063373625E-13</v>
      </c>
      <c r="FF186" s="18">
        <f>FE186*VLOOKUP('Données projet'!$B$16,Paramètres!$A$1:$I$89,3,0)*VLOOKUP('Données projet'!$B$16,Paramètres!$A$1:$I$89,5,0)</f>
        <v>-9.3464223027694966E-13</v>
      </c>
      <c r="FG186" s="14" t="e">
        <f t="shared" si="182"/>
        <v>#NUM!</v>
      </c>
      <c r="FH186" s="22" t="e">
        <f t="shared" si="183"/>
        <v>#NUM!</v>
      </c>
      <c r="FI186" s="62" t="e">
        <f t="shared" si="131"/>
        <v>#NUM!</v>
      </c>
      <c r="FJ186" s="62">
        <f ca="1">AVERAGE(OFFSET($FI$3,0,0,'Données projet'!$E$16+1,1))-AVERAGE(OFFSET($H$3,0,0,'Données projet'!$E$16+1,1))</f>
        <v>455.50822833641354</v>
      </c>
      <c r="FK186" s="62">
        <f t="shared" si="156"/>
        <v>261.14722581688039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2.2737367544323206E-13</v>
      </c>
      <c r="O187" s="14">
        <f>N187*VLOOKUP('Données projet'!$B$9,Paramètres!$A$1:$I$89,3,0)*VLOOKUP('Données projet'!$B$9,Paramètres!$A$1:$I$89,5,0)</f>
        <v>1.2710188457276673E-13</v>
      </c>
      <c r="P187" s="14">
        <f t="shared" si="141"/>
        <v>1.856866851063998E-12</v>
      </c>
      <c r="Q187" s="22">
        <f t="shared" si="162"/>
        <v>3.4554122145673649E-12</v>
      </c>
      <c r="R187" s="62">
        <f t="shared" si="109"/>
        <v>293.33333333333678</v>
      </c>
      <c r="S187" s="62">
        <f ca="1">AVERAGE(OFFSET($R$3,0,0,'Données projet'!$E$9+1,1))-AVERAGE(OFFSET($H$3,0,0,'Données projet'!$E$9+1,1))</f>
        <v>323.98185264074681</v>
      </c>
      <c r="T187" s="62">
        <f t="shared" si="142"/>
        <v>301.22207291854005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0.21136293431043801</v>
      </c>
      <c r="AA187" s="23">
        <f>EXP(-LN(2)/25)*AA186+(1-EXP(-LN(2)/25))/(LN(2)/25)*Calculateur!V187*Calculateur!X187*VLOOKUP('Données projet'!$B$9,Paramètres!$A$1:$I$89,3,0)*0.475*44/12</f>
        <v>0.11533656165974122</v>
      </c>
      <c r="AB187" s="23">
        <f>EXP(-LN(2)/2)*AB186+(1-EXP(-LN(2)/2))/(LN(2)/2)*V187*Y187*VLOOKUP('Données projet'!$B$9,Paramètres!$A$1:$I$89,3,0)*0.475*44/12</f>
        <v>4.0285728575529233E-23</v>
      </c>
      <c r="AC187" s="24">
        <f t="shared" si="163"/>
        <v>0.32669949597017922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1.7053025658242404E-13</v>
      </c>
      <c r="AJ187" s="14">
        <f>AI187*VLOOKUP('Données projet'!$B$10,Paramètres!$A$1:$I$89,3,0)*VLOOKUP('Données projet'!$B$10,Paramètres!$A$1:$I$89,5,0)</f>
        <v>7.9808160080574461E-14</v>
      </c>
      <c r="AK187" s="14">
        <f t="shared" si="164"/>
        <v>1.2308384591775343E-12</v>
      </c>
      <c r="AL187" s="22">
        <f t="shared" si="165"/>
        <v>2.282709528541206E-12</v>
      </c>
      <c r="AM187" s="62">
        <f t="shared" si="113"/>
        <v>293.33333333333559</v>
      </c>
      <c r="AN187" s="62">
        <f ca="1">AVERAGE(OFFSET($AM$3,0,0,'Données projet'!$E$10+1,1))-AVERAGE(OFFSET($H$3,0,0,'Données projet'!$E$10+1,1))</f>
        <v>276.78862011733338</v>
      </c>
      <c r="AO187" s="62">
        <f t="shared" si="144"/>
        <v>202.1678469635836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-8.7434273154940449E-13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428.8489304403459</v>
      </c>
      <c r="BJ187" s="62">
        <f t="shared" si="146"/>
        <v>247.01165577562966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-2.8421709430404007E-13</v>
      </c>
      <c r="BZ187" s="14">
        <f>BY187*VLOOKUP('Données projet'!$B$12,Paramètres!$A$1:$I$89,3,0)*VLOOKUP('Données projet'!$B$12,Paramètres!$A$1:$I$89,5,0)</f>
        <v>-1.69961822393816E-13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289.12367833861299</v>
      </c>
      <c r="CE187" s="62">
        <f t="shared" si="148"/>
        <v>229.06617320689003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2.7441452639979789E-23</v>
      </c>
      <c r="CN187" s="24">
        <f t="shared" si="172"/>
        <v>2.7441452639979789E-23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-4.5224624045658861E-14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370.59298168107364</v>
      </c>
      <c r="CZ187" s="62">
        <f t="shared" si="150"/>
        <v>404.61777090709171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-5.6843418860808015E-14</v>
      </c>
      <c r="DP187" s="18">
        <f>DO187*VLOOKUP('Données projet'!$B$14,Paramètres!$A$1:$I$89,3,0)*VLOOKUP('Données projet'!$B$14,Paramètres!$A$1:$I$89,5,0)</f>
        <v>-4.9658410716801891E-14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341.65872153228599</v>
      </c>
      <c r="DU187" s="62">
        <f t="shared" si="152"/>
        <v>339.49697153894937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1.7053025658242404E-13</v>
      </c>
      <c r="EK187" s="18">
        <f>EJ187*VLOOKUP('Données projet'!$B$15,Paramètres!$A$1:$I$89,3,0)*VLOOKUP('Données projet'!$B$15,Paramètres!$A$1:$I$89,5,0)</f>
        <v>1.1439169611549005E-13</v>
      </c>
      <c r="EL187" s="14">
        <f t="shared" si="179"/>
        <v>1.6918016515029816E-12</v>
      </c>
      <c r="EM187" s="22">
        <f t="shared" si="180"/>
        <v>3.1457867471021712E-12</v>
      </c>
      <c r="EN187" s="62">
        <f t="shared" si="128"/>
        <v>293.33333333333644</v>
      </c>
      <c r="EO187" s="62">
        <f ca="1">AVERAGE(OFFSET($EN$3,0,0,'Données projet'!$E$15+1,1))-AVERAGE(OFFSET($H$3,0,0,'Données projet'!$E$15+1,1))</f>
        <v>312.06797204903796</v>
      </c>
      <c r="EP187" s="62">
        <f t="shared" si="154"/>
        <v>258.20189001775151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-9.6633812063373625E-13</v>
      </c>
      <c r="FF187" s="18">
        <f>FE187*VLOOKUP('Données projet'!$B$16,Paramètres!$A$1:$I$89,3,0)*VLOOKUP('Données projet'!$B$16,Paramètres!$A$1:$I$89,5,0)</f>
        <v>-9.3464223027694966E-13</v>
      </c>
      <c r="FG187" s="14" t="e">
        <f t="shared" si="182"/>
        <v>#NUM!</v>
      </c>
      <c r="FH187" s="22" t="e">
        <f t="shared" si="183"/>
        <v>#NUM!</v>
      </c>
      <c r="FI187" s="62" t="e">
        <f t="shared" si="131"/>
        <v>#NUM!</v>
      </c>
      <c r="FJ187" s="62">
        <f ca="1">AVERAGE(OFFSET($FI$3,0,0,'Données projet'!$E$16+1,1))-AVERAGE(OFFSET($H$3,0,0,'Données projet'!$E$16+1,1))</f>
        <v>455.50822833641354</v>
      </c>
      <c r="FK187" s="62">
        <f t="shared" si="156"/>
        <v>261.14722581688039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2.2737367544323206E-13</v>
      </c>
      <c r="O188" s="14">
        <f>N188*VLOOKUP('Données projet'!$B$9,Paramètres!$A$1:$I$89,3,0)*VLOOKUP('Données projet'!$B$9,Paramètres!$A$1:$I$89,5,0)</f>
        <v>1.2710188457276673E-13</v>
      </c>
      <c r="P188" s="14">
        <f t="shared" si="141"/>
        <v>1.856866851063998E-12</v>
      </c>
      <c r="Q188" s="22">
        <f t="shared" si="162"/>
        <v>3.4554122145673649E-12</v>
      </c>
      <c r="R188" s="62">
        <f t="shared" si="109"/>
        <v>293.33333333333678</v>
      </c>
      <c r="S188" s="62">
        <f ca="1">AVERAGE(OFFSET($R$3,0,0,'Données projet'!$E$9+1,1))-AVERAGE(OFFSET($H$3,0,0,'Données projet'!$E$9+1,1))</f>
        <v>323.98185264074681</v>
      </c>
      <c r="T188" s="62">
        <f t="shared" si="142"/>
        <v>301.22207291854005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0.20721823608727058</v>
      </c>
      <c r="AA188" s="23">
        <f>EXP(-LN(2)/25)*AA187+(1-EXP(-LN(2)/25))/(LN(2)/25)*Calculateur!V188*Calculateur!X188*VLOOKUP('Données projet'!$B$9,Paramètres!$A$1:$I$89,3,0)*0.475*44/12</f>
        <v>0.11218267731586942</v>
      </c>
      <c r="AB188" s="23">
        <f>EXP(-LN(2)/2)*AB187+(1-EXP(-LN(2)/2))/(LN(2)/2)*V188*Y188*VLOOKUP('Données projet'!$B$9,Paramètres!$A$1:$I$89,3,0)*0.475*44/12</f>
        <v>2.8486311860797394E-23</v>
      </c>
      <c r="AC188" s="24">
        <f t="shared" si="163"/>
        <v>0.31940091340314003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1.7053025658242404E-13</v>
      </c>
      <c r="AJ188" s="14">
        <f>AI188*VLOOKUP('Données projet'!$B$10,Paramètres!$A$1:$I$89,3,0)*VLOOKUP('Données projet'!$B$10,Paramètres!$A$1:$I$89,5,0)</f>
        <v>7.9808160080574461E-14</v>
      </c>
      <c r="AK188" s="14">
        <f t="shared" si="164"/>
        <v>1.2308384591775343E-12</v>
      </c>
      <c r="AL188" s="22">
        <f t="shared" si="165"/>
        <v>2.282709528541206E-12</v>
      </c>
      <c r="AM188" s="62">
        <f t="shared" si="113"/>
        <v>293.33333333333559</v>
      </c>
      <c r="AN188" s="62">
        <f ca="1">AVERAGE(OFFSET($AM$3,0,0,'Données projet'!$E$10+1,1))-AVERAGE(OFFSET($H$3,0,0,'Données projet'!$E$10+1,1))</f>
        <v>276.78862011733338</v>
      </c>
      <c r="AO188" s="62">
        <f t="shared" si="144"/>
        <v>202.1678469635836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-8.7434273154940449E-13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428.8489304403459</v>
      </c>
      <c r="BJ188" s="62">
        <f t="shared" si="146"/>
        <v>247.01165577562966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-2.8421709430404007E-13</v>
      </c>
      <c r="BZ188" s="14">
        <f>BY188*VLOOKUP('Données projet'!$B$12,Paramètres!$A$1:$I$89,3,0)*VLOOKUP('Données projet'!$B$12,Paramètres!$A$1:$I$89,5,0)</f>
        <v>-1.69961822393816E-13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289.12367833861299</v>
      </c>
      <c r="CE188" s="62">
        <f t="shared" si="148"/>
        <v>229.06617320689003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1.9404037247339196E-23</v>
      </c>
      <c r="CN188" s="24">
        <f t="shared" si="172"/>
        <v>1.9404037247339196E-23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-4.5224624045658861E-14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370.59298168107364</v>
      </c>
      <c r="CZ188" s="62">
        <f t="shared" si="150"/>
        <v>404.61777090709171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-5.6843418860808015E-14</v>
      </c>
      <c r="DP188" s="18">
        <f>DO188*VLOOKUP('Données projet'!$B$14,Paramètres!$A$1:$I$89,3,0)*VLOOKUP('Données projet'!$B$14,Paramètres!$A$1:$I$89,5,0)</f>
        <v>-4.9658410716801891E-14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341.65872153228599</v>
      </c>
      <c r="DU188" s="62">
        <f t="shared" si="152"/>
        <v>339.49697153894937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1.7053025658242404E-13</v>
      </c>
      <c r="EK188" s="18">
        <f>EJ188*VLOOKUP('Données projet'!$B$15,Paramètres!$A$1:$I$89,3,0)*VLOOKUP('Données projet'!$B$15,Paramètres!$A$1:$I$89,5,0)</f>
        <v>1.1439169611549005E-13</v>
      </c>
      <c r="EL188" s="14">
        <f t="shared" si="179"/>
        <v>1.6918016515029816E-12</v>
      </c>
      <c r="EM188" s="22">
        <f t="shared" si="180"/>
        <v>3.1457867471021712E-12</v>
      </c>
      <c r="EN188" s="62">
        <f t="shared" si="128"/>
        <v>293.33333333333644</v>
      </c>
      <c r="EO188" s="62">
        <f ca="1">AVERAGE(OFFSET($EN$3,0,0,'Données projet'!$E$15+1,1))-AVERAGE(OFFSET($H$3,0,0,'Données projet'!$E$15+1,1))</f>
        <v>312.06797204903796</v>
      </c>
      <c r="EP188" s="62">
        <f t="shared" si="154"/>
        <v>258.20189001775151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-9.6633812063373625E-13</v>
      </c>
      <c r="FF188" s="18">
        <f>FE188*VLOOKUP('Données projet'!$B$16,Paramètres!$A$1:$I$89,3,0)*VLOOKUP('Données projet'!$B$16,Paramètres!$A$1:$I$89,5,0)</f>
        <v>-9.3464223027694966E-13</v>
      </c>
      <c r="FG188" s="14" t="e">
        <f t="shared" si="182"/>
        <v>#NUM!</v>
      </c>
      <c r="FH188" s="22" t="e">
        <f t="shared" si="183"/>
        <v>#NUM!</v>
      </c>
      <c r="FI188" s="62" t="e">
        <f t="shared" si="131"/>
        <v>#NUM!</v>
      </c>
      <c r="FJ188" s="62">
        <f ca="1">AVERAGE(OFFSET($FI$3,0,0,'Données projet'!$E$16+1,1))-AVERAGE(OFFSET($H$3,0,0,'Données projet'!$E$16+1,1))</f>
        <v>455.50822833641354</v>
      </c>
      <c r="FK188" s="62">
        <f t="shared" si="156"/>
        <v>261.14722581688039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2.2737367544323206E-13</v>
      </c>
      <c r="O189" s="14">
        <f>N189*VLOOKUP('Données projet'!$B$9,Paramètres!$A$1:$I$89,3,0)*VLOOKUP('Données projet'!$B$9,Paramètres!$A$1:$I$89,5,0)</f>
        <v>1.2710188457276673E-13</v>
      </c>
      <c r="P189" s="14">
        <f t="shared" si="141"/>
        <v>1.856866851063998E-12</v>
      </c>
      <c r="Q189" s="22">
        <f t="shared" si="162"/>
        <v>3.4554122145673649E-12</v>
      </c>
      <c r="R189" s="62">
        <f t="shared" si="109"/>
        <v>293.33333333333678</v>
      </c>
      <c r="S189" s="62">
        <f ca="1">AVERAGE(OFFSET($R$3,0,0,'Données projet'!$E$9+1,1))-AVERAGE(OFFSET($H$3,0,0,'Données projet'!$E$9+1,1))</f>
        <v>323.98185264074681</v>
      </c>
      <c r="T189" s="62">
        <f t="shared" si="142"/>
        <v>301.22207291854005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0.20315481286824319</v>
      </c>
      <c r="AA189" s="23">
        <f>EXP(-LN(2)/25)*AA188+(1-EXP(-LN(2)/25))/(LN(2)/25)*Calculateur!V189*Calculateur!X189*VLOOKUP('Données projet'!$B$9,Paramètres!$A$1:$I$89,3,0)*0.475*44/12</f>
        <v>0.10911503610523637</v>
      </c>
      <c r="AB189" s="23">
        <f>EXP(-LN(2)/2)*AB188+(1-EXP(-LN(2)/2))/(LN(2)/2)*V189*Y189*VLOOKUP('Données projet'!$B$9,Paramètres!$A$1:$I$89,3,0)*0.475*44/12</f>
        <v>2.0142864287764616E-23</v>
      </c>
      <c r="AC189" s="24">
        <f t="shared" si="163"/>
        <v>0.31226984897347954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1.7053025658242404E-13</v>
      </c>
      <c r="AJ189" s="14">
        <f>AI189*VLOOKUP('Données projet'!$B$10,Paramètres!$A$1:$I$89,3,0)*VLOOKUP('Données projet'!$B$10,Paramètres!$A$1:$I$89,5,0)</f>
        <v>7.9808160080574461E-14</v>
      </c>
      <c r="AK189" s="14">
        <f t="shared" si="164"/>
        <v>1.2308384591775343E-12</v>
      </c>
      <c r="AL189" s="22">
        <f t="shared" si="165"/>
        <v>2.282709528541206E-12</v>
      </c>
      <c r="AM189" s="62">
        <f t="shared" si="113"/>
        <v>293.33333333333559</v>
      </c>
      <c r="AN189" s="62">
        <f ca="1">AVERAGE(OFFSET($AM$3,0,0,'Données projet'!$E$10+1,1))-AVERAGE(OFFSET($H$3,0,0,'Données projet'!$E$10+1,1))</f>
        <v>276.78862011733338</v>
      </c>
      <c r="AO189" s="62">
        <f t="shared" si="144"/>
        <v>202.1678469635836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-8.7434273154940449E-13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428.8489304403459</v>
      </c>
      <c r="BJ189" s="62">
        <f t="shared" si="146"/>
        <v>247.01165577562966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-2.8421709430404007E-13</v>
      </c>
      <c r="BZ189" s="14">
        <f>BY189*VLOOKUP('Données projet'!$B$12,Paramètres!$A$1:$I$89,3,0)*VLOOKUP('Données projet'!$B$12,Paramètres!$A$1:$I$89,5,0)</f>
        <v>-1.69961822393816E-13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289.12367833861299</v>
      </c>
      <c r="CE189" s="62">
        <f t="shared" si="148"/>
        <v>229.06617320689003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1.3720726319989894E-23</v>
      </c>
      <c r="CN189" s="24">
        <f t="shared" si="172"/>
        <v>1.3720726319989894E-23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-4.5224624045658861E-14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370.59298168107364</v>
      </c>
      <c r="CZ189" s="62">
        <f t="shared" si="150"/>
        <v>404.61777090709171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-5.6843418860808015E-14</v>
      </c>
      <c r="DP189" s="18">
        <f>DO189*VLOOKUP('Données projet'!$B$14,Paramètres!$A$1:$I$89,3,0)*VLOOKUP('Données projet'!$B$14,Paramètres!$A$1:$I$89,5,0)</f>
        <v>-4.9658410716801891E-14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341.65872153228599</v>
      </c>
      <c r="DU189" s="62">
        <f t="shared" si="152"/>
        <v>339.49697153894937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1.7053025658242404E-13</v>
      </c>
      <c r="EK189" s="18">
        <f>EJ189*VLOOKUP('Données projet'!$B$15,Paramètres!$A$1:$I$89,3,0)*VLOOKUP('Données projet'!$B$15,Paramètres!$A$1:$I$89,5,0)</f>
        <v>1.1439169611549005E-13</v>
      </c>
      <c r="EL189" s="14">
        <f t="shared" si="179"/>
        <v>1.6918016515029816E-12</v>
      </c>
      <c r="EM189" s="22">
        <f t="shared" si="180"/>
        <v>3.1457867471021712E-12</v>
      </c>
      <c r="EN189" s="62">
        <f t="shared" si="128"/>
        <v>293.33333333333644</v>
      </c>
      <c r="EO189" s="62">
        <f ca="1">AVERAGE(OFFSET($EN$3,0,0,'Données projet'!$E$15+1,1))-AVERAGE(OFFSET($H$3,0,0,'Données projet'!$E$15+1,1))</f>
        <v>312.06797204903796</v>
      </c>
      <c r="EP189" s="62">
        <f t="shared" si="154"/>
        <v>258.20189001775151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-9.6633812063373625E-13</v>
      </c>
      <c r="FF189" s="18">
        <f>FE189*VLOOKUP('Données projet'!$B$16,Paramètres!$A$1:$I$89,3,0)*VLOOKUP('Données projet'!$B$16,Paramètres!$A$1:$I$89,5,0)</f>
        <v>-9.3464223027694966E-13</v>
      </c>
      <c r="FG189" s="14" t="e">
        <f t="shared" si="182"/>
        <v>#NUM!</v>
      </c>
      <c r="FH189" s="22" t="e">
        <f t="shared" si="183"/>
        <v>#NUM!</v>
      </c>
      <c r="FI189" s="62" t="e">
        <f t="shared" si="131"/>
        <v>#NUM!</v>
      </c>
      <c r="FJ189" s="62">
        <f ca="1">AVERAGE(OFFSET($FI$3,0,0,'Données projet'!$E$16+1,1))-AVERAGE(OFFSET($H$3,0,0,'Données projet'!$E$16+1,1))</f>
        <v>455.50822833641354</v>
      </c>
      <c r="FK189" s="62">
        <f t="shared" si="156"/>
        <v>261.14722581688039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2.2737367544323206E-13</v>
      </c>
      <c r="O190" s="14">
        <f>N190*VLOOKUP('Données projet'!$B$9,Paramètres!$A$1:$I$89,3,0)*VLOOKUP('Données projet'!$B$9,Paramètres!$A$1:$I$89,5,0)</f>
        <v>1.2710188457276673E-13</v>
      </c>
      <c r="P190" s="14">
        <f t="shared" si="141"/>
        <v>1.856866851063998E-12</v>
      </c>
      <c r="Q190" s="22">
        <f t="shared" si="162"/>
        <v>3.4554122145673649E-12</v>
      </c>
      <c r="R190" s="62">
        <f t="shared" si="109"/>
        <v>293.33333333333678</v>
      </c>
      <c r="S190" s="62">
        <f ca="1">AVERAGE(OFFSET($R$3,0,0,'Données projet'!$E$9+1,1))-AVERAGE(OFFSET($H$3,0,0,'Données projet'!$E$9+1,1))</f>
        <v>323.98185264074681</v>
      </c>
      <c r="T190" s="62">
        <f t="shared" si="142"/>
        <v>301.22207291854005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0.19917107090009747</v>
      </c>
      <c r="AA190" s="23">
        <f>EXP(-LN(2)/25)*AA189+(1-EXP(-LN(2)/25))/(LN(2)/25)*Calculateur!V190*Calculateur!X190*VLOOKUP('Données projet'!$B$9,Paramètres!$A$1:$I$89,3,0)*0.475*44/12</f>
        <v>0.10613127970482832</v>
      </c>
      <c r="AB190" s="23">
        <f>EXP(-LN(2)/2)*AB189+(1-EXP(-LN(2)/2))/(LN(2)/2)*V190*Y190*VLOOKUP('Données projet'!$B$9,Paramètres!$A$1:$I$89,3,0)*0.475*44/12</f>
        <v>1.4243155930398697E-23</v>
      </c>
      <c r="AC190" s="24">
        <f t="shared" si="163"/>
        <v>0.30530235060492578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1.7053025658242404E-13</v>
      </c>
      <c r="AJ190" s="14">
        <f>AI190*VLOOKUP('Données projet'!$B$10,Paramètres!$A$1:$I$89,3,0)*VLOOKUP('Données projet'!$B$10,Paramètres!$A$1:$I$89,5,0)</f>
        <v>7.9808160080574461E-14</v>
      </c>
      <c r="AK190" s="14">
        <f t="shared" si="164"/>
        <v>1.2308384591775343E-12</v>
      </c>
      <c r="AL190" s="22">
        <f t="shared" si="165"/>
        <v>2.282709528541206E-12</v>
      </c>
      <c r="AM190" s="62">
        <f t="shared" si="113"/>
        <v>293.33333333333559</v>
      </c>
      <c r="AN190" s="62">
        <f ca="1">AVERAGE(OFFSET($AM$3,0,0,'Données projet'!$E$10+1,1))-AVERAGE(OFFSET($H$3,0,0,'Données projet'!$E$10+1,1))</f>
        <v>276.78862011733338</v>
      </c>
      <c r="AO190" s="62">
        <f t="shared" si="144"/>
        <v>202.1678469635836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-8.7434273154940449E-13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428.8489304403459</v>
      </c>
      <c r="BJ190" s="62">
        <f t="shared" si="146"/>
        <v>247.01165577562966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-2.8421709430404007E-13</v>
      </c>
      <c r="BZ190" s="14">
        <f>BY190*VLOOKUP('Données projet'!$B$12,Paramètres!$A$1:$I$89,3,0)*VLOOKUP('Données projet'!$B$12,Paramètres!$A$1:$I$89,5,0)</f>
        <v>-1.69961822393816E-13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289.12367833861299</v>
      </c>
      <c r="CE190" s="62">
        <f t="shared" si="148"/>
        <v>229.06617320689003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9.7020186236695979E-24</v>
      </c>
      <c r="CN190" s="24">
        <f t="shared" si="172"/>
        <v>9.7020186236695979E-24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-4.5224624045658861E-14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370.59298168107364</v>
      </c>
      <c r="CZ190" s="62">
        <f t="shared" si="150"/>
        <v>404.61777090709171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-5.6843418860808015E-14</v>
      </c>
      <c r="DP190" s="18">
        <f>DO190*VLOOKUP('Données projet'!$B$14,Paramètres!$A$1:$I$89,3,0)*VLOOKUP('Données projet'!$B$14,Paramètres!$A$1:$I$89,5,0)</f>
        <v>-4.9658410716801891E-14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341.65872153228599</v>
      </c>
      <c r="DU190" s="62">
        <f t="shared" si="152"/>
        <v>339.49697153894937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1.7053025658242404E-13</v>
      </c>
      <c r="EK190" s="18">
        <f>EJ190*VLOOKUP('Données projet'!$B$15,Paramètres!$A$1:$I$89,3,0)*VLOOKUP('Données projet'!$B$15,Paramètres!$A$1:$I$89,5,0)</f>
        <v>1.1439169611549005E-13</v>
      </c>
      <c r="EL190" s="14">
        <f t="shared" si="179"/>
        <v>1.6918016515029816E-12</v>
      </c>
      <c r="EM190" s="22">
        <f t="shared" si="180"/>
        <v>3.1457867471021712E-12</v>
      </c>
      <c r="EN190" s="62">
        <f t="shared" si="128"/>
        <v>293.33333333333644</v>
      </c>
      <c r="EO190" s="62">
        <f ca="1">AVERAGE(OFFSET($EN$3,0,0,'Données projet'!$E$15+1,1))-AVERAGE(OFFSET($H$3,0,0,'Données projet'!$E$15+1,1))</f>
        <v>312.06797204903796</v>
      </c>
      <c r="EP190" s="62">
        <f t="shared" si="154"/>
        <v>258.20189001775151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-9.6633812063373625E-13</v>
      </c>
      <c r="FF190" s="18">
        <f>FE190*VLOOKUP('Données projet'!$B$16,Paramètres!$A$1:$I$89,3,0)*VLOOKUP('Données projet'!$B$16,Paramètres!$A$1:$I$89,5,0)</f>
        <v>-9.3464223027694966E-13</v>
      </c>
      <c r="FG190" s="14" t="e">
        <f t="shared" si="182"/>
        <v>#NUM!</v>
      </c>
      <c r="FH190" s="22" t="e">
        <f t="shared" si="183"/>
        <v>#NUM!</v>
      </c>
      <c r="FI190" s="62" t="e">
        <f t="shared" si="131"/>
        <v>#NUM!</v>
      </c>
      <c r="FJ190" s="62">
        <f ca="1">AVERAGE(OFFSET($FI$3,0,0,'Données projet'!$E$16+1,1))-AVERAGE(OFFSET($H$3,0,0,'Données projet'!$E$16+1,1))</f>
        <v>455.50822833641354</v>
      </c>
      <c r="FK190" s="62">
        <f t="shared" si="156"/>
        <v>261.14722581688039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2.2737367544323206E-13</v>
      </c>
      <c r="O191" s="14">
        <f>N191*VLOOKUP('Données projet'!$B$9,Paramètres!$A$1:$I$89,3,0)*VLOOKUP('Données projet'!$B$9,Paramètres!$A$1:$I$89,5,0)</f>
        <v>1.2710188457276673E-13</v>
      </c>
      <c r="P191" s="14">
        <f t="shared" si="141"/>
        <v>1.856866851063998E-12</v>
      </c>
      <c r="Q191" s="22">
        <f t="shared" si="162"/>
        <v>3.4554122145673649E-12</v>
      </c>
      <c r="R191" s="62">
        <f t="shared" si="109"/>
        <v>293.33333333333678</v>
      </c>
      <c r="S191" s="62">
        <f ca="1">AVERAGE(OFFSET($R$3,0,0,'Données projet'!$E$9+1,1))-AVERAGE(OFFSET($H$3,0,0,'Données projet'!$E$9+1,1))</f>
        <v>323.98185264074681</v>
      </c>
      <c r="T191" s="62">
        <f t="shared" si="142"/>
        <v>301.22207291854005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0.19526544768210444</v>
      </c>
      <c r="AA191" s="23">
        <f>EXP(-LN(2)/25)*AA190+(1-EXP(-LN(2)/25))/(LN(2)/25)*Calculateur!V191*Calculateur!X191*VLOOKUP('Données projet'!$B$9,Paramètres!$A$1:$I$89,3,0)*0.475*44/12</f>
        <v>0.10322911428009836</v>
      </c>
      <c r="AB191" s="23">
        <f>EXP(-LN(2)/2)*AB190+(1-EXP(-LN(2)/2))/(LN(2)/2)*V191*Y191*VLOOKUP('Données projet'!$B$9,Paramètres!$A$1:$I$89,3,0)*0.475*44/12</f>
        <v>1.0071432143882308E-23</v>
      </c>
      <c r="AC191" s="24">
        <f t="shared" si="163"/>
        <v>0.29849456196220281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1.7053025658242404E-13</v>
      </c>
      <c r="AJ191" s="14">
        <f>AI191*VLOOKUP('Données projet'!$B$10,Paramètres!$A$1:$I$89,3,0)*VLOOKUP('Données projet'!$B$10,Paramètres!$A$1:$I$89,5,0)</f>
        <v>7.9808160080574461E-14</v>
      </c>
      <c r="AK191" s="14">
        <f t="shared" si="164"/>
        <v>1.2308384591775343E-12</v>
      </c>
      <c r="AL191" s="22">
        <f t="shared" si="165"/>
        <v>2.282709528541206E-12</v>
      </c>
      <c r="AM191" s="62">
        <f t="shared" si="113"/>
        <v>293.33333333333559</v>
      </c>
      <c r="AN191" s="62">
        <f ca="1">AVERAGE(OFFSET($AM$3,0,0,'Données projet'!$E$10+1,1))-AVERAGE(OFFSET($H$3,0,0,'Données projet'!$E$10+1,1))</f>
        <v>276.78862011733338</v>
      </c>
      <c r="AO191" s="62">
        <f t="shared" si="144"/>
        <v>202.1678469635836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-8.7434273154940449E-13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428.8489304403459</v>
      </c>
      <c r="BJ191" s="62">
        <f t="shared" si="146"/>
        <v>247.01165577562966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-2.8421709430404007E-13</v>
      </c>
      <c r="BZ191" s="14">
        <f>BY191*VLOOKUP('Données projet'!$B$12,Paramètres!$A$1:$I$89,3,0)*VLOOKUP('Données projet'!$B$12,Paramètres!$A$1:$I$89,5,0)</f>
        <v>-1.69961822393816E-13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289.12367833861299</v>
      </c>
      <c r="CE191" s="62">
        <f t="shared" si="148"/>
        <v>229.06617320689003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6.8603631599949472E-24</v>
      </c>
      <c r="CN191" s="24">
        <f t="shared" si="172"/>
        <v>6.8603631599949472E-24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-4.5224624045658861E-14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370.59298168107364</v>
      </c>
      <c r="CZ191" s="62">
        <f t="shared" si="150"/>
        <v>404.61777090709171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-5.6843418860808015E-14</v>
      </c>
      <c r="DP191" s="18">
        <f>DO191*VLOOKUP('Données projet'!$B$14,Paramètres!$A$1:$I$89,3,0)*VLOOKUP('Données projet'!$B$14,Paramètres!$A$1:$I$89,5,0)</f>
        <v>-4.9658410716801891E-14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341.65872153228599</v>
      </c>
      <c r="DU191" s="62">
        <f t="shared" si="152"/>
        <v>339.49697153894937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1.7053025658242404E-13</v>
      </c>
      <c r="EK191" s="18">
        <f>EJ191*VLOOKUP('Données projet'!$B$15,Paramètres!$A$1:$I$89,3,0)*VLOOKUP('Données projet'!$B$15,Paramètres!$A$1:$I$89,5,0)</f>
        <v>1.1439169611549005E-13</v>
      </c>
      <c r="EL191" s="14">
        <f t="shared" si="179"/>
        <v>1.6918016515029816E-12</v>
      </c>
      <c r="EM191" s="22">
        <f t="shared" si="180"/>
        <v>3.1457867471021712E-12</v>
      </c>
      <c r="EN191" s="62">
        <f t="shared" si="128"/>
        <v>293.33333333333644</v>
      </c>
      <c r="EO191" s="62">
        <f ca="1">AVERAGE(OFFSET($EN$3,0,0,'Données projet'!$E$15+1,1))-AVERAGE(OFFSET($H$3,0,0,'Données projet'!$E$15+1,1))</f>
        <v>312.06797204903796</v>
      </c>
      <c r="EP191" s="62">
        <f t="shared" si="154"/>
        <v>258.20189001775151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-9.6633812063373625E-13</v>
      </c>
      <c r="FF191" s="18">
        <f>FE191*VLOOKUP('Données projet'!$B$16,Paramètres!$A$1:$I$89,3,0)*VLOOKUP('Données projet'!$B$16,Paramètres!$A$1:$I$89,5,0)</f>
        <v>-9.3464223027694966E-13</v>
      </c>
      <c r="FG191" s="14" t="e">
        <f t="shared" si="182"/>
        <v>#NUM!</v>
      </c>
      <c r="FH191" s="22" t="e">
        <f t="shared" si="183"/>
        <v>#NUM!</v>
      </c>
      <c r="FI191" s="62" t="e">
        <f t="shared" si="131"/>
        <v>#NUM!</v>
      </c>
      <c r="FJ191" s="62">
        <f ca="1">AVERAGE(OFFSET($FI$3,0,0,'Données projet'!$E$16+1,1))-AVERAGE(OFFSET($H$3,0,0,'Données projet'!$E$16+1,1))</f>
        <v>455.50822833641354</v>
      </c>
      <c r="FK191" s="62">
        <f t="shared" si="156"/>
        <v>261.14722581688039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2.2737367544323206E-13</v>
      </c>
      <c r="O192" s="14">
        <f>N192*VLOOKUP('Données projet'!$B$9,Paramètres!$A$1:$I$89,3,0)*VLOOKUP('Données projet'!$B$9,Paramètres!$A$1:$I$89,5,0)</f>
        <v>1.2710188457276673E-13</v>
      </c>
      <c r="P192" s="14">
        <f t="shared" si="141"/>
        <v>1.856866851063998E-12</v>
      </c>
      <c r="Q192" s="22">
        <f t="shared" si="162"/>
        <v>3.4554122145673649E-12</v>
      </c>
      <c r="R192" s="62">
        <f t="shared" si="109"/>
        <v>293.33333333333678</v>
      </c>
      <c r="S192" s="62">
        <f ca="1">AVERAGE(OFFSET($R$3,0,0,'Données projet'!$E$9+1,1))-AVERAGE(OFFSET($H$3,0,0,'Données projet'!$E$9+1,1))</f>
        <v>323.98185264074681</v>
      </c>
      <c r="T192" s="62">
        <f t="shared" si="142"/>
        <v>301.22207291854005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0.19143641135322129</v>
      </c>
      <c r="AA192" s="23">
        <f>EXP(-LN(2)/25)*AA191+(1-EXP(-LN(2)/25))/(LN(2)/25)*Calculateur!V192*Calculateur!X192*VLOOKUP('Données projet'!$B$9,Paramètres!$A$1:$I$89,3,0)*0.475*44/12</f>
        <v>0.10040630872152588</v>
      </c>
      <c r="AB192" s="23">
        <f>EXP(-LN(2)/2)*AB191+(1-EXP(-LN(2)/2))/(LN(2)/2)*V192*Y192*VLOOKUP('Données projet'!$B$9,Paramètres!$A$1:$I$89,3,0)*0.475*44/12</f>
        <v>7.1215779651993484E-24</v>
      </c>
      <c r="AC192" s="24">
        <f t="shared" si="163"/>
        <v>0.29184272007474715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1.7053025658242404E-13</v>
      </c>
      <c r="AJ192" s="14">
        <f>AI192*VLOOKUP('Données projet'!$B$10,Paramètres!$A$1:$I$89,3,0)*VLOOKUP('Données projet'!$B$10,Paramètres!$A$1:$I$89,5,0)</f>
        <v>7.9808160080574461E-14</v>
      </c>
      <c r="AK192" s="14">
        <f t="shared" si="164"/>
        <v>1.2308384591775343E-12</v>
      </c>
      <c r="AL192" s="22">
        <f t="shared" si="165"/>
        <v>2.282709528541206E-12</v>
      </c>
      <c r="AM192" s="62">
        <f t="shared" si="113"/>
        <v>293.33333333333559</v>
      </c>
      <c r="AN192" s="62">
        <f ca="1">AVERAGE(OFFSET($AM$3,0,0,'Données projet'!$E$10+1,1))-AVERAGE(OFFSET($H$3,0,0,'Données projet'!$E$10+1,1))</f>
        <v>276.78862011733338</v>
      </c>
      <c r="AO192" s="62">
        <f t="shared" si="144"/>
        <v>202.1678469635836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-8.7434273154940449E-13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428.8489304403459</v>
      </c>
      <c r="BJ192" s="62">
        <f t="shared" si="146"/>
        <v>247.01165577562966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-2.8421709430404007E-13</v>
      </c>
      <c r="BZ192" s="14">
        <f>BY192*VLOOKUP('Données projet'!$B$12,Paramètres!$A$1:$I$89,3,0)*VLOOKUP('Données projet'!$B$12,Paramètres!$A$1:$I$89,5,0)</f>
        <v>-1.69961822393816E-13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289.12367833861299</v>
      </c>
      <c r="CE192" s="62">
        <f t="shared" si="148"/>
        <v>229.06617320689003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4.851009311834799E-24</v>
      </c>
      <c r="CN192" s="24">
        <f t="shared" si="172"/>
        <v>4.851009311834799E-24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-4.5224624045658861E-14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370.59298168107364</v>
      </c>
      <c r="CZ192" s="62">
        <f t="shared" si="150"/>
        <v>404.61777090709171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-5.6843418860808015E-14</v>
      </c>
      <c r="DP192" s="18">
        <f>DO192*VLOOKUP('Données projet'!$B$14,Paramètres!$A$1:$I$89,3,0)*VLOOKUP('Données projet'!$B$14,Paramètres!$A$1:$I$89,5,0)</f>
        <v>-4.9658410716801891E-14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341.65872153228599</v>
      </c>
      <c r="DU192" s="62">
        <f t="shared" si="152"/>
        <v>339.49697153894937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1.7053025658242404E-13</v>
      </c>
      <c r="EK192" s="18">
        <f>EJ192*VLOOKUP('Données projet'!$B$15,Paramètres!$A$1:$I$89,3,0)*VLOOKUP('Données projet'!$B$15,Paramètres!$A$1:$I$89,5,0)</f>
        <v>1.1439169611549005E-13</v>
      </c>
      <c r="EL192" s="14">
        <f t="shared" si="179"/>
        <v>1.6918016515029816E-12</v>
      </c>
      <c r="EM192" s="22">
        <f t="shared" si="180"/>
        <v>3.1457867471021712E-12</v>
      </c>
      <c r="EN192" s="62">
        <f t="shared" si="128"/>
        <v>293.33333333333644</v>
      </c>
      <c r="EO192" s="62">
        <f ca="1">AVERAGE(OFFSET($EN$3,0,0,'Données projet'!$E$15+1,1))-AVERAGE(OFFSET($H$3,0,0,'Données projet'!$E$15+1,1))</f>
        <v>312.06797204903796</v>
      </c>
      <c r="EP192" s="62">
        <f t="shared" si="154"/>
        <v>258.20189001775151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-9.6633812063373625E-13</v>
      </c>
      <c r="FF192" s="18">
        <f>FE192*VLOOKUP('Données projet'!$B$16,Paramètres!$A$1:$I$89,3,0)*VLOOKUP('Données projet'!$B$16,Paramètres!$A$1:$I$89,5,0)</f>
        <v>-9.3464223027694966E-13</v>
      </c>
      <c r="FG192" s="14" t="e">
        <f t="shared" si="182"/>
        <v>#NUM!</v>
      </c>
      <c r="FH192" s="22" t="e">
        <f t="shared" si="183"/>
        <v>#NUM!</v>
      </c>
      <c r="FI192" s="62" t="e">
        <f t="shared" si="131"/>
        <v>#NUM!</v>
      </c>
      <c r="FJ192" s="62">
        <f ca="1">AVERAGE(OFFSET($FI$3,0,0,'Données projet'!$E$16+1,1))-AVERAGE(OFFSET($H$3,0,0,'Données projet'!$E$16+1,1))</f>
        <v>455.50822833641354</v>
      </c>
      <c r="FK192" s="62">
        <f t="shared" si="156"/>
        <v>261.14722581688039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2.2737367544323206E-13</v>
      </c>
      <c r="O193" s="14">
        <f>N193*VLOOKUP('Données projet'!$B$9,Paramètres!$A$1:$I$89,3,0)*VLOOKUP('Données projet'!$B$9,Paramètres!$A$1:$I$89,5,0)</f>
        <v>1.2710188457276673E-13</v>
      </c>
      <c r="P193" s="14">
        <f t="shared" si="141"/>
        <v>1.856866851063998E-12</v>
      </c>
      <c r="Q193" s="22">
        <f t="shared" si="162"/>
        <v>3.4554122145673649E-12</v>
      </c>
      <c r="R193" s="62">
        <f t="shared" si="109"/>
        <v>293.33333333333678</v>
      </c>
      <c r="S193" s="62">
        <f ca="1">AVERAGE(OFFSET($R$3,0,0,'Données projet'!$E$9+1,1))-AVERAGE(OFFSET($H$3,0,0,'Données projet'!$E$9+1,1))</f>
        <v>323.98185264074681</v>
      </c>
      <c r="T193" s="62">
        <f t="shared" si="142"/>
        <v>301.22207291854005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0.18768246009126599</v>
      </c>
      <c r="AA193" s="23">
        <f>EXP(-LN(2)/25)*AA192+(1-EXP(-LN(2)/25))/(LN(2)/25)*Calculateur!V193*Calculateur!X193*VLOOKUP('Données projet'!$B$9,Paramètres!$A$1:$I$89,3,0)*0.475*44/12</f>
        <v>9.7660692929397455E-2</v>
      </c>
      <c r="AB193" s="23">
        <f>EXP(-LN(2)/2)*AB192+(1-EXP(-LN(2)/2))/(LN(2)/2)*V193*Y193*VLOOKUP('Données projet'!$B$9,Paramètres!$A$1:$I$89,3,0)*0.475*44/12</f>
        <v>5.0357160719411541E-24</v>
      </c>
      <c r="AC193" s="24">
        <f t="shared" si="163"/>
        <v>0.28534315302066343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1.7053025658242404E-13</v>
      </c>
      <c r="AJ193" s="14">
        <f>AI193*VLOOKUP('Données projet'!$B$10,Paramètres!$A$1:$I$89,3,0)*VLOOKUP('Données projet'!$B$10,Paramètres!$A$1:$I$89,5,0)</f>
        <v>7.9808160080574461E-14</v>
      </c>
      <c r="AK193" s="14">
        <f t="shared" si="164"/>
        <v>1.2308384591775343E-12</v>
      </c>
      <c r="AL193" s="22">
        <f t="shared" si="165"/>
        <v>2.282709528541206E-12</v>
      </c>
      <c r="AM193" s="62">
        <f t="shared" si="113"/>
        <v>293.33333333333559</v>
      </c>
      <c r="AN193" s="62">
        <f ca="1">AVERAGE(OFFSET($AM$3,0,0,'Données projet'!$E$10+1,1))-AVERAGE(OFFSET($H$3,0,0,'Données projet'!$E$10+1,1))</f>
        <v>276.78862011733338</v>
      </c>
      <c r="AO193" s="62">
        <f t="shared" si="144"/>
        <v>202.1678469635836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-8.7434273154940449E-13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428.8489304403459</v>
      </c>
      <c r="BJ193" s="62">
        <f t="shared" si="146"/>
        <v>247.01165577562966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-2.8421709430404007E-13</v>
      </c>
      <c r="BZ193" s="14">
        <f>BY193*VLOOKUP('Données projet'!$B$12,Paramètres!$A$1:$I$89,3,0)*VLOOKUP('Données projet'!$B$12,Paramètres!$A$1:$I$89,5,0)</f>
        <v>-1.69961822393816E-13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289.12367833861299</v>
      </c>
      <c r="CE193" s="62">
        <f t="shared" si="148"/>
        <v>229.06617320689003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3.4301815799974736E-24</v>
      </c>
      <c r="CN193" s="24">
        <f t="shared" si="172"/>
        <v>3.4301815799974736E-24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-4.5224624045658861E-14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370.59298168107364</v>
      </c>
      <c r="CZ193" s="62">
        <f t="shared" si="150"/>
        <v>404.61777090709171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-5.6843418860808015E-14</v>
      </c>
      <c r="DP193" s="18">
        <f>DO193*VLOOKUP('Données projet'!$B$14,Paramètres!$A$1:$I$89,3,0)*VLOOKUP('Données projet'!$B$14,Paramètres!$A$1:$I$89,5,0)</f>
        <v>-4.9658410716801891E-14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341.65872153228599</v>
      </c>
      <c r="DU193" s="62">
        <f t="shared" si="152"/>
        <v>339.49697153894937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1.7053025658242404E-13</v>
      </c>
      <c r="EK193" s="18">
        <f>EJ193*VLOOKUP('Données projet'!$B$15,Paramètres!$A$1:$I$89,3,0)*VLOOKUP('Données projet'!$B$15,Paramètres!$A$1:$I$89,5,0)</f>
        <v>1.1439169611549005E-13</v>
      </c>
      <c r="EL193" s="14">
        <f t="shared" si="179"/>
        <v>1.6918016515029816E-12</v>
      </c>
      <c r="EM193" s="22">
        <f t="shared" si="180"/>
        <v>3.1457867471021712E-12</v>
      </c>
      <c r="EN193" s="62">
        <f t="shared" si="128"/>
        <v>293.33333333333644</v>
      </c>
      <c r="EO193" s="62">
        <f ca="1">AVERAGE(OFFSET($EN$3,0,0,'Données projet'!$E$15+1,1))-AVERAGE(OFFSET($H$3,0,0,'Données projet'!$E$15+1,1))</f>
        <v>312.06797204903796</v>
      </c>
      <c r="EP193" s="62">
        <f t="shared" si="154"/>
        <v>258.20189001775151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-9.6633812063373625E-13</v>
      </c>
      <c r="FF193" s="18">
        <f>FE193*VLOOKUP('Données projet'!$B$16,Paramètres!$A$1:$I$89,3,0)*VLOOKUP('Données projet'!$B$16,Paramètres!$A$1:$I$89,5,0)</f>
        <v>-9.3464223027694966E-13</v>
      </c>
      <c r="FG193" s="14" t="e">
        <f t="shared" si="182"/>
        <v>#NUM!</v>
      </c>
      <c r="FH193" s="22" t="e">
        <f t="shared" si="183"/>
        <v>#NUM!</v>
      </c>
      <c r="FI193" s="62" t="e">
        <f t="shared" si="131"/>
        <v>#NUM!</v>
      </c>
      <c r="FJ193" s="62">
        <f ca="1">AVERAGE(OFFSET($FI$3,0,0,'Données projet'!$E$16+1,1))-AVERAGE(OFFSET($H$3,0,0,'Données projet'!$E$16+1,1))</f>
        <v>455.50822833641354</v>
      </c>
      <c r="FK193" s="62">
        <f t="shared" si="156"/>
        <v>261.14722581688039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2.2737367544323206E-13</v>
      </c>
      <c r="O194" s="14">
        <f>N194*VLOOKUP('Données projet'!$B$9,Paramètres!$A$1:$I$89,3,0)*VLOOKUP('Données projet'!$B$9,Paramètres!$A$1:$I$89,5,0)</f>
        <v>1.2710188457276673E-13</v>
      </c>
      <c r="P194" s="14">
        <f t="shared" si="141"/>
        <v>1.856866851063998E-12</v>
      </c>
      <c r="Q194" s="22">
        <f t="shared" si="162"/>
        <v>3.4554122145673649E-12</v>
      </c>
      <c r="R194" s="62">
        <f t="shared" si="109"/>
        <v>293.33333333333678</v>
      </c>
      <c r="S194" s="62">
        <f ca="1">AVERAGE(OFFSET($R$3,0,0,'Données projet'!$E$9+1,1))-AVERAGE(OFFSET($H$3,0,0,'Données projet'!$E$9+1,1))</f>
        <v>323.98185264074681</v>
      </c>
      <c r="T194" s="62">
        <f t="shared" si="142"/>
        <v>301.22207291854005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0.18400212152387346</v>
      </c>
      <c r="AA194" s="23">
        <f>EXP(-LN(2)/25)*AA193+(1-EXP(-LN(2)/25))/(LN(2)/25)*Calculateur!V194*Calculateur!X194*VLOOKUP('Données projet'!$B$9,Paramètres!$A$1:$I$89,3,0)*0.475*44/12</f>
        <v>9.4990156145490445E-2</v>
      </c>
      <c r="AB194" s="23">
        <f>EXP(-LN(2)/2)*AB193+(1-EXP(-LN(2)/2))/(LN(2)/2)*V194*Y194*VLOOKUP('Données projet'!$B$9,Paramètres!$A$1:$I$89,3,0)*0.475*44/12</f>
        <v>3.5607889825996742E-24</v>
      </c>
      <c r="AC194" s="24">
        <f t="shared" si="163"/>
        <v>0.27899227766936391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1.7053025658242404E-13</v>
      </c>
      <c r="AJ194" s="14">
        <f>AI194*VLOOKUP('Données projet'!$B$10,Paramètres!$A$1:$I$89,3,0)*VLOOKUP('Données projet'!$B$10,Paramètres!$A$1:$I$89,5,0)</f>
        <v>7.9808160080574461E-14</v>
      </c>
      <c r="AK194" s="14">
        <f t="shared" si="164"/>
        <v>1.2308384591775343E-12</v>
      </c>
      <c r="AL194" s="22">
        <f t="shared" si="165"/>
        <v>2.282709528541206E-12</v>
      </c>
      <c r="AM194" s="62">
        <f t="shared" si="113"/>
        <v>293.33333333333559</v>
      </c>
      <c r="AN194" s="62">
        <f ca="1">AVERAGE(OFFSET($AM$3,0,0,'Données projet'!$E$10+1,1))-AVERAGE(OFFSET($H$3,0,0,'Données projet'!$E$10+1,1))</f>
        <v>276.78862011733338</v>
      </c>
      <c r="AO194" s="62">
        <f t="shared" si="144"/>
        <v>202.1678469635836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-8.7434273154940449E-13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428.8489304403459</v>
      </c>
      <c r="BJ194" s="62">
        <f t="shared" si="146"/>
        <v>247.01165577562966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-2.8421709430404007E-13</v>
      </c>
      <c r="BZ194" s="14">
        <f>BY194*VLOOKUP('Données projet'!$B$12,Paramètres!$A$1:$I$89,3,0)*VLOOKUP('Données projet'!$B$12,Paramètres!$A$1:$I$89,5,0)</f>
        <v>-1.69961822393816E-13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289.12367833861299</v>
      </c>
      <c r="CE194" s="62">
        <f t="shared" si="148"/>
        <v>229.06617320689003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2.4255046559173995E-24</v>
      </c>
      <c r="CN194" s="24">
        <f t="shared" si="172"/>
        <v>2.4255046559173995E-24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-4.5224624045658861E-14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370.59298168107364</v>
      </c>
      <c r="CZ194" s="62">
        <f t="shared" si="150"/>
        <v>404.61777090709171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-5.6843418860808015E-14</v>
      </c>
      <c r="DP194" s="18">
        <f>DO194*VLOOKUP('Données projet'!$B$14,Paramètres!$A$1:$I$89,3,0)*VLOOKUP('Données projet'!$B$14,Paramètres!$A$1:$I$89,5,0)</f>
        <v>-4.9658410716801891E-14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341.65872153228599</v>
      </c>
      <c r="DU194" s="62">
        <f t="shared" si="152"/>
        <v>339.49697153894937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1.7053025658242404E-13</v>
      </c>
      <c r="EK194" s="18">
        <f>EJ194*VLOOKUP('Données projet'!$B$15,Paramètres!$A$1:$I$89,3,0)*VLOOKUP('Données projet'!$B$15,Paramètres!$A$1:$I$89,5,0)</f>
        <v>1.1439169611549005E-13</v>
      </c>
      <c r="EL194" s="14">
        <f t="shared" si="179"/>
        <v>1.6918016515029816E-12</v>
      </c>
      <c r="EM194" s="22">
        <f t="shared" si="180"/>
        <v>3.1457867471021712E-12</v>
      </c>
      <c r="EN194" s="62">
        <f t="shared" si="128"/>
        <v>293.33333333333644</v>
      </c>
      <c r="EO194" s="62">
        <f ca="1">AVERAGE(OFFSET($EN$3,0,0,'Données projet'!$E$15+1,1))-AVERAGE(OFFSET($H$3,0,0,'Données projet'!$E$15+1,1))</f>
        <v>312.06797204903796</v>
      </c>
      <c r="EP194" s="62">
        <f t="shared" si="154"/>
        <v>258.20189001775151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-9.6633812063373625E-13</v>
      </c>
      <c r="FF194" s="18">
        <f>FE194*VLOOKUP('Données projet'!$B$16,Paramètres!$A$1:$I$89,3,0)*VLOOKUP('Données projet'!$B$16,Paramètres!$A$1:$I$89,5,0)</f>
        <v>-9.3464223027694966E-13</v>
      </c>
      <c r="FG194" s="14" t="e">
        <f t="shared" si="182"/>
        <v>#NUM!</v>
      </c>
      <c r="FH194" s="22" t="e">
        <f t="shared" si="183"/>
        <v>#NUM!</v>
      </c>
      <c r="FI194" s="62" t="e">
        <f t="shared" si="131"/>
        <v>#NUM!</v>
      </c>
      <c r="FJ194" s="62">
        <f ca="1">AVERAGE(OFFSET($FI$3,0,0,'Données projet'!$E$16+1,1))-AVERAGE(OFFSET($H$3,0,0,'Données projet'!$E$16+1,1))</f>
        <v>455.50822833641354</v>
      </c>
      <c r="FK194" s="62">
        <f t="shared" si="156"/>
        <v>261.14722581688039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2.2737367544323206E-13</v>
      </c>
      <c r="O195" s="14">
        <f>N195*VLOOKUP('Données projet'!$B$9,Paramètres!$A$1:$I$89,3,0)*VLOOKUP('Données projet'!$B$9,Paramètres!$A$1:$I$89,5,0)</f>
        <v>1.2710188457276673E-13</v>
      </c>
      <c r="P195" s="14">
        <f t="shared" si="141"/>
        <v>1.856866851063998E-12</v>
      </c>
      <c r="Q195" s="22">
        <f t="shared" si="162"/>
        <v>3.4554122145673649E-12</v>
      </c>
      <c r="R195" s="62">
        <f t="shared" ref="R195:R203" si="191">Q195+(I195+J195)*44/12</f>
        <v>293.33333333333678</v>
      </c>
      <c r="S195" s="62">
        <f ca="1">AVERAGE(OFFSET($R$3,0,0,'Données projet'!$E$9+1,1))-AVERAGE(OFFSET($H$3,0,0,'Données projet'!$E$9+1,1))</f>
        <v>323.98185264074681</v>
      </c>
      <c r="T195" s="62">
        <f t="shared" si="142"/>
        <v>301.22207291854005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0.18039395215100262</v>
      </c>
      <c r="AA195" s="23">
        <f>EXP(-LN(2)/25)*AA194+(1-EXP(-LN(2)/25))/(LN(2)/25)*Calculateur!V195*Calculateur!X195*VLOOKUP('Données projet'!$B$9,Paramètres!$A$1:$I$89,3,0)*0.475*44/12</f>
        <v>9.2392645330376805E-2</v>
      </c>
      <c r="AB195" s="23">
        <f>EXP(-LN(2)/2)*AB194+(1-EXP(-LN(2)/2))/(LN(2)/2)*V195*Y195*VLOOKUP('Données projet'!$B$9,Paramètres!$A$1:$I$89,3,0)*0.475*44/12</f>
        <v>2.517858035970577E-24</v>
      </c>
      <c r="AC195" s="24">
        <f t="shared" si="163"/>
        <v>0.27278659748137946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1.7053025658242404E-13</v>
      </c>
      <c r="AJ195" s="14">
        <f>AI195*VLOOKUP('Données projet'!$B$10,Paramètres!$A$1:$I$89,3,0)*VLOOKUP('Données projet'!$B$10,Paramètres!$A$1:$I$89,5,0)</f>
        <v>7.9808160080574461E-14</v>
      </c>
      <c r="AK195" s="14">
        <f t="shared" si="164"/>
        <v>1.2308384591775343E-12</v>
      </c>
      <c r="AL195" s="22">
        <f t="shared" si="165"/>
        <v>2.282709528541206E-12</v>
      </c>
      <c r="AM195" s="62">
        <f t="shared" si="113"/>
        <v>293.33333333333559</v>
      </c>
      <c r="AN195" s="62">
        <f ca="1">AVERAGE(OFFSET($AM$3,0,0,'Données projet'!$E$10+1,1))-AVERAGE(OFFSET($H$3,0,0,'Données projet'!$E$10+1,1))</f>
        <v>276.78862011733338</v>
      </c>
      <c r="AO195" s="62">
        <f t="shared" si="144"/>
        <v>202.1678469635836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-8.7434273154940449E-13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428.8489304403459</v>
      </c>
      <c r="BJ195" s="62">
        <f t="shared" si="146"/>
        <v>247.01165577562966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-2.8421709430404007E-13</v>
      </c>
      <c r="BZ195" s="14">
        <f>BY195*VLOOKUP('Données projet'!$B$12,Paramètres!$A$1:$I$89,3,0)*VLOOKUP('Données projet'!$B$12,Paramètres!$A$1:$I$89,5,0)</f>
        <v>-1.69961822393816E-13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289.12367833861299</v>
      </c>
      <c r="CE195" s="62">
        <f t="shared" si="148"/>
        <v>229.06617320689003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1.7150907899987368E-24</v>
      </c>
      <c r="CN195" s="24">
        <f t="shared" si="172"/>
        <v>1.7150907899987368E-24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-4.5224624045658861E-14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370.59298168107364</v>
      </c>
      <c r="CZ195" s="62">
        <f t="shared" si="150"/>
        <v>404.61777090709171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-5.6843418860808015E-14</v>
      </c>
      <c r="DP195" s="18">
        <f>DO195*VLOOKUP('Données projet'!$B$14,Paramètres!$A$1:$I$89,3,0)*VLOOKUP('Données projet'!$B$14,Paramètres!$A$1:$I$89,5,0)</f>
        <v>-4.9658410716801891E-14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341.65872153228599</v>
      </c>
      <c r="DU195" s="62">
        <f t="shared" si="152"/>
        <v>339.49697153894937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1.7053025658242404E-13</v>
      </c>
      <c r="EK195" s="18">
        <f>EJ195*VLOOKUP('Données projet'!$B$15,Paramètres!$A$1:$I$89,3,0)*VLOOKUP('Données projet'!$B$15,Paramètres!$A$1:$I$89,5,0)</f>
        <v>1.1439169611549005E-13</v>
      </c>
      <c r="EL195" s="14">
        <f t="shared" si="179"/>
        <v>1.6918016515029816E-12</v>
      </c>
      <c r="EM195" s="22">
        <f t="shared" si="180"/>
        <v>3.1457867471021712E-12</v>
      </c>
      <c r="EN195" s="62">
        <f t="shared" si="128"/>
        <v>293.33333333333644</v>
      </c>
      <c r="EO195" s="62">
        <f ca="1">AVERAGE(OFFSET($EN$3,0,0,'Données projet'!$E$15+1,1))-AVERAGE(OFFSET($H$3,0,0,'Données projet'!$E$15+1,1))</f>
        <v>312.06797204903796</v>
      </c>
      <c r="EP195" s="62">
        <f t="shared" si="154"/>
        <v>258.20189001775151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-9.6633812063373625E-13</v>
      </c>
      <c r="FF195" s="18">
        <f>FE195*VLOOKUP('Données projet'!$B$16,Paramètres!$A$1:$I$89,3,0)*VLOOKUP('Données projet'!$B$16,Paramètres!$A$1:$I$89,5,0)</f>
        <v>-9.3464223027694966E-13</v>
      </c>
      <c r="FG195" s="14" t="e">
        <f t="shared" si="182"/>
        <v>#NUM!</v>
      </c>
      <c r="FH195" s="22" t="e">
        <f t="shared" si="183"/>
        <v>#NUM!</v>
      </c>
      <c r="FI195" s="62" t="e">
        <f t="shared" si="131"/>
        <v>#NUM!</v>
      </c>
      <c r="FJ195" s="62">
        <f ca="1">AVERAGE(OFFSET($FI$3,0,0,'Données projet'!$E$16+1,1))-AVERAGE(OFFSET($H$3,0,0,'Données projet'!$E$16+1,1))</f>
        <v>455.50822833641354</v>
      </c>
      <c r="FK195" s="62">
        <f t="shared" si="156"/>
        <v>261.14722581688039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2.2737367544323206E-13</v>
      </c>
      <c r="O196" s="14">
        <f>N196*VLOOKUP('Données projet'!$B$9,Paramètres!$A$1:$I$89,3,0)*VLOOKUP('Données projet'!$B$9,Paramètres!$A$1:$I$89,5,0)</f>
        <v>1.2710188457276673E-13</v>
      </c>
      <c r="P196" s="14">
        <f t="shared" si="141"/>
        <v>1.856866851063998E-12</v>
      </c>
      <c r="Q196" s="22">
        <f t="shared" si="162"/>
        <v>3.4554122145673649E-12</v>
      </c>
      <c r="R196" s="62">
        <f t="shared" si="191"/>
        <v>293.33333333333678</v>
      </c>
      <c r="S196" s="62">
        <f ca="1">AVERAGE(OFFSET($R$3,0,0,'Données projet'!$E$9+1,1))-AVERAGE(OFFSET($H$3,0,0,'Données projet'!$E$9+1,1))</f>
        <v>323.98185264074681</v>
      </c>
      <c r="T196" s="62">
        <f t="shared" si="142"/>
        <v>301.22207291854005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0.17685653677876778</v>
      </c>
      <c r="AA196" s="23">
        <f>EXP(-LN(2)/25)*AA195+(1-EXP(-LN(2)/25))/(LN(2)/25)*Calculateur!V196*Calculateur!X196*VLOOKUP('Données projet'!$B$9,Paramètres!$A$1:$I$89,3,0)*0.475*44/12</f>
        <v>8.9866163585099593E-2</v>
      </c>
      <c r="AB196" s="23">
        <f>EXP(-LN(2)/2)*AB195+(1-EXP(-LN(2)/2))/(LN(2)/2)*V196*Y196*VLOOKUP('Données projet'!$B$9,Paramètres!$A$1:$I$89,3,0)*0.475*44/12</f>
        <v>1.7803944912998371E-24</v>
      </c>
      <c r="AC196" s="24">
        <f t="shared" si="163"/>
        <v>0.26672270036386736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1.7053025658242404E-13</v>
      </c>
      <c r="AJ196" s="14">
        <f>AI196*VLOOKUP('Données projet'!$B$10,Paramètres!$A$1:$I$89,3,0)*VLOOKUP('Données projet'!$B$10,Paramètres!$A$1:$I$89,5,0)</f>
        <v>7.9808160080574461E-14</v>
      </c>
      <c r="AK196" s="14">
        <f t="shared" si="164"/>
        <v>1.2308384591775343E-12</v>
      </c>
      <c r="AL196" s="22">
        <f t="shared" si="165"/>
        <v>2.282709528541206E-12</v>
      </c>
      <c r="AM196" s="62">
        <f t="shared" ref="AM196:AM203" si="193">AL196+(AD196+AE196)*44/12</f>
        <v>293.33333333333559</v>
      </c>
      <c r="AN196" s="62">
        <f ca="1">AVERAGE(OFFSET($AM$3,0,0,'Données projet'!$E$10+1,1))-AVERAGE(OFFSET($H$3,0,0,'Données projet'!$E$10+1,1))</f>
        <v>276.78862011733338</v>
      </c>
      <c r="AO196" s="62">
        <f t="shared" si="144"/>
        <v>202.1678469635836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-8.7434273154940449E-13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428.8489304403459</v>
      </c>
      <c r="BJ196" s="62">
        <f t="shared" si="146"/>
        <v>247.01165577562966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-2.8421709430404007E-13</v>
      </c>
      <c r="BZ196" s="14">
        <f>BY196*VLOOKUP('Données projet'!$B$12,Paramètres!$A$1:$I$89,3,0)*VLOOKUP('Données projet'!$B$12,Paramètres!$A$1:$I$89,5,0)</f>
        <v>-1.69961822393816E-13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289.12367833861299</v>
      </c>
      <c r="CE196" s="62">
        <f t="shared" si="148"/>
        <v>229.06617320689003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1.2127523279586997E-24</v>
      </c>
      <c r="CN196" s="24">
        <f t="shared" si="172"/>
        <v>1.2127523279586997E-24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-4.5224624045658861E-14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370.59298168107364</v>
      </c>
      <c r="CZ196" s="62">
        <f t="shared" si="150"/>
        <v>404.61777090709171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-5.6843418860808015E-14</v>
      </c>
      <c r="DP196" s="18">
        <f>DO196*VLOOKUP('Données projet'!$B$14,Paramètres!$A$1:$I$89,3,0)*VLOOKUP('Données projet'!$B$14,Paramètres!$A$1:$I$89,5,0)</f>
        <v>-4.9658410716801891E-14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341.65872153228599</v>
      </c>
      <c r="DU196" s="62">
        <f t="shared" si="152"/>
        <v>339.49697153894937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1.7053025658242404E-13</v>
      </c>
      <c r="EK196" s="18">
        <f>EJ196*VLOOKUP('Données projet'!$B$15,Paramètres!$A$1:$I$89,3,0)*VLOOKUP('Données projet'!$B$15,Paramètres!$A$1:$I$89,5,0)</f>
        <v>1.1439169611549005E-13</v>
      </c>
      <c r="EL196" s="14">
        <f t="shared" si="179"/>
        <v>1.6918016515029816E-12</v>
      </c>
      <c r="EM196" s="22">
        <f t="shared" si="180"/>
        <v>3.1457867471021712E-12</v>
      </c>
      <c r="EN196" s="62">
        <f t="shared" ref="EN196:EN203" si="198">EM196+(EE196+EF196)*44/12</f>
        <v>293.33333333333644</v>
      </c>
      <c r="EO196" s="62">
        <f ca="1">AVERAGE(OFFSET($EN$3,0,0,'Données projet'!$E$15+1,1))-AVERAGE(OFFSET($H$3,0,0,'Données projet'!$E$15+1,1))</f>
        <v>312.06797204903796</v>
      </c>
      <c r="EP196" s="62">
        <f t="shared" si="154"/>
        <v>258.20189001775151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-9.6633812063373625E-13</v>
      </c>
      <c r="FF196" s="18">
        <f>FE196*VLOOKUP('Données projet'!$B$16,Paramètres!$A$1:$I$89,3,0)*VLOOKUP('Données projet'!$B$16,Paramètres!$A$1:$I$89,5,0)</f>
        <v>-9.3464223027694966E-13</v>
      </c>
      <c r="FG196" s="14" t="e">
        <f t="shared" si="182"/>
        <v>#NUM!</v>
      </c>
      <c r="FH196" s="22" t="e">
        <f t="shared" si="183"/>
        <v>#NUM!</v>
      </c>
      <c r="FI196" s="62" t="e">
        <f t="shared" ref="FI196:FI203" si="199">FH196+(EZ196+FA196)*44/12</f>
        <v>#NUM!</v>
      </c>
      <c r="FJ196" s="62">
        <f ca="1">AVERAGE(OFFSET($FI$3,0,0,'Données projet'!$E$16+1,1))-AVERAGE(OFFSET($H$3,0,0,'Données projet'!$E$16+1,1))</f>
        <v>455.50822833641354</v>
      </c>
      <c r="FK196" s="62">
        <f t="shared" si="156"/>
        <v>261.14722581688039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2.2737367544323206E-13</v>
      </c>
      <c r="O197" s="14">
        <f>N197*VLOOKUP('Données projet'!$B$9,Paramètres!$A$1:$I$89,3,0)*VLOOKUP('Données projet'!$B$9,Paramètres!$A$1:$I$89,5,0)</f>
        <v>1.2710188457276673E-13</v>
      </c>
      <c r="P197" s="14">
        <f t="shared" ref="P197:P203" si="203">EXP(-1.0587+0.8836*LN(O197)+0.284)</f>
        <v>1.856866851063998E-12</v>
      </c>
      <c r="Q197" s="22">
        <f t="shared" si="162"/>
        <v>3.4554122145673649E-12</v>
      </c>
      <c r="R197" s="62">
        <f t="shared" si="191"/>
        <v>293.33333333333678</v>
      </c>
      <c r="S197" s="62">
        <f ca="1">AVERAGE(OFFSET($R$3,0,0,'Données projet'!$E$9+1,1))-AVERAGE(OFFSET($H$3,0,0,'Données projet'!$E$9+1,1))</f>
        <v>323.98185264074681</v>
      </c>
      <c r="T197" s="62">
        <f t="shared" ref="T197:T203" si="204">$T$3</f>
        <v>301.22207291854005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0.17338848796437212</v>
      </c>
      <c r="AA197" s="23">
        <f>EXP(-LN(2)/25)*AA196+(1-EXP(-LN(2)/25))/(LN(2)/25)*Calculateur!V197*Calculateur!X197*VLOOKUP('Données projet'!$B$9,Paramètres!$A$1:$I$89,3,0)*0.475*44/12</f>
        <v>8.7408768616008894E-2</v>
      </c>
      <c r="AB197" s="23">
        <f>EXP(-LN(2)/2)*AB196+(1-EXP(-LN(2)/2))/(LN(2)/2)*V197*Y197*VLOOKUP('Données projet'!$B$9,Paramètres!$A$1:$I$89,3,0)*0.475*44/12</f>
        <v>1.2589290179852885E-24</v>
      </c>
      <c r="AC197" s="24">
        <f t="shared" si="163"/>
        <v>0.260797256580381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1.7053025658242404E-13</v>
      </c>
      <c r="AJ197" s="14">
        <f>AI197*VLOOKUP('Données projet'!$B$10,Paramètres!$A$1:$I$89,3,0)*VLOOKUP('Données projet'!$B$10,Paramètres!$A$1:$I$89,5,0)</f>
        <v>7.9808160080574461E-14</v>
      </c>
      <c r="AK197" s="14">
        <f t="shared" si="164"/>
        <v>1.2308384591775343E-12</v>
      </c>
      <c r="AL197" s="22">
        <f t="shared" si="165"/>
        <v>2.282709528541206E-12</v>
      </c>
      <c r="AM197" s="62">
        <f t="shared" si="193"/>
        <v>293.33333333333559</v>
      </c>
      <c r="AN197" s="62">
        <f ca="1">AVERAGE(OFFSET($AM$3,0,0,'Données projet'!$E$10+1,1))-AVERAGE(OFFSET($H$3,0,0,'Données projet'!$E$10+1,1))</f>
        <v>276.78862011733338</v>
      </c>
      <c r="AO197" s="62">
        <f t="shared" ref="AO197:AO203" si="205">$AO$3</f>
        <v>202.1678469635836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-8.7434273154940449E-13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428.8489304403459</v>
      </c>
      <c r="BJ197" s="62">
        <f t="shared" ref="BJ197:BJ203" si="206">$BJ$3</f>
        <v>247.01165577562966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-2.8421709430404007E-13</v>
      </c>
      <c r="BZ197" s="14">
        <f>BY197*VLOOKUP('Données projet'!$B$12,Paramètres!$A$1:$I$89,3,0)*VLOOKUP('Données projet'!$B$12,Paramètres!$A$1:$I$89,5,0)</f>
        <v>-1.69961822393816E-13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289.12367833861299</v>
      </c>
      <c r="CE197" s="62">
        <f t="shared" ref="CE197:CE203" si="207">$CE$3</f>
        <v>229.06617320689003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8.575453949993684E-25</v>
      </c>
      <c r="CN197" s="24">
        <f t="shared" si="172"/>
        <v>8.575453949993684E-25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-4.5224624045658861E-14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370.59298168107364</v>
      </c>
      <c r="CZ197" s="62">
        <f t="shared" ref="CZ197:CZ203" si="208">$CZ$3</f>
        <v>404.61777090709171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-5.6843418860808015E-14</v>
      </c>
      <c r="DP197" s="18">
        <f>DO197*VLOOKUP('Données projet'!$B$14,Paramètres!$A$1:$I$89,3,0)*VLOOKUP('Données projet'!$B$14,Paramètres!$A$1:$I$89,5,0)</f>
        <v>-4.9658410716801891E-14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341.65872153228599</v>
      </c>
      <c r="DU197" s="62">
        <f t="shared" ref="DU197:DU203" si="209">$DU$3</f>
        <v>339.49697153894937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1.7053025658242404E-13</v>
      </c>
      <c r="EK197" s="18">
        <f>EJ197*VLOOKUP('Données projet'!$B$15,Paramètres!$A$1:$I$89,3,0)*VLOOKUP('Données projet'!$B$15,Paramètres!$A$1:$I$89,5,0)</f>
        <v>1.1439169611549005E-13</v>
      </c>
      <c r="EL197" s="14">
        <f t="shared" si="179"/>
        <v>1.6918016515029816E-12</v>
      </c>
      <c r="EM197" s="22">
        <f t="shared" si="180"/>
        <v>3.1457867471021712E-12</v>
      </c>
      <c r="EN197" s="62">
        <f t="shared" si="198"/>
        <v>293.33333333333644</v>
      </c>
      <c r="EO197" s="62">
        <f ca="1">AVERAGE(OFFSET($EN$3,0,0,'Données projet'!$E$15+1,1))-AVERAGE(OFFSET($H$3,0,0,'Données projet'!$E$15+1,1))</f>
        <v>312.06797204903796</v>
      </c>
      <c r="EP197" s="62">
        <f t="shared" ref="EP197:EP203" si="210">$EP$3</f>
        <v>258.20189001775151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-9.6633812063373625E-13</v>
      </c>
      <c r="FF197" s="18">
        <f>FE197*VLOOKUP('Données projet'!$B$16,Paramètres!$A$1:$I$89,3,0)*VLOOKUP('Données projet'!$B$16,Paramètres!$A$1:$I$89,5,0)</f>
        <v>-9.3464223027694966E-13</v>
      </c>
      <c r="FG197" s="14" t="e">
        <f t="shared" si="182"/>
        <v>#NUM!</v>
      </c>
      <c r="FH197" s="22" t="e">
        <f t="shared" si="183"/>
        <v>#NUM!</v>
      </c>
      <c r="FI197" s="62" t="e">
        <f t="shared" si="199"/>
        <v>#NUM!</v>
      </c>
      <c r="FJ197" s="62">
        <f ca="1">AVERAGE(OFFSET($FI$3,0,0,'Données projet'!$E$16+1,1))-AVERAGE(OFFSET($H$3,0,0,'Données projet'!$E$16+1,1))</f>
        <v>455.50822833641354</v>
      </c>
      <c r="FK197" s="62">
        <f t="shared" ref="FK197:FK203" si="211">$FK$3</f>
        <v>261.14722581688039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2.2737367544323206E-13</v>
      </c>
      <c r="O198" s="14">
        <f>N198*VLOOKUP('Données projet'!$B$9,Paramètres!$A$1:$I$89,3,0)*VLOOKUP('Données projet'!$B$9,Paramètres!$A$1:$I$89,5,0)</f>
        <v>1.2710188457276673E-13</v>
      </c>
      <c r="P198" s="14">
        <f t="shared" si="203"/>
        <v>1.856866851063998E-12</v>
      </c>
      <c r="Q198" s="22">
        <f t="shared" si="162"/>
        <v>3.4554122145673649E-12</v>
      </c>
      <c r="R198" s="62">
        <f t="shared" si="191"/>
        <v>293.33333333333678</v>
      </c>
      <c r="S198" s="62">
        <f ca="1">AVERAGE(OFFSET($R$3,0,0,'Données projet'!$E$9+1,1))-AVERAGE(OFFSET($H$3,0,0,'Données projet'!$E$9+1,1))</f>
        <v>323.98185264074681</v>
      </c>
      <c r="T198" s="62">
        <f t="shared" si="204"/>
        <v>301.22207291854005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0.16998844547192585</v>
      </c>
      <c r="AA198" s="23">
        <f>EXP(-LN(2)/25)*AA197+(1-EXP(-LN(2)/25))/(LN(2)/25)*Calculateur!V198*Calculateur!X198*VLOOKUP('Données projet'!$B$9,Paramètres!$A$1:$I$89,3,0)*0.475*44/12</f>
        <v>8.501857124157676E-2</v>
      </c>
      <c r="AB198" s="23">
        <f>EXP(-LN(2)/2)*AB197+(1-EXP(-LN(2)/2))/(LN(2)/2)*V198*Y198*VLOOKUP('Données projet'!$B$9,Paramètres!$A$1:$I$89,3,0)*0.475*44/12</f>
        <v>8.9019724564991855E-25</v>
      </c>
      <c r="AC198" s="24">
        <f t="shared" si="163"/>
        <v>0.25500701671350262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1.7053025658242404E-13</v>
      </c>
      <c r="AJ198" s="14">
        <f>AI198*VLOOKUP('Données projet'!$B$10,Paramètres!$A$1:$I$89,3,0)*VLOOKUP('Données projet'!$B$10,Paramètres!$A$1:$I$89,5,0)</f>
        <v>7.9808160080574461E-14</v>
      </c>
      <c r="AK198" s="14">
        <f t="shared" si="164"/>
        <v>1.2308384591775343E-12</v>
      </c>
      <c r="AL198" s="22">
        <f t="shared" si="165"/>
        <v>2.282709528541206E-12</v>
      </c>
      <c r="AM198" s="62">
        <f t="shared" si="193"/>
        <v>293.33333333333559</v>
      </c>
      <c r="AN198" s="62">
        <f ca="1">AVERAGE(OFFSET($AM$3,0,0,'Données projet'!$E$10+1,1))-AVERAGE(OFFSET($H$3,0,0,'Données projet'!$E$10+1,1))</f>
        <v>276.78862011733338</v>
      </c>
      <c r="AO198" s="62">
        <f t="shared" si="205"/>
        <v>202.1678469635836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-8.7434273154940449E-13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428.8489304403459</v>
      </c>
      <c r="BJ198" s="62">
        <f t="shared" si="206"/>
        <v>247.01165577562966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-2.8421709430404007E-13</v>
      </c>
      <c r="BZ198" s="14">
        <f>BY198*VLOOKUP('Données projet'!$B$12,Paramètres!$A$1:$I$89,3,0)*VLOOKUP('Données projet'!$B$12,Paramètres!$A$1:$I$89,5,0)</f>
        <v>-1.69961822393816E-13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289.12367833861299</v>
      </c>
      <c r="CE198" s="62">
        <f t="shared" si="207"/>
        <v>229.06617320689003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6.0637616397934987E-25</v>
      </c>
      <c r="CN198" s="24">
        <f t="shared" si="172"/>
        <v>6.0637616397934987E-25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-4.5224624045658861E-14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370.59298168107364</v>
      </c>
      <c r="CZ198" s="62">
        <f t="shared" si="208"/>
        <v>404.61777090709171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-5.6843418860808015E-14</v>
      </c>
      <c r="DP198" s="18">
        <f>DO198*VLOOKUP('Données projet'!$B$14,Paramètres!$A$1:$I$89,3,0)*VLOOKUP('Données projet'!$B$14,Paramètres!$A$1:$I$89,5,0)</f>
        <v>-4.9658410716801891E-14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341.65872153228599</v>
      </c>
      <c r="DU198" s="62">
        <f t="shared" si="209"/>
        <v>339.49697153894937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1.7053025658242404E-13</v>
      </c>
      <c r="EK198" s="18">
        <f>EJ198*VLOOKUP('Données projet'!$B$15,Paramètres!$A$1:$I$89,3,0)*VLOOKUP('Données projet'!$B$15,Paramètres!$A$1:$I$89,5,0)</f>
        <v>1.1439169611549005E-13</v>
      </c>
      <c r="EL198" s="14">
        <f t="shared" si="179"/>
        <v>1.6918016515029816E-12</v>
      </c>
      <c r="EM198" s="22">
        <f t="shared" si="180"/>
        <v>3.1457867471021712E-12</v>
      </c>
      <c r="EN198" s="62">
        <f t="shared" si="198"/>
        <v>293.33333333333644</v>
      </c>
      <c r="EO198" s="62">
        <f ca="1">AVERAGE(OFFSET($EN$3,0,0,'Données projet'!$E$15+1,1))-AVERAGE(OFFSET($H$3,0,0,'Données projet'!$E$15+1,1))</f>
        <v>312.06797204903796</v>
      </c>
      <c r="EP198" s="62">
        <f t="shared" si="210"/>
        <v>258.20189001775151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-9.6633812063373625E-13</v>
      </c>
      <c r="FF198" s="18">
        <f>FE198*VLOOKUP('Données projet'!$B$16,Paramètres!$A$1:$I$89,3,0)*VLOOKUP('Données projet'!$B$16,Paramètres!$A$1:$I$89,5,0)</f>
        <v>-9.3464223027694966E-13</v>
      </c>
      <c r="FG198" s="14" t="e">
        <f t="shared" si="182"/>
        <v>#NUM!</v>
      </c>
      <c r="FH198" s="22" t="e">
        <f t="shared" si="183"/>
        <v>#NUM!</v>
      </c>
      <c r="FI198" s="62" t="e">
        <f t="shared" si="199"/>
        <v>#NUM!</v>
      </c>
      <c r="FJ198" s="62">
        <f ca="1">AVERAGE(OFFSET($FI$3,0,0,'Données projet'!$E$16+1,1))-AVERAGE(OFFSET($H$3,0,0,'Données projet'!$E$16+1,1))</f>
        <v>455.50822833641354</v>
      </c>
      <c r="FK198" s="62">
        <f t="shared" si="211"/>
        <v>261.14722581688039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2.2737367544323206E-13</v>
      </c>
      <c r="O199" s="14">
        <f>N199*VLOOKUP('Données projet'!$B$9,Paramètres!$A$1:$I$89,3,0)*VLOOKUP('Données projet'!$B$9,Paramètres!$A$1:$I$89,5,0)</f>
        <v>1.2710188457276673E-13</v>
      </c>
      <c r="P199" s="14">
        <f t="shared" si="203"/>
        <v>1.856866851063998E-12</v>
      </c>
      <c r="Q199" s="22">
        <f t="shared" si="162"/>
        <v>3.4554122145673649E-12</v>
      </c>
      <c r="R199" s="62">
        <f t="shared" si="191"/>
        <v>293.33333333333678</v>
      </c>
      <c r="S199" s="62">
        <f ca="1">AVERAGE(OFFSET($R$3,0,0,'Données projet'!$E$9+1,1))-AVERAGE(OFFSET($H$3,0,0,'Données projet'!$E$9+1,1))</f>
        <v>323.98185264074681</v>
      </c>
      <c r="T199" s="62">
        <f t="shared" si="204"/>
        <v>301.22207291854005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0.16665507573893532</v>
      </c>
      <c r="AA199" s="23">
        <f>EXP(-LN(2)/25)*AA198+(1-EXP(-LN(2)/25))/(LN(2)/25)*Calculateur!V199*Calculateur!X199*VLOOKUP('Données projet'!$B$9,Paramètres!$A$1:$I$89,3,0)*0.475*44/12</f>
        <v>8.2693733940043493E-2</v>
      </c>
      <c r="AB199" s="23">
        <f>EXP(-LN(2)/2)*AB198+(1-EXP(-LN(2)/2))/(LN(2)/2)*V199*Y199*VLOOKUP('Données projet'!$B$9,Paramètres!$A$1:$I$89,3,0)*0.475*44/12</f>
        <v>6.2946450899264426E-25</v>
      </c>
      <c r="AC199" s="24">
        <f t="shared" si="163"/>
        <v>0.24934880967897882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1.7053025658242404E-13</v>
      </c>
      <c r="AJ199" s="14">
        <f>AI199*VLOOKUP('Données projet'!$B$10,Paramètres!$A$1:$I$89,3,0)*VLOOKUP('Données projet'!$B$10,Paramètres!$A$1:$I$89,5,0)</f>
        <v>7.9808160080574461E-14</v>
      </c>
      <c r="AK199" s="14">
        <f t="shared" si="164"/>
        <v>1.2308384591775343E-12</v>
      </c>
      <c r="AL199" s="22">
        <f t="shared" si="165"/>
        <v>2.282709528541206E-12</v>
      </c>
      <c r="AM199" s="62">
        <f t="shared" si="193"/>
        <v>293.33333333333559</v>
      </c>
      <c r="AN199" s="62">
        <f ca="1">AVERAGE(OFFSET($AM$3,0,0,'Données projet'!$E$10+1,1))-AVERAGE(OFFSET($H$3,0,0,'Données projet'!$E$10+1,1))</f>
        <v>276.78862011733338</v>
      </c>
      <c r="AO199" s="62">
        <f t="shared" si="205"/>
        <v>202.1678469635836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-8.7434273154940449E-13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428.8489304403459</v>
      </c>
      <c r="BJ199" s="62">
        <f t="shared" si="206"/>
        <v>247.01165577562966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-2.8421709430404007E-13</v>
      </c>
      <c r="BZ199" s="14">
        <f>BY199*VLOOKUP('Données projet'!$B$12,Paramètres!$A$1:$I$89,3,0)*VLOOKUP('Données projet'!$B$12,Paramètres!$A$1:$I$89,5,0)</f>
        <v>-1.69961822393816E-13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289.12367833861299</v>
      </c>
      <c r="CE199" s="62">
        <f t="shared" si="207"/>
        <v>229.06617320689003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4.287726974996842E-25</v>
      </c>
      <c r="CN199" s="24">
        <f t="shared" si="172"/>
        <v>4.287726974996842E-25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-4.5224624045658861E-14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370.59298168107364</v>
      </c>
      <c r="CZ199" s="62">
        <f t="shared" si="208"/>
        <v>404.61777090709171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-5.6843418860808015E-14</v>
      </c>
      <c r="DP199" s="18">
        <f>DO199*VLOOKUP('Données projet'!$B$14,Paramètres!$A$1:$I$89,3,0)*VLOOKUP('Données projet'!$B$14,Paramètres!$A$1:$I$89,5,0)</f>
        <v>-4.9658410716801891E-14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341.65872153228599</v>
      </c>
      <c r="DU199" s="62">
        <f t="shared" si="209"/>
        <v>339.49697153894937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1.7053025658242404E-13</v>
      </c>
      <c r="EK199" s="18">
        <f>EJ199*VLOOKUP('Données projet'!$B$15,Paramètres!$A$1:$I$89,3,0)*VLOOKUP('Données projet'!$B$15,Paramètres!$A$1:$I$89,5,0)</f>
        <v>1.1439169611549005E-13</v>
      </c>
      <c r="EL199" s="14">
        <f t="shared" si="179"/>
        <v>1.6918016515029816E-12</v>
      </c>
      <c r="EM199" s="22">
        <f t="shared" si="180"/>
        <v>3.1457867471021712E-12</v>
      </c>
      <c r="EN199" s="62">
        <f t="shared" si="198"/>
        <v>293.33333333333644</v>
      </c>
      <c r="EO199" s="62">
        <f ca="1">AVERAGE(OFFSET($EN$3,0,0,'Données projet'!$E$15+1,1))-AVERAGE(OFFSET($H$3,0,0,'Données projet'!$E$15+1,1))</f>
        <v>312.06797204903796</v>
      </c>
      <c r="EP199" s="62">
        <f t="shared" si="210"/>
        <v>258.20189001775151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-9.6633812063373625E-13</v>
      </c>
      <c r="FF199" s="18">
        <f>FE199*VLOOKUP('Données projet'!$B$16,Paramètres!$A$1:$I$89,3,0)*VLOOKUP('Données projet'!$B$16,Paramètres!$A$1:$I$89,5,0)</f>
        <v>-9.3464223027694966E-13</v>
      </c>
      <c r="FG199" s="14" t="e">
        <f t="shared" si="182"/>
        <v>#NUM!</v>
      </c>
      <c r="FH199" s="22" t="e">
        <f t="shared" si="183"/>
        <v>#NUM!</v>
      </c>
      <c r="FI199" s="62" t="e">
        <f t="shared" si="199"/>
        <v>#NUM!</v>
      </c>
      <c r="FJ199" s="62">
        <f ca="1">AVERAGE(OFFSET($FI$3,0,0,'Données projet'!$E$16+1,1))-AVERAGE(OFFSET($H$3,0,0,'Données projet'!$E$16+1,1))</f>
        <v>455.50822833641354</v>
      </c>
      <c r="FK199" s="62">
        <f t="shared" si="211"/>
        <v>261.14722581688039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2.2737367544323206E-13</v>
      </c>
      <c r="O200" s="14">
        <f>N200*VLOOKUP('Données projet'!$B$9,Paramètres!$A$1:$I$89,3,0)*VLOOKUP('Données projet'!$B$9,Paramètres!$A$1:$I$89,5,0)</f>
        <v>1.2710188457276673E-13</v>
      </c>
      <c r="P200" s="14">
        <f t="shared" si="203"/>
        <v>1.856866851063998E-12</v>
      </c>
      <c r="Q200" s="22">
        <f t="shared" si="162"/>
        <v>3.4554122145673649E-12</v>
      </c>
      <c r="R200" s="62">
        <f t="shared" si="191"/>
        <v>293.33333333333678</v>
      </c>
      <c r="S200" s="62">
        <f ca="1">AVERAGE(OFFSET($R$3,0,0,'Données projet'!$E$9+1,1))-AVERAGE(OFFSET($H$3,0,0,'Données projet'!$E$9+1,1))</f>
        <v>323.98185264074681</v>
      </c>
      <c r="T200" s="62">
        <f t="shared" si="204"/>
        <v>301.22207291854005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0.16338707135325392</v>
      </c>
      <c r="AA200" s="23">
        <f>EXP(-LN(2)/25)*AA199+(1-EXP(-LN(2)/25))/(LN(2)/25)*Calculateur!V200*Calculateur!X200*VLOOKUP('Données projet'!$B$9,Paramètres!$A$1:$I$89,3,0)*0.475*44/12</f>
        <v>8.0432469436778536E-2</v>
      </c>
      <c r="AB200" s="23">
        <f>EXP(-LN(2)/2)*AB199+(1-EXP(-LN(2)/2))/(LN(2)/2)*V200*Y200*VLOOKUP('Données projet'!$B$9,Paramètres!$A$1:$I$89,3,0)*0.475*44/12</f>
        <v>4.4509862282495927E-25</v>
      </c>
      <c r="AC200" s="24">
        <f t="shared" si="163"/>
        <v>0.24381954079003246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1.7053025658242404E-13</v>
      </c>
      <c r="AJ200" s="14">
        <f>AI200*VLOOKUP('Données projet'!$B$10,Paramètres!$A$1:$I$89,3,0)*VLOOKUP('Données projet'!$B$10,Paramètres!$A$1:$I$89,5,0)</f>
        <v>7.9808160080574461E-14</v>
      </c>
      <c r="AK200" s="14">
        <f t="shared" si="164"/>
        <v>1.2308384591775343E-12</v>
      </c>
      <c r="AL200" s="22">
        <f t="shared" si="165"/>
        <v>2.282709528541206E-12</v>
      </c>
      <c r="AM200" s="62">
        <f t="shared" si="193"/>
        <v>293.33333333333559</v>
      </c>
      <c r="AN200" s="62">
        <f ca="1">AVERAGE(OFFSET($AM$3,0,0,'Données projet'!$E$10+1,1))-AVERAGE(OFFSET($H$3,0,0,'Données projet'!$E$10+1,1))</f>
        <v>276.78862011733338</v>
      </c>
      <c r="AO200" s="62">
        <f t="shared" si="205"/>
        <v>202.1678469635836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-8.7434273154940449E-13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428.8489304403459</v>
      </c>
      <c r="BJ200" s="62">
        <f t="shared" si="206"/>
        <v>247.01165577562966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-2.8421709430404007E-13</v>
      </c>
      <c r="BZ200" s="14">
        <f>BY200*VLOOKUP('Données projet'!$B$12,Paramètres!$A$1:$I$89,3,0)*VLOOKUP('Données projet'!$B$12,Paramètres!$A$1:$I$89,5,0)</f>
        <v>-1.69961822393816E-13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289.12367833861299</v>
      </c>
      <c r="CE200" s="62">
        <f t="shared" si="207"/>
        <v>229.06617320689003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3.0318808198967493E-25</v>
      </c>
      <c r="CN200" s="24">
        <f t="shared" si="172"/>
        <v>3.0318808198967493E-25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-4.5224624045658861E-14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370.59298168107364</v>
      </c>
      <c r="CZ200" s="62">
        <f t="shared" si="208"/>
        <v>404.61777090709171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-5.6843418860808015E-14</v>
      </c>
      <c r="DP200" s="18">
        <f>DO200*VLOOKUP('Données projet'!$B$14,Paramètres!$A$1:$I$89,3,0)*VLOOKUP('Données projet'!$B$14,Paramètres!$A$1:$I$89,5,0)</f>
        <v>-4.9658410716801891E-14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341.65872153228599</v>
      </c>
      <c r="DU200" s="62">
        <f t="shared" si="209"/>
        <v>339.49697153894937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1.7053025658242404E-13</v>
      </c>
      <c r="EK200" s="18">
        <f>EJ200*VLOOKUP('Données projet'!$B$15,Paramètres!$A$1:$I$89,3,0)*VLOOKUP('Données projet'!$B$15,Paramètres!$A$1:$I$89,5,0)</f>
        <v>1.1439169611549005E-13</v>
      </c>
      <c r="EL200" s="14">
        <f t="shared" si="179"/>
        <v>1.6918016515029816E-12</v>
      </c>
      <c r="EM200" s="22">
        <f t="shared" si="180"/>
        <v>3.1457867471021712E-12</v>
      </c>
      <c r="EN200" s="62">
        <f t="shared" si="198"/>
        <v>293.33333333333644</v>
      </c>
      <c r="EO200" s="62">
        <f ca="1">AVERAGE(OFFSET($EN$3,0,0,'Données projet'!$E$15+1,1))-AVERAGE(OFFSET($H$3,0,0,'Données projet'!$E$15+1,1))</f>
        <v>312.06797204903796</v>
      </c>
      <c r="EP200" s="62">
        <f t="shared" si="210"/>
        <v>258.20189001775151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-9.6633812063373625E-13</v>
      </c>
      <c r="FF200" s="18">
        <f>FE200*VLOOKUP('Données projet'!$B$16,Paramètres!$A$1:$I$89,3,0)*VLOOKUP('Données projet'!$B$16,Paramètres!$A$1:$I$89,5,0)</f>
        <v>-9.3464223027694966E-13</v>
      </c>
      <c r="FG200" s="14" t="e">
        <f t="shared" si="182"/>
        <v>#NUM!</v>
      </c>
      <c r="FH200" s="22" t="e">
        <f t="shared" si="183"/>
        <v>#NUM!</v>
      </c>
      <c r="FI200" s="62" t="e">
        <f t="shared" si="199"/>
        <v>#NUM!</v>
      </c>
      <c r="FJ200" s="62">
        <f ca="1">AVERAGE(OFFSET($FI$3,0,0,'Données projet'!$E$16+1,1))-AVERAGE(OFFSET($H$3,0,0,'Données projet'!$E$16+1,1))</f>
        <v>455.50822833641354</v>
      </c>
      <c r="FK200" s="62">
        <f t="shared" si="211"/>
        <v>261.14722581688039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2.2737367544323206E-13</v>
      </c>
      <c r="O201" s="14">
        <f>N201*VLOOKUP('Données projet'!$B$9,Paramètres!$A$1:$I$89,3,0)*VLOOKUP('Données projet'!$B$9,Paramètres!$A$1:$I$89,5,0)</f>
        <v>1.2710188457276673E-13</v>
      </c>
      <c r="P201" s="14">
        <f t="shared" si="203"/>
        <v>1.856866851063998E-12</v>
      </c>
      <c r="Q201" s="22">
        <f t="shared" si="162"/>
        <v>3.4554122145673649E-12</v>
      </c>
      <c r="R201" s="62">
        <f t="shared" si="191"/>
        <v>293.33333333333678</v>
      </c>
      <c r="S201" s="62">
        <f ca="1">AVERAGE(OFFSET($R$3,0,0,'Données projet'!$E$9+1,1))-AVERAGE(OFFSET($H$3,0,0,'Données projet'!$E$9+1,1))</f>
        <v>323.98185264074681</v>
      </c>
      <c r="T201" s="62">
        <f t="shared" si="204"/>
        <v>301.22207291854005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0.16018315054028989</v>
      </c>
      <c r="AA201" s="23">
        <f>EXP(-LN(2)/25)*AA200+(1-EXP(-LN(2)/25))/(LN(2)/25)*Calculateur!V201*Calculateur!X201*VLOOKUP('Données projet'!$B$9,Paramètres!$A$1:$I$89,3,0)*0.475*44/12</f>
        <v>7.8233039330270093E-2</v>
      </c>
      <c r="AB201" s="23">
        <f>EXP(-LN(2)/2)*AB200+(1-EXP(-LN(2)/2))/(LN(2)/2)*V201*Y201*VLOOKUP('Données projet'!$B$9,Paramètres!$A$1:$I$89,3,0)*0.475*44/12</f>
        <v>3.1473225449632213E-25</v>
      </c>
      <c r="AC201" s="24">
        <f t="shared" si="163"/>
        <v>0.23841618987055999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1.7053025658242404E-13</v>
      </c>
      <c r="AJ201" s="14">
        <f>AI201*VLOOKUP('Données projet'!$B$10,Paramètres!$A$1:$I$89,3,0)*VLOOKUP('Données projet'!$B$10,Paramètres!$A$1:$I$89,5,0)</f>
        <v>7.9808160080574461E-14</v>
      </c>
      <c r="AK201" s="14">
        <f t="shared" si="164"/>
        <v>1.2308384591775343E-12</v>
      </c>
      <c r="AL201" s="22">
        <f t="shared" si="165"/>
        <v>2.282709528541206E-12</v>
      </c>
      <c r="AM201" s="62">
        <f t="shared" si="193"/>
        <v>293.33333333333559</v>
      </c>
      <c r="AN201" s="62">
        <f ca="1">AVERAGE(OFFSET($AM$3,0,0,'Données projet'!$E$10+1,1))-AVERAGE(OFFSET($H$3,0,0,'Données projet'!$E$10+1,1))</f>
        <v>276.78862011733338</v>
      </c>
      <c r="AO201" s="62">
        <f t="shared" si="205"/>
        <v>202.1678469635836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-8.7434273154940449E-13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428.8489304403459</v>
      </c>
      <c r="BJ201" s="62">
        <f t="shared" si="206"/>
        <v>247.01165577562966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-2.8421709430404007E-13</v>
      </c>
      <c r="BZ201" s="14">
        <f>BY201*VLOOKUP('Données projet'!$B$12,Paramètres!$A$1:$I$89,3,0)*VLOOKUP('Données projet'!$B$12,Paramètres!$A$1:$I$89,5,0)</f>
        <v>-1.69961822393816E-13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289.12367833861299</v>
      </c>
      <c r="CE201" s="62">
        <f t="shared" si="207"/>
        <v>229.06617320689003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2.143863487498421E-25</v>
      </c>
      <c r="CN201" s="24">
        <f t="shared" si="172"/>
        <v>2.143863487498421E-25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-4.5224624045658861E-14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370.59298168107364</v>
      </c>
      <c r="CZ201" s="62">
        <f t="shared" si="208"/>
        <v>404.61777090709171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-5.6843418860808015E-14</v>
      </c>
      <c r="DP201" s="18">
        <f>DO201*VLOOKUP('Données projet'!$B$14,Paramètres!$A$1:$I$89,3,0)*VLOOKUP('Données projet'!$B$14,Paramètres!$A$1:$I$89,5,0)</f>
        <v>-4.9658410716801891E-14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341.65872153228599</v>
      </c>
      <c r="DU201" s="62">
        <f t="shared" si="209"/>
        <v>339.49697153894937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1.7053025658242404E-13</v>
      </c>
      <c r="EK201" s="18">
        <f>EJ201*VLOOKUP('Données projet'!$B$15,Paramètres!$A$1:$I$89,3,0)*VLOOKUP('Données projet'!$B$15,Paramètres!$A$1:$I$89,5,0)</f>
        <v>1.1439169611549005E-13</v>
      </c>
      <c r="EL201" s="14">
        <f t="shared" si="179"/>
        <v>1.6918016515029816E-12</v>
      </c>
      <c r="EM201" s="22">
        <f t="shared" si="180"/>
        <v>3.1457867471021712E-12</v>
      </c>
      <c r="EN201" s="62">
        <f t="shared" si="198"/>
        <v>293.33333333333644</v>
      </c>
      <c r="EO201" s="62">
        <f ca="1">AVERAGE(OFFSET($EN$3,0,0,'Données projet'!$E$15+1,1))-AVERAGE(OFFSET($H$3,0,0,'Données projet'!$E$15+1,1))</f>
        <v>312.06797204903796</v>
      </c>
      <c r="EP201" s="62">
        <f t="shared" si="210"/>
        <v>258.20189001775151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-9.6633812063373625E-13</v>
      </c>
      <c r="FF201" s="18">
        <f>FE201*VLOOKUP('Données projet'!$B$16,Paramètres!$A$1:$I$89,3,0)*VLOOKUP('Données projet'!$B$16,Paramètres!$A$1:$I$89,5,0)</f>
        <v>-9.3464223027694966E-13</v>
      </c>
      <c r="FG201" s="14" t="e">
        <f t="shared" si="182"/>
        <v>#NUM!</v>
      </c>
      <c r="FH201" s="22" t="e">
        <f t="shared" si="183"/>
        <v>#NUM!</v>
      </c>
      <c r="FI201" s="62" t="e">
        <f t="shared" si="199"/>
        <v>#NUM!</v>
      </c>
      <c r="FJ201" s="62">
        <f ca="1">AVERAGE(OFFSET($FI$3,0,0,'Données projet'!$E$16+1,1))-AVERAGE(OFFSET($H$3,0,0,'Données projet'!$E$16+1,1))</f>
        <v>455.50822833641354</v>
      </c>
      <c r="FK201" s="62">
        <f t="shared" si="211"/>
        <v>261.14722581688039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2.2737367544323206E-13</v>
      </c>
      <c r="O202" s="14">
        <f>N202*VLOOKUP('Données projet'!$B$9,Paramètres!$A$1:$I$89,3,0)*VLOOKUP('Données projet'!$B$9,Paramètres!$A$1:$I$89,5,0)</f>
        <v>1.2710188457276673E-13</v>
      </c>
      <c r="P202" s="14">
        <f t="shared" si="203"/>
        <v>1.856866851063998E-12</v>
      </c>
      <c r="Q202" s="22">
        <f t="shared" si="162"/>
        <v>3.4554122145673649E-12</v>
      </c>
      <c r="R202" s="62">
        <f t="shared" si="191"/>
        <v>293.33333333333678</v>
      </c>
      <c r="S202" s="62">
        <f ca="1">AVERAGE(OFFSET($R$3,0,0,'Données projet'!$E$9+1,1))-AVERAGE(OFFSET($H$3,0,0,'Données projet'!$E$9+1,1))</f>
        <v>323.98185264074681</v>
      </c>
      <c r="T202" s="62">
        <f t="shared" si="204"/>
        <v>301.22207291854005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0.15704205666026935</v>
      </c>
      <c r="AA202" s="23">
        <f>EXP(-LN(2)/25)*AA201+(1-EXP(-LN(2)/25))/(LN(2)/25)*Calculateur!V202*Calculateur!X202*VLOOKUP('Données projet'!$B$9,Paramètres!$A$1:$I$89,3,0)*0.475*44/12</f>
        <v>7.6093752755687125E-2</v>
      </c>
      <c r="AB202" s="23">
        <f>EXP(-LN(2)/2)*AB201+(1-EXP(-LN(2)/2))/(LN(2)/2)*V202*Y202*VLOOKUP('Données projet'!$B$9,Paramètres!$A$1:$I$89,3,0)*0.475*44/12</f>
        <v>2.2254931141247964E-25</v>
      </c>
      <c r="AC202" s="24">
        <f t="shared" si="163"/>
        <v>0.23313580941595646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1.7053025658242404E-13</v>
      </c>
      <c r="AJ202" s="14">
        <f>AI202*VLOOKUP('Données projet'!$B$10,Paramètres!$A$1:$I$89,3,0)*VLOOKUP('Données projet'!$B$10,Paramètres!$A$1:$I$89,5,0)</f>
        <v>7.9808160080574461E-14</v>
      </c>
      <c r="AK202" s="14">
        <f t="shared" si="164"/>
        <v>1.2308384591775343E-12</v>
      </c>
      <c r="AL202" s="22">
        <f t="shared" si="165"/>
        <v>2.282709528541206E-12</v>
      </c>
      <c r="AM202" s="62">
        <f t="shared" si="193"/>
        <v>293.33333333333559</v>
      </c>
      <c r="AN202" s="62">
        <f ca="1">AVERAGE(OFFSET($AM$3,0,0,'Données projet'!$E$10+1,1))-AVERAGE(OFFSET($H$3,0,0,'Données projet'!$E$10+1,1))</f>
        <v>276.78862011733338</v>
      </c>
      <c r="AO202" s="62">
        <f t="shared" si="205"/>
        <v>202.1678469635836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-8.7434273154940449E-13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428.8489304403459</v>
      </c>
      <c r="BJ202" s="62">
        <f t="shared" si="206"/>
        <v>247.01165577562966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-2.8421709430404007E-13</v>
      </c>
      <c r="BZ202" s="14">
        <f>BY202*VLOOKUP('Données projet'!$B$12,Paramètres!$A$1:$I$89,3,0)*VLOOKUP('Données projet'!$B$12,Paramètres!$A$1:$I$89,5,0)</f>
        <v>-1.69961822393816E-13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289.12367833861299</v>
      </c>
      <c r="CE202" s="62">
        <f t="shared" si="207"/>
        <v>229.06617320689003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1.5159404099483747E-25</v>
      </c>
      <c r="CN202" s="24">
        <f t="shared" si="172"/>
        <v>1.5159404099483747E-25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-4.5224624045658861E-14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370.59298168107364</v>
      </c>
      <c r="CZ202" s="62">
        <f t="shared" si="208"/>
        <v>404.61777090709171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-5.6843418860808015E-14</v>
      </c>
      <c r="DP202" s="18">
        <f>DO202*VLOOKUP('Données projet'!$B$14,Paramètres!$A$1:$I$89,3,0)*VLOOKUP('Données projet'!$B$14,Paramètres!$A$1:$I$89,5,0)</f>
        <v>-4.9658410716801891E-14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341.65872153228599</v>
      </c>
      <c r="DU202" s="62">
        <f t="shared" si="209"/>
        <v>339.49697153894937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1.7053025658242404E-13</v>
      </c>
      <c r="EK202" s="18">
        <f>EJ202*VLOOKUP('Données projet'!$B$15,Paramètres!$A$1:$I$89,3,0)*VLOOKUP('Données projet'!$B$15,Paramètres!$A$1:$I$89,5,0)</f>
        <v>1.1439169611549005E-13</v>
      </c>
      <c r="EL202" s="14">
        <f t="shared" si="179"/>
        <v>1.6918016515029816E-12</v>
      </c>
      <c r="EM202" s="22">
        <f t="shared" si="180"/>
        <v>3.1457867471021712E-12</v>
      </c>
      <c r="EN202" s="62">
        <f t="shared" si="198"/>
        <v>293.33333333333644</v>
      </c>
      <c r="EO202" s="62">
        <f ca="1">AVERAGE(OFFSET($EN$3,0,0,'Données projet'!$E$15+1,1))-AVERAGE(OFFSET($H$3,0,0,'Données projet'!$E$15+1,1))</f>
        <v>312.06797204903796</v>
      </c>
      <c r="EP202" s="62">
        <f t="shared" si="210"/>
        <v>258.20189001775151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-9.6633812063373625E-13</v>
      </c>
      <c r="FF202" s="18">
        <f>FE202*VLOOKUP('Données projet'!$B$16,Paramètres!$A$1:$I$89,3,0)*VLOOKUP('Données projet'!$B$16,Paramètres!$A$1:$I$89,5,0)</f>
        <v>-9.3464223027694966E-13</v>
      </c>
      <c r="FG202" s="14" t="e">
        <f t="shared" si="182"/>
        <v>#NUM!</v>
      </c>
      <c r="FH202" s="22" t="e">
        <f t="shared" si="183"/>
        <v>#NUM!</v>
      </c>
      <c r="FI202" s="62" t="e">
        <f t="shared" si="199"/>
        <v>#NUM!</v>
      </c>
      <c r="FJ202" s="62">
        <f ca="1">AVERAGE(OFFSET($FI$3,0,0,'Données projet'!$E$16+1,1))-AVERAGE(OFFSET($H$3,0,0,'Données projet'!$E$16+1,1))</f>
        <v>455.50822833641354</v>
      </c>
      <c r="FK202" s="62">
        <f t="shared" si="211"/>
        <v>261.14722581688039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2.2737367544323206E-13</v>
      </c>
      <c r="O203" s="14">
        <f>N203*VLOOKUP('Données projet'!$B$9,Paramètres!$A$1:$I$89,3,0)*VLOOKUP('Données projet'!$B$9,Paramètres!$A$1:$I$89,5,0)</f>
        <v>1.2710188457276673E-13</v>
      </c>
      <c r="P203" s="14">
        <f t="shared" si="203"/>
        <v>1.856866851063998E-12</v>
      </c>
      <c r="Q203" s="22">
        <f t="shared" si="162"/>
        <v>3.4554122145673649E-12</v>
      </c>
      <c r="R203" s="62">
        <f t="shared" si="191"/>
        <v>293.33333333333678</v>
      </c>
      <c r="S203" s="62">
        <f ca="1">AVERAGE(OFFSET($R$3,0,0,'Données projet'!$E$9+1,1))-AVERAGE(OFFSET($H$3,0,0,'Données projet'!$E$9+1,1))</f>
        <v>323.98185264074681</v>
      </c>
      <c r="T203" s="62">
        <f t="shared" si="204"/>
        <v>301.22207291854005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0.15396255771535794</v>
      </c>
      <c r="AA203" s="23">
        <f>EXP(-LN(2)/25)*AA202+(1-EXP(-LN(2)/25))/(LN(2)/25)*Calculateur!V203*Calculateur!X203*VLOOKUP('Données projet'!$B$9,Paramètres!$A$1:$I$89,3,0)*0.475*44/12</f>
        <v>7.4012965084986324E-2</v>
      </c>
      <c r="AB203" s="23">
        <f>EXP(-LN(2)/2)*AB202+(1-EXP(-LN(2)/2))/(LN(2)/2)*V203*Y203*VLOOKUP('Données projet'!$B$9,Paramètres!$A$1:$I$89,3,0)*0.475*44/12</f>
        <v>1.5736612724816107E-25</v>
      </c>
      <c r="AC203" s="24">
        <f t="shared" si="163"/>
        <v>0.22797552280034428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1.7053025658242404E-13</v>
      </c>
      <c r="AJ203" s="14">
        <f>AI203*VLOOKUP('Données projet'!$B$10,Paramètres!$A$1:$I$89,3,0)*VLOOKUP('Données projet'!$B$10,Paramètres!$A$1:$I$89,5,0)</f>
        <v>7.9808160080574461E-14</v>
      </c>
      <c r="AK203" s="14">
        <f t="shared" si="164"/>
        <v>1.2308384591775343E-12</v>
      </c>
      <c r="AL203" s="22">
        <f t="shared" si="165"/>
        <v>2.282709528541206E-12</v>
      </c>
      <c r="AM203" s="62">
        <f t="shared" si="193"/>
        <v>293.33333333333559</v>
      </c>
      <c r="AN203" s="62">
        <f ca="1">AVERAGE(OFFSET($AM$3,0,0,'Données projet'!$E$10+1,1))-AVERAGE(OFFSET($H$3,0,0,'Données projet'!$E$10+1,1))</f>
        <v>276.78862011733338</v>
      </c>
      <c r="AO203" s="62">
        <f t="shared" si="205"/>
        <v>202.1678469635836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-8.7434273154940449E-13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428.8489304403459</v>
      </c>
      <c r="BJ203" s="62">
        <f t="shared" si="206"/>
        <v>247.01165577562966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-2.8421709430404007E-13</v>
      </c>
      <c r="BZ203" s="14">
        <f>BY203*VLOOKUP('Données projet'!$B$12,Paramètres!$A$1:$I$89,3,0)*VLOOKUP('Données projet'!$B$12,Paramètres!$A$1:$I$89,5,0)</f>
        <v>-1.69961822393816E-13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289.12367833861299</v>
      </c>
      <c r="CE203" s="62">
        <f t="shared" si="207"/>
        <v>229.06617320689003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1.0719317437492105E-25</v>
      </c>
      <c r="CN203" s="24">
        <f t="shared" si="172"/>
        <v>1.0719317437492105E-25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-4.5224624045658861E-14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370.59298168107364</v>
      </c>
      <c r="CZ203" s="62">
        <f t="shared" si="208"/>
        <v>404.61777090709171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-5.6843418860808015E-14</v>
      </c>
      <c r="DP203" s="18">
        <f>DO203*VLOOKUP('Données projet'!$B$14,Paramètres!$A$1:$I$89,3,0)*VLOOKUP('Données projet'!$B$14,Paramètres!$A$1:$I$89,5,0)</f>
        <v>-4.9658410716801891E-14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341.65872153228599</v>
      </c>
      <c r="DU203" s="62">
        <f t="shared" si="209"/>
        <v>339.49697153894937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1.7053025658242404E-13</v>
      </c>
      <c r="EK203" s="18">
        <f>EJ203*VLOOKUP('Données projet'!$B$15,Paramètres!$A$1:$I$89,3,0)*VLOOKUP('Données projet'!$B$15,Paramètres!$A$1:$I$89,5,0)</f>
        <v>1.1439169611549005E-13</v>
      </c>
      <c r="EL203" s="14">
        <f t="shared" si="179"/>
        <v>1.6918016515029816E-12</v>
      </c>
      <c r="EM203" s="22">
        <f t="shared" si="180"/>
        <v>3.1457867471021712E-12</v>
      </c>
      <c r="EN203" s="62">
        <f t="shared" si="198"/>
        <v>293.33333333333644</v>
      </c>
      <c r="EO203" s="62">
        <f ca="1">AVERAGE(OFFSET($EN$3,0,0,'Données projet'!$E$15+1,1))-AVERAGE(OFFSET($H$3,0,0,'Données projet'!$E$15+1,1))</f>
        <v>312.06797204903796</v>
      </c>
      <c r="EP203" s="62">
        <f t="shared" si="210"/>
        <v>258.20189001775151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-9.6633812063373625E-13</v>
      </c>
      <c r="FF203" s="18">
        <f>FE203*VLOOKUP('Données projet'!$B$16,Paramètres!$A$1:$I$89,3,0)*VLOOKUP('Données projet'!$B$16,Paramètres!$A$1:$I$89,5,0)</f>
        <v>-9.3464223027694966E-13</v>
      </c>
      <c r="FG203" s="14" t="e">
        <f t="shared" si="182"/>
        <v>#NUM!</v>
      </c>
      <c r="FH203" s="22" t="e">
        <f t="shared" si="183"/>
        <v>#NUM!</v>
      </c>
      <c r="FI203" s="62" t="e">
        <f t="shared" si="199"/>
        <v>#NUM!</v>
      </c>
      <c r="FJ203" s="62">
        <f ca="1">AVERAGE(OFFSET($FI$3,0,0,'Données projet'!$E$16+1,1))-AVERAGE(OFFSET($H$3,0,0,'Données projet'!$E$16+1,1))</f>
        <v>455.50822833641354</v>
      </c>
      <c r="FK203" s="62">
        <f t="shared" si="211"/>
        <v>261.14722581688039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1.3009230512021859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1.1840119133911551</v>
      </c>
      <c r="BA205" s="88">
        <f>EXP(LN('Données projet'!B88)/'Données projet'!A88)</f>
        <v>1.2054868146447177</v>
      </c>
      <c r="BV205" s="88">
        <f>EXP(LN('Données projet'!B114)/'Données projet'!A114)</f>
        <v>1.2691631451226497</v>
      </c>
      <c r="CQ205" s="88">
        <f>EXP(LN('Données projet'!B140)/'Données projet'!A140)</f>
        <v>1.2721323532877689</v>
      </c>
      <c r="DL205" s="88">
        <f>EXP(LN('Données projet'!B166)/'Données projet'!A166)</f>
        <v>1.3682730833261529</v>
      </c>
      <c r="EG205" s="88">
        <f>EXP(LN('Données projet'!B192)/'Données projet'!A192)</f>
        <v>1.2979700365523266</v>
      </c>
      <c r="FB205" s="88">
        <f>EXP(LN('Données projet'!B218)/'Données projet'!A218)</f>
        <v>1.2054868146447177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35" workbookViewId="0">
      <selection activeCell="C39" sqref="C39:C61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opLeftCell="A4" zoomScale="115" zoomScaleNormal="115" workbookViewId="0">
      <selection activeCell="E13" sqref="E13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2.9323199999999998</v>
      </c>
      <c r="C6" s="156">
        <f ca="1">IF(OR('Données projet'!B9="",'Données projet'!C9="",'Données projet'!C9=0%),0,Calculateur!S3)</f>
        <v>323.98185264074681</v>
      </c>
      <c r="D6" s="156">
        <f>IF(OR('Données projet'!B9="",'Données projet'!C9="",'Données projet'!C9=0%),0,Calculateur!T3)</f>
        <v>301.22207291854005</v>
      </c>
      <c r="E6" s="156">
        <f ca="1">MIN(C6,D6)</f>
        <v>301.22207291854005</v>
      </c>
      <c r="F6" s="156">
        <f ca="1">E6*B6</f>
        <v>883.27950886049325</v>
      </c>
      <c r="G6" s="156">
        <f ca="1">F6*(100%-'Données projet'!$C$24)*(100%-'Données projet'!$C$25)*(100%-'Données projet'!$C$26)*(100%-'Données projet'!$C$27)</f>
        <v>755.20398007572169</v>
      </c>
      <c r="H6" s="157">
        <f>IF(OR('Données projet'!B9="",'Données projet'!C9="",'Données projet'!C9=0%),0,AVERAGE(Calculateur!$AC$3:$AC$33)*B6)</f>
        <v>13.832510142755257</v>
      </c>
      <c r="I6" s="158">
        <f>H6*(100%-'Données projet'!$C$24)*(100%-'Données projet'!$C$25)*(100%-'Données projet'!$C$26)*(100%-'Données projet'!$C$27)</f>
        <v>11.826796172055744</v>
      </c>
      <c r="J6" s="159">
        <f>IF(OR('Données projet'!B9="",'Données projet'!C9="",'Données projet'!C9=0%),0,SUM(Calculateur!$V$3:$V$33)*VLOOKUP('Données projet'!$B$9,Paramètres!$A$1:$I$89,9,0)*B6)</f>
        <v>148.89260813538459</v>
      </c>
      <c r="K6" s="160">
        <f>J6*(100%-'Données projet'!$C$24)*(100%-'Données projet'!$C$25)*(100%-'Données projet'!$C$26)*(100%-'Données projet'!$C$27)</f>
        <v>127.30317995575383</v>
      </c>
      <c r="L6" s="161">
        <f ca="1">G6+I6+K6</f>
        <v>894.33395620353133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1.79088</v>
      </c>
      <c r="C7" s="156">
        <f ca="1">IF(OR('Données projet'!B10="",'Données projet'!C10="",'Données projet'!C10=0%),0,Calculateur!AN3)</f>
        <v>276.78862011733338</v>
      </c>
      <c r="D7" s="156">
        <f>IF(OR('Données projet'!B10="",'Données projet'!C10="",'Données projet'!C10=0%),0,Calculateur!AO3)</f>
        <v>202.1678469635836</v>
      </c>
      <c r="E7" s="156">
        <f t="shared" ref="E7:E15" ca="1" si="0">MIN(C7,D7)</f>
        <v>202.1678469635836</v>
      </c>
      <c r="F7" s="156">
        <f t="shared" ref="F7:F15" ca="1" si="1">E7*B7</f>
        <v>362.05835377014262</v>
      </c>
      <c r="G7" s="156">
        <f ca="1">F7*(100%-'Données projet'!$C$24)*(100%-'Données projet'!$C$25)*(100%-'Données projet'!$C$26)*(100%-'Données projet'!$C$27)</f>
        <v>309.55989247347196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309.55989247347196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0.62319999999999998</v>
      </c>
      <c r="C8" s="156">
        <f ca="1">IF(OR('Données projet'!B11="",'Données projet'!C11="",'Données projet'!C11=0%),0,Calculateur!BI3)</f>
        <v>428.8489304403459</v>
      </c>
      <c r="D8" s="156">
        <f>IF(OR('Données projet'!B11="",'Données projet'!C11="",'Données projet'!C11=0%),0,Calculateur!BJ3)</f>
        <v>247.01165577562966</v>
      </c>
      <c r="E8" s="156">
        <f t="shared" ca="1" si="0"/>
        <v>247.01165577562966</v>
      </c>
      <c r="F8" s="156">
        <f t="shared" ca="1" si="1"/>
        <v>153.93766387937239</v>
      </c>
      <c r="G8" s="156">
        <f ca="1">F8*(100%-'Données projet'!$C$24)*(100%-'Données projet'!$C$25)*(100%-'Données projet'!$C$26)*(100%-'Données projet'!$C$27)</f>
        <v>131.61670261686339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4.5182000000000002</v>
      </c>
      <c r="K8" s="160">
        <f>J8*(100%-'Données projet'!$C$24)*(100%-'Données projet'!$C$25)*(100%-'Données projet'!$C$26)*(100%-'Données projet'!$C$27)</f>
        <v>3.8630610000000005</v>
      </c>
      <c r="L8" s="161">
        <f t="shared" ca="1" si="2"/>
        <v>135.47976361686338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laricio</v>
      </c>
      <c r="B9" s="163">
        <f>'Données projet'!D12</f>
        <v>0.28863999999999995</v>
      </c>
      <c r="C9" s="156">
        <f ca="1">IF(OR('Données projet'!B12="",'Données projet'!C12="",'Données projet'!C12=0%),0,Calculateur!CD3)</f>
        <v>289.12367833861299</v>
      </c>
      <c r="D9" s="156">
        <f>IF(OR('Données projet'!B12="",'Données projet'!C12="",'Données projet'!C12=0%),0,Calculateur!CE3)</f>
        <v>229.06617320689003</v>
      </c>
      <c r="E9" s="156">
        <f t="shared" ca="1" si="0"/>
        <v>229.06617320689003</v>
      </c>
      <c r="F9" s="156">
        <f t="shared" ca="1" si="1"/>
        <v>66.117660234436727</v>
      </c>
      <c r="G9" s="156">
        <f ca="1">F9*(100%-'Données projet'!$C$24)*(100%-'Données projet'!$C$25)*(100%-'Données projet'!$C$26)*(100%-'Données projet'!$C$27)</f>
        <v>56.530599500443401</v>
      </c>
      <c r="H9" s="164">
        <f>IF(OR('Données projet'!B12="",'Données projet'!C12="",'Données projet'!C12=0%),0,AVERAGE(Calculateur!$CN$3:$CN$33)*B9)</f>
        <v>0.27964594462875142</v>
      </c>
      <c r="I9" s="158">
        <f>H9*(100%-'Données projet'!$C$24)*(100%-'Données projet'!$C$25)*(100%-'Données projet'!$C$26)*(100%-'Données projet'!$C$27)</f>
        <v>0.23909728265758246</v>
      </c>
      <c r="J9" s="159">
        <f>IF(OR('Données projet'!B12="",'Données projet'!C12="",'Données projet'!C12=0%),0,SUM(Calculateur!$CG$3:$CG$33)*VLOOKUP('Données projet'!$B$12,Paramètres!$A$1:$I$89,9,0)*B9)</f>
        <v>10.846713747692304</v>
      </c>
      <c r="K9" s="160">
        <f>J9*(100%-'Données projet'!$C$24)*(100%-'Données projet'!$C$25)*(100%-'Données projet'!$C$26)*(100%-'Données projet'!$C$27)</f>
        <v>9.2739402542769191</v>
      </c>
      <c r="L9" s="161">
        <f t="shared" ca="1" si="2"/>
        <v>66.043637037377906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Erable sycomore</v>
      </c>
      <c r="B10" s="163">
        <f>'Données projet'!D13</f>
        <v>0.27551999999999999</v>
      </c>
      <c r="C10" s="156">
        <f ca="1">IF(OR('Données projet'!B13="",'Données projet'!C13="",'Données projet'!C13=0%),0,Calculateur!CY3)</f>
        <v>370.59298168107364</v>
      </c>
      <c r="D10" s="156">
        <f>IF(OR('Données projet'!B13="",'Données projet'!C13="",'Données projet'!C13=0%),0,Calculateur!CZ3)</f>
        <v>404.61777090709171</v>
      </c>
      <c r="E10" s="156">
        <f t="shared" ca="1" si="0"/>
        <v>370.59298168107364</v>
      </c>
      <c r="F10" s="156">
        <f t="shared" ca="1" si="1"/>
        <v>102.1057783127694</v>
      </c>
      <c r="G10" s="156">
        <f ca="1">F10*(100%-'Données projet'!$C$24)*(100%-'Données projet'!$C$25)*(100%-'Données projet'!$C$26)*(100%-'Données projet'!$C$27)</f>
        <v>87.300440457417835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9.40212</v>
      </c>
      <c r="K10" s="160">
        <f>J10*(100%-'Données projet'!$C$24)*(100%-'Données projet'!$C$25)*(100%-'Données projet'!$C$26)*(100%-'Données projet'!$C$27)</f>
        <v>8.0388126</v>
      </c>
      <c r="L10" s="161">
        <f t="shared" ca="1" si="2"/>
        <v>95.339253057417835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Chêne rouge d'Amérique</v>
      </c>
      <c r="B11" s="163">
        <f>'Données projet'!D14</f>
        <v>0.27551999999999999</v>
      </c>
      <c r="C11" s="156">
        <f ca="1">IF(OR('Données projet'!B14="",'Données projet'!C14="",'Données projet'!C14=0%),0,Calculateur!DT3)</f>
        <v>341.65872153228599</v>
      </c>
      <c r="D11" s="156">
        <f>IF(OR('Données projet'!B14="",'Données projet'!C14="",'Données projet'!C14=0%),0,Calculateur!DU3)</f>
        <v>339.49697153894937</v>
      </c>
      <c r="E11" s="156">
        <f t="shared" ca="1" si="0"/>
        <v>339.49697153894937</v>
      </c>
      <c r="F11" s="156">
        <f t="shared" ca="1" si="1"/>
        <v>93.538205598411324</v>
      </c>
      <c r="G11" s="156">
        <f ca="1">F11*(100%-'Données projet'!$C$24)*(100%-'Données projet'!$C$25)*(100%-'Données projet'!$C$26)*(100%-'Données projet'!$C$27)</f>
        <v>79.975165786641682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6.0614399999999993</v>
      </c>
      <c r="K11" s="160">
        <f>J11*(100%-'Données projet'!$C$24)*(100%-'Données projet'!$C$25)*(100%-'Données projet'!$C$26)*(100%-'Données projet'!$C$27)</f>
        <v>5.1825311999999997</v>
      </c>
      <c r="L11" s="161">
        <f t="shared" ca="1" si="2"/>
        <v>85.157696986641682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Tilleul</v>
      </c>
      <c r="B12" s="163">
        <f>'Données projet'!D15</f>
        <v>0.20335999999999999</v>
      </c>
      <c r="C12" s="156">
        <f ca="1">IF(OR('Données projet'!B15="",'Données projet'!C15="",'Données projet'!C15=0%),0,Calculateur!EO3)</f>
        <v>312.06797204903796</v>
      </c>
      <c r="D12" s="156">
        <f>IF(OR('Données projet'!B15="",'Données projet'!C15="",'Données projet'!C15=0%),0,Calculateur!EP3)</f>
        <v>258.20189001775151</v>
      </c>
      <c r="E12" s="156">
        <f t="shared" ca="1" si="0"/>
        <v>258.20189001775151</v>
      </c>
      <c r="F12" s="156">
        <f t="shared" ca="1" si="1"/>
        <v>52.507936354009942</v>
      </c>
      <c r="G12" s="156">
        <f ca="1">F12*(100%-'Données projet'!$C$24)*(100%-'Données projet'!$C$25)*(100%-'Données projet'!$C$26)*(100%-'Données projet'!$C$27)</f>
        <v>44.894285582678499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2.9004871794871794</v>
      </c>
      <c r="K12" s="160">
        <f>J12*(100%-'Données projet'!$C$24)*(100%-'Données projet'!$C$25)*(100%-'Données projet'!$C$26)*(100%-'Données projet'!$C$27)</f>
        <v>2.4799165384615383</v>
      </c>
      <c r="L12" s="161">
        <f t="shared" ca="1" si="2"/>
        <v>47.374202121140037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Alisier torminal</v>
      </c>
      <c r="B13" s="163">
        <f>'Données projet'!D16</f>
        <v>7.2159999999999988E-2</v>
      </c>
      <c r="C13" s="156">
        <f ca="1">IF(OR('Données projet'!B16="",'Données projet'!C16="",'Données projet'!C16=0%),0,Calculateur!FJ3)</f>
        <v>455.50822833641354</v>
      </c>
      <c r="D13" s="156">
        <f>IF(OR('Données projet'!B16="",'Données projet'!C16="",'Données projet'!C16=0%),0,Calculateur!FK3)</f>
        <v>261.14722581688039</v>
      </c>
      <c r="E13" s="156">
        <f t="shared" ca="1" si="0"/>
        <v>261.14722581688039</v>
      </c>
      <c r="F13" s="156">
        <f t="shared" ca="1" si="1"/>
        <v>18.844383814946084</v>
      </c>
      <c r="G13" s="156">
        <f ca="1">F13*(100%-'Données projet'!$C$24)*(100%-'Données projet'!$C$25)*(100%-'Données projet'!$C$26)*(100%-'Données projet'!$C$27)</f>
        <v>16.111948161778901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0.52315999999999996</v>
      </c>
      <c r="K13" s="160">
        <f>J13*(100%-'Données projet'!$C$24)*(100%-'Données projet'!$C$25)*(100%-'Données projet'!$C$26)*(100%-'Données projet'!$C$27)</f>
        <v>0.44730179999999997</v>
      </c>
      <c r="L13" s="161">
        <f t="shared" ca="1" si="2"/>
        <v>16.559249961778903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1732.3894908245816</v>
      </c>
      <c r="G16" s="175">
        <f t="shared" ca="1" si="3"/>
        <v>1481.1930146550174</v>
      </c>
      <c r="H16" s="176">
        <f t="shared" si="3"/>
        <v>14.112156087384008</v>
      </c>
      <c r="I16" s="176">
        <f t="shared" si="3"/>
        <v>12.065893454713326</v>
      </c>
      <c r="J16" s="177">
        <f t="shared" si="3"/>
        <v>183.14472906256407</v>
      </c>
      <c r="K16" s="177">
        <f t="shared" si="3"/>
        <v>156.58874334849227</v>
      </c>
      <c r="L16" s="178">
        <f t="shared" ca="1" si="3"/>
        <v>1649.8476514582233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laricio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Erable sycomore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Chêne rouge d'Amérique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Tilleul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Alisier torminal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I10" zoomScale="89" zoomScaleNormal="89" workbookViewId="0">
      <selection activeCell="L26" sqref="L26:P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5171.4847042268839</v>
      </c>
      <c r="U10" s="190">
        <f>'Données projet'!D9</f>
        <v>2.9323199999999998</v>
      </c>
      <c r="V10" s="189">
        <f>U10*T10</f>
        <v>15164.448027898576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1717.5029421084921</v>
      </c>
      <c r="U11" s="190">
        <f>'Données projet'!D10</f>
        <v>1.79088</v>
      </c>
      <c r="V11" s="189">
        <f>U11*T11</f>
        <v>3075.8416689632563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566.64391648456444</v>
      </c>
      <c r="U12" s="190">
        <f>'Données projet'!D11</f>
        <v>0.62319999999999998</v>
      </c>
      <c r="V12" s="189">
        <f t="shared" ref="V12:V19" si="0">U12*T12</f>
        <v>353.13248875318055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laricio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1599.0933561186498</v>
      </c>
      <c r="U13" s="190">
        <f>'Données projet'!D12</f>
        <v>0.28863999999999995</v>
      </c>
      <c r="V13" s="189">
        <f t="shared" si="0"/>
        <v>461.56230631008702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Erable sycomore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2094.3643226198092</v>
      </c>
      <c r="U14" s="190">
        <f>'Données projet'!D13</f>
        <v>0.27551999999999999</v>
      </c>
      <c r="V14" s="189">
        <f t="shared" si="0"/>
        <v>577.03925816820981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Chêne rouge d'Amérique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925.01067688073203</v>
      </c>
      <c r="U15" s="190">
        <f>'Données projet'!D14</f>
        <v>0.27551999999999999</v>
      </c>
      <c r="V15" s="189">
        <f t="shared" si="0"/>
        <v>254.85894169417926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>Tilleul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586.42588496661313</v>
      </c>
      <c r="U16" s="190">
        <f>'Données projet'!D15</f>
        <v>0.20335999999999999</v>
      </c>
      <c r="V16" s="189">
        <f t="shared" si="0"/>
        <v>119.25556796681043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Alisier torminal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566.64391648456444</v>
      </c>
      <c r="U17" s="190">
        <f>'Données projet'!D16</f>
        <v>7.2159999999999988E-2</v>
      </c>
      <c r="V17" s="189">
        <f t="shared" si="0"/>
        <v>40.889025013526165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0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0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7672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-30281.292715232172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21</v>
      </c>
      <c r="B24" s="193">
        <f>'Données projet'!D37</f>
        <v>61.169230769230765</v>
      </c>
      <c r="C24" s="206">
        <v>25</v>
      </c>
      <c r="D24" s="194">
        <f t="shared" ref="D24:D42" si="1">B24*C24</f>
        <v>1529.2307692307691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28</v>
      </c>
      <c r="B25" s="193">
        <f>'Données projet'!D38</f>
        <v>56.91538461538461</v>
      </c>
      <c r="C25" s="206">
        <v>30</v>
      </c>
      <c r="D25" s="194">
        <f t="shared" si="1"/>
        <v>1707.4615384615383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-30281.292715232172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1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35</v>
      </c>
      <c r="B27" s="193">
        <f>'Données projet'!D40</f>
        <v>70.5</v>
      </c>
      <c r="C27" s="206">
        <v>35</v>
      </c>
      <c r="D27" s="194">
        <f t="shared" si="1"/>
        <v>2467.5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42</v>
      </c>
      <c r="B28" s="193">
        <f>'Données projet'!D41</f>
        <v>80.669230769230765</v>
      </c>
      <c r="C28" s="206">
        <v>40</v>
      </c>
      <c r="D28" s="194">
        <f t="shared" si="1"/>
        <v>3226.7692307692305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49</v>
      </c>
      <c r="B29" s="193">
        <f>'Données projet'!D42</f>
        <v>90.453846153846158</v>
      </c>
      <c r="C29" s="206">
        <v>45</v>
      </c>
      <c r="D29" s="194">
        <f t="shared" si="1"/>
        <v>4070.4230769230771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56</v>
      </c>
      <c r="B30" s="193">
        <f>'Données projet'!D43</f>
        <v>75.869230769230768</v>
      </c>
      <c r="C30" s="206">
        <v>50</v>
      </c>
      <c r="D30" s="194">
        <f t="shared" si="1"/>
        <v>3793.4615384615386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63</v>
      </c>
      <c r="B31" s="193">
        <f>'Données projet'!D44</f>
        <v>79.723076923076917</v>
      </c>
      <c r="C31" s="206">
        <v>60</v>
      </c>
      <c r="D31" s="194">
        <f t="shared" si="1"/>
        <v>4783.3846153846152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69</v>
      </c>
      <c r="B32" s="193">
        <f>'Données projet'!D45</f>
        <v>0</v>
      </c>
      <c r="C32" s="206"/>
      <c r="D32" s="194">
        <f t="shared" si="1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469.06923076923073</v>
      </c>
      <c r="C33" s="206">
        <v>90</v>
      </c>
      <c r="D33" s="194">
        <f t="shared" si="1"/>
        <v>42216.230769230766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2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1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2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1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2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1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2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1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2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1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2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1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2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1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2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1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2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1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2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2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2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2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2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2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2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2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2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2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2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2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30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2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36</v>
      </c>
      <c r="B55" s="193">
        <f>'Données projet'!D63</f>
        <v>0</v>
      </c>
      <c r="C55" s="204"/>
      <c r="D55" s="191">
        <f t="shared" ref="D55:D73" si="3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2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42</v>
      </c>
      <c r="B56" s="193">
        <f>'Données projet'!D64</f>
        <v>104.98461538461537</v>
      </c>
      <c r="C56" s="204">
        <v>15</v>
      </c>
      <c r="D56" s="191">
        <f t="shared" si="3"/>
        <v>1574.7692307692305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2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46</v>
      </c>
      <c r="B57" s="193">
        <f>'Données projet'!D65</f>
        <v>0</v>
      </c>
      <c r="C57" s="204"/>
      <c r="D57" s="191">
        <f t="shared" si="3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2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50</v>
      </c>
      <c r="B58" s="193">
        <f>'Données projet'!D66</f>
        <v>100.66923076923077</v>
      </c>
      <c r="C58" s="204">
        <v>20</v>
      </c>
      <c r="D58" s="191">
        <f t="shared" si="3"/>
        <v>2013.3846153846152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2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54</v>
      </c>
      <c r="B59" s="193">
        <f>'Données projet'!D67</f>
        <v>0</v>
      </c>
      <c r="C59" s="204"/>
      <c r="D59" s="191">
        <f t="shared" si="3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2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58</v>
      </c>
      <c r="B60" s="193">
        <f>'Données projet'!D68</f>
        <v>80.315384615384616</v>
      </c>
      <c r="C60" s="204">
        <v>30</v>
      </c>
      <c r="D60" s="191">
        <f t="shared" si="3"/>
        <v>2409.4615384615386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2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62</v>
      </c>
      <c r="B61" s="193">
        <f>'Données projet'!D69</f>
        <v>0</v>
      </c>
      <c r="C61" s="204"/>
      <c r="D61" s="191">
        <f t="shared" si="3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2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66</v>
      </c>
      <c r="B62" s="193">
        <f>'Données projet'!D70</f>
        <v>79.169230769230765</v>
      </c>
      <c r="C62" s="204">
        <v>40</v>
      </c>
      <c r="D62" s="191">
        <f t="shared" si="3"/>
        <v>3166.7692307692305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2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71</v>
      </c>
      <c r="B63" s="193">
        <f>'Données projet'!D71</f>
        <v>0</v>
      </c>
      <c r="C63" s="204"/>
      <c r="D63" s="191">
        <f t="shared" si="3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2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78.307692307692307</v>
      </c>
      <c r="C64" s="204">
        <v>50</v>
      </c>
      <c r="D64" s="191">
        <f t="shared" si="3"/>
        <v>3915.3846153846152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2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79</v>
      </c>
      <c r="B65" s="193">
        <f>'Données projet'!D73</f>
        <v>0</v>
      </c>
      <c r="C65" s="204"/>
      <c r="D65" s="191">
        <f t="shared" si="3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4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83</v>
      </c>
      <c r="B66" s="193">
        <f>'Données projet'!D74</f>
        <v>79.707692307692312</v>
      </c>
      <c r="C66" s="204">
        <v>60</v>
      </c>
      <c r="D66" s="191">
        <f t="shared" si="3"/>
        <v>4782.461538461539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4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87</v>
      </c>
      <c r="B67" s="193">
        <f>'Données projet'!D75</f>
        <v>0</v>
      </c>
      <c r="C67" s="204"/>
      <c r="D67" s="191">
        <f t="shared" si="3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4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91</v>
      </c>
      <c r="B68" s="193">
        <f>'Données projet'!D76</f>
        <v>229.73846153846154</v>
      </c>
      <c r="C68" s="204">
        <v>70</v>
      </c>
      <c r="D68" s="191">
        <f t="shared" si="3"/>
        <v>16081.692307692307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4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96</v>
      </c>
      <c r="B69" s="193">
        <f>'Données projet'!D77</f>
        <v>0</v>
      </c>
      <c r="C69" s="204"/>
      <c r="D69" s="191">
        <f t="shared" si="3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4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101</v>
      </c>
      <c r="B70" s="193">
        <f>'Données projet'!D78</f>
        <v>307.60769230769228</v>
      </c>
      <c r="C70" s="204">
        <v>90</v>
      </c>
      <c r="D70" s="191">
        <f t="shared" si="3"/>
        <v>27684.692307692305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4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3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4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3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4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3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4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4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4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4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4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4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4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4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4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4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4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4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4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0</v>
      </c>
      <c r="C86" s="204"/>
      <c r="D86" s="191">
        <f t="shared" ref="D86:D104" si="5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4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29</v>
      </c>
      <c r="C87" s="206">
        <v>10</v>
      </c>
      <c r="D87" s="191">
        <f t="shared" si="5"/>
        <v>290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4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0</v>
      </c>
      <c r="C88" s="206"/>
      <c r="D88" s="191">
        <f t="shared" si="5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4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42</v>
      </c>
      <c r="C89" s="206">
        <v>10</v>
      </c>
      <c r="D89" s="191">
        <f t="shared" si="5"/>
        <v>420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4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0</v>
      </c>
      <c r="C90" s="206"/>
      <c r="D90" s="191">
        <f t="shared" si="5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4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42</v>
      </c>
      <c r="C91" s="206">
        <v>10</v>
      </c>
      <c r="D91" s="191">
        <f t="shared" si="5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4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0</v>
      </c>
      <c r="C92" s="206"/>
      <c r="D92" s="191">
        <f t="shared" si="5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4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42</v>
      </c>
      <c r="C93" s="206">
        <v>20</v>
      </c>
      <c r="D93" s="191">
        <f t="shared" si="5"/>
        <v>840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4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0</v>
      </c>
      <c r="C94" s="206"/>
      <c r="D94" s="191">
        <f t="shared" si="5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4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42</v>
      </c>
      <c r="C95" s="206">
        <v>30</v>
      </c>
      <c r="D95" s="191">
        <f t="shared" si="5"/>
        <v>1260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4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0</v>
      </c>
      <c r="C96" s="206"/>
      <c r="D96" s="191">
        <f t="shared" si="5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4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42</v>
      </c>
      <c r="C97" s="206">
        <v>40</v>
      </c>
      <c r="D97" s="191">
        <f t="shared" si="5"/>
        <v>1680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6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42</v>
      </c>
      <c r="C98" s="206">
        <v>50</v>
      </c>
      <c r="D98" s="191">
        <f t="shared" si="5"/>
        <v>2100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6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100</v>
      </c>
      <c r="B99" s="193">
        <f>'Données projet'!D102</f>
        <v>42</v>
      </c>
      <c r="C99" s="206">
        <v>60</v>
      </c>
      <c r="D99" s="191">
        <f t="shared" si="5"/>
        <v>2520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6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110</v>
      </c>
      <c r="B100" s="193">
        <f>'Données projet'!D103</f>
        <v>39</v>
      </c>
      <c r="C100" s="206">
        <v>70</v>
      </c>
      <c r="D100" s="191">
        <f t="shared" si="5"/>
        <v>2730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6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120</v>
      </c>
      <c r="B101" s="193">
        <f>'Données projet'!D104</f>
        <v>35</v>
      </c>
      <c r="C101" s="206">
        <v>80</v>
      </c>
      <c r="D101" s="191">
        <f t="shared" si="5"/>
        <v>2800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6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130</v>
      </c>
      <c r="B102" s="193">
        <f>'Données projet'!D105</f>
        <v>31</v>
      </c>
      <c r="C102" s="206">
        <v>100</v>
      </c>
      <c r="D102" s="191">
        <f t="shared" si="5"/>
        <v>3100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6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140</v>
      </c>
      <c r="B103" s="193">
        <f>'Données projet'!D106</f>
        <v>27</v>
      </c>
      <c r="C103" s="206">
        <v>120</v>
      </c>
      <c r="D103" s="191">
        <f t="shared" si="5"/>
        <v>3240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6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150</v>
      </c>
      <c r="B104" s="193">
        <f>'Données projet'!D107</f>
        <v>293</v>
      </c>
      <c r="C104" s="206">
        <v>200</v>
      </c>
      <c r="D104" s="191">
        <f t="shared" si="5"/>
        <v>58600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str">
        <f>IF(O103+1&lt;=MIN('Données projet'!$E$9:$E$18),O103+1,"STOP")</f>
        <v>STOP</v>
      </c>
      <c r="P104" s="197" t="e">
        <f t="shared" si="6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6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6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laricio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6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6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6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6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6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6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6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6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6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6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21</v>
      </c>
      <c r="B117" s="193">
        <f>'Données projet'!D115</f>
        <v>0</v>
      </c>
      <c r="C117" s="204"/>
      <c r="D117" s="191">
        <f t="shared" ref="D117:D135" si="7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6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22</v>
      </c>
      <c r="B118" s="193">
        <f>'Données projet'!D116</f>
        <v>52.746153846153838</v>
      </c>
      <c r="C118" s="204">
        <v>10</v>
      </c>
      <c r="D118" s="191">
        <f t="shared" si="7"/>
        <v>527.46153846153834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6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24</v>
      </c>
      <c r="B119" s="193">
        <f>'Données projet'!D117</f>
        <v>0</v>
      </c>
      <c r="C119" s="204"/>
      <c r="D119" s="191">
        <f t="shared" si="7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6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27</v>
      </c>
      <c r="B120" s="193">
        <f>'Données projet'!D118</f>
        <v>34.646153846153844</v>
      </c>
      <c r="C120" s="204">
        <v>15</v>
      </c>
      <c r="D120" s="191">
        <f t="shared" si="7"/>
        <v>519.69230769230762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6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30</v>
      </c>
      <c r="B121" s="193">
        <f>'Données projet'!D119</f>
        <v>0</v>
      </c>
      <c r="C121" s="204"/>
      <c r="D121" s="191">
        <f t="shared" si="7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6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33</v>
      </c>
      <c r="B122" s="193">
        <f>'Données projet'!D120</f>
        <v>43.007692307692302</v>
      </c>
      <c r="C122" s="204">
        <v>20</v>
      </c>
      <c r="D122" s="191">
        <f t="shared" si="7"/>
        <v>860.15384615384608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6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41</v>
      </c>
      <c r="B123" s="193">
        <f>'Données projet'!D121</f>
        <v>58.484615384615381</v>
      </c>
      <c r="C123" s="204">
        <v>25</v>
      </c>
      <c r="D123" s="191">
        <f t="shared" si="7"/>
        <v>1462.1153846153845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6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50</v>
      </c>
      <c r="B124" s="193">
        <f>'Données projet'!D122</f>
        <v>55.292307692307688</v>
      </c>
      <c r="C124" s="204">
        <v>25</v>
      </c>
      <c r="D124" s="191">
        <f t="shared" si="7"/>
        <v>1382.3076923076922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6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54.261538461538464</v>
      </c>
      <c r="C125" s="204">
        <v>25</v>
      </c>
      <c r="D125" s="191">
        <f t="shared" si="7"/>
        <v>1356.5384615384617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6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52.669230769230765</v>
      </c>
      <c r="C126" s="204">
        <v>30</v>
      </c>
      <c r="D126" s="191">
        <f t="shared" si="7"/>
        <v>1580.0769230769229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6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80</v>
      </c>
      <c r="B127" s="193">
        <f>'Données projet'!D125</f>
        <v>402.90769230769229</v>
      </c>
      <c r="C127" s="204">
        <v>40</v>
      </c>
      <c r="D127" s="191">
        <f t="shared" si="7"/>
        <v>16116.307692307691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6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7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6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7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7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>$P$25/(1+$M$4)^O130</f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7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>$P$25/(1+$M$4)^O131</f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7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>$P$25/(1+$M$4)^O132</f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7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7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7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Erable sycomore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10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15</v>
      </c>
      <c r="B148" s="187">
        <f>'Données projet'!D141</f>
        <v>0</v>
      </c>
      <c r="C148" s="204"/>
      <c r="D148" s="194">
        <f t="shared" ref="D148:D166" si="8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20</v>
      </c>
      <c r="B149" s="187">
        <f>'Données projet'!D142</f>
        <v>66.5</v>
      </c>
      <c r="C149" s="204">
        <v>10</v>
      </c>
      <c r="D149" s="194">
        <f t="shared" si="8"/>
        <v>665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25</v>
      </c>
      <c r="B150" s="187">
        <f>'Données projet'!D143</f>
        <v>0</v>
      </c>
      <c r="C150" s="204"/>
      <c r="D150" s="194">
        <f t="shared" si="8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30</v>
      </c>
      <c r="B151" s="187">
        <f>'Données projet'!D144</f>
        <v>70</v>
      </c>
      <c r="C151" s="204">
        <v>15</v>
      </c>
      <c r="D151" s="194">
        <f t="shared" si="8"/>
        <v>1050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35</v>
      </c>
      <c r="B152" s="187">
        <f>'Données projet'!D145</f>
        <v>0</v>
      </c>
      <c r="C152" s="204"/>
      <c r="D152" s="194">
        <f t="shared" si="8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40</v>
      </c>
      <c r="B153" s="187">
        <f>'Données projet'!D146</f>
        <v>70</v>
      </c>
      <c r="C153" s="204">
        <v>20</v>
      </c>
      <c r="D153" s="194">
        <f t="shared" si="8"/>
        <v>1400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45</v>
      </c>
      <c r="B154" s="187">
        <f>'Données projet'!D147</f>
        <v>0</v>
      </c>
      <c r="C154" s="204"/>
      <c r="D154" s="194">
        <f t="shared" si="8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50</v>
      </c>
      <c r="B155" s="187">
        <f>'Données projet'!D148</f>
        <v>43.099999999999994</v>
      </c>
      <c r="C155" s="204">
        <v>30</v>
      </c>
      <c r="D155" s="194">
        <f t="shared" si="8"/>
        <v>1292.9999999999998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55</v>
      </c>
      <c r="B156" s="187">
        <f>'Données projet'!D149</f>
        <v>0</v>
      </c>
      <c r="C156" s="204"/>
      <c r="D156" s="194">
        <f t="shared" si="8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60</v>
      </c>
      <c r="B157" s="187">
        <f>'Données projet'!D150</f>
        <v>30.2</v>
      </c>
      <c r="C157" s="204">
        <v>40</v>
      </c>
      <c r="D157" s="194">
        <f t="shared" si="8"/>
        <v>1208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65</v>
      </c>
      <c r="B158" s="187">
        <f>'Données projet'!D151</f>
        <v>0</v>
      </c>
      <c r="C158" s="204"/>
      <c r="D158" s="194">
        <f t="shared" si="8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70</v>
      </c>
      <c r="B159" s="187">
        <f>'Données projet'!D152</f>
        <v>25.9</v>
      </c>
      <c r="C159" s="204">
        <v>50</v>
      </c>
      <c r="D159" s="194">
        <f t="shared" si="8"/>
        <v>1295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75</v>
      </c>
      <c r="B160" s="187">
        <f>'Données projet'!D153</f>
        <v>0</v>
      </c>
      <c r="C160" s="204"/>
      <c r="D160" s="194">
        <f t="shared" si="8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80</v>
      </c>
      <c r="B161" s="187">
        <f>'Données projet'!D154</f>
        <v>341.3</v>
      </c>
      <c r="C161" s="206">
        <v>100</v>
      </c>
      <c r="D161" s="194">
        <f t="shared" si="8"/>
        <v>34130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8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8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8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8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8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Chêne rouge d'Amérique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10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15</v>
      </c>
      <c r="B179" s="193">
        <f>'Données projet'!D167</f>
        <v>0</v>
      </c>
      <c r="C179" s="206"/>
      <c r="D179" s="191">
        <f t="shared" ref="D179:D197" si="9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20</v>
      </c>
      <c r="B180" s="193">
        <f>'Données projet'!D168</f>
        <v>41</v>
      </c>
      <c r="C180" s="204">
        <v>10</v>
      </c>
      <c r="D180" s="191">
        <f t="shared" si="9"/>
        <v>410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25</v>
      </c>
      <c r="B181" s="193">
        <f>'Données projet'!D169</f>
        <v>0</v>
      </c>
      <c r="C181" s="204"/>
      <c r="D181" s="191">
        <f t="shared" si="9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30</v>
      </c>
      <c r="B182" s="193">
        <f>'Données projet'!D170</f>
        <v>47</v>
      </c>
      <c r="C182" s="204">
        <v>10</v>
      </c>
      <c r="D182" s="191">
        <f t="shared" si="9"/>
        <v>470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35</v>
      </c>
      <c r="B183" s="193">
        <f>'Données projet'!D171</f>
        <v>0</v>
      </c>
      <c r="C183" s="204"/>
      <c r="D183" s="191">
        <f t="shared" si="9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40</v>
      </c>
      <c r="B184" s="193">
        <f>'Données projet'!D172</f>
        <v>47</v>
      </c>
      <c r="C184" s="204">
        <v>15</v>
      </c>
      <c r="D184" s="191">
        <f t="shared" si="9"/>
        <v>705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45</v>
      </c>
      <c r="B185" s="193">
        <f>'Données projet'!D173</f>
        <v>0</v>
      </c>
      <c r="C185" s="204"/>
      <c r="D185" s="191">
        <f t="shared" si="9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50</v>
      </c>
      <c r="B186" s="193">
        <f>'Données projet'!D174</f>
        <v>43</v>
      </c>
      <c r="C186" s="204">
        <v>20</v>
      </c>
      <c r="D186" s="191">
        <f t="shared" si="9"/>
        <v>860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55</v>
      </c>
      <c r="B187" s="193">
        <f>'Données projet'!D175</f>
        <v>0</v>
      </c>
      <c r="C187" s="204"/>
      <c r="D187" s="191">
        <f t="shared" si="9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60</v>
      </c>
      <c r="B188" s="193">
        <f>'Données projet'!D176</f>
        <v>38</v>
      </c>
      <c r="C188" s="204">
        <v>25</v>
      </c>
      <c r="D188" s="191">
        <f t="shared" si="9"/>
        <v>950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65</v>
      </c>
      <c r="B189" s="193">
        <f>'Données projet'!D177</f>
        <v>0</v>
      </c>
      <c r="C189" s="204"/>
      <c r="D189" s="191">
        <f t="shared" si="9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70</v>
      </c>
      <c r="B190" s="193">
        <f>'Données projet'!D178</f>
        <v>33</v>
      </c>
      <c r="C190" s="204">
        <v>30</v>
      </c>
      <c r="D190" s="191">
        <f t="shared" si="9"/>
        <v>990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75</v>
      </c>
      <c r="B191" s="193">
        <f>'Données projet'!D179</f>
        <v>0</v>
      </c>
      <c r="C191" s="204"/>
      <c r="D191" s="191">
        <f t="shared" si="9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80</v>
      </c>
      <c r="B192" s="193">
        <f>'Données projet'!D180</f>
        <v>27</v>
      </c>
      <c r="C192" s="204">
        <v>40</v>
      </c>
      <c r="D192" s="191">
        <f t="shared" si="9"/>
        <v>1080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85</v>
      </c>
      <c r="B193" s="193">
        <f>'Données projet'!D181</f>
        <v>0</v>
      </c>
      <c r="C193" s="204"/>
      <c r="D193" s="191">
        <f t="shared" si="9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90</v>
      </c>
      <c r="B194" s="193">
        <f>'Données projet'!D182</f>
        <v>23</v>
      </c>
      <c r="C194" s="204">
        <v>50</v>
      </c>
      <c r="D194" s="191">
        <f t="shared" si="9"/>
        <v>1150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95</v>
      </c>
      <c r="B195" s="193">
        <f>'Données projet'!D183</f>
        <v>0</v>
      </c>
      <c r="C195" s="204"/>
      <c r="D195" s="191">
        <f t="shared" si="9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100</v>
      </c>
      <c r="B196" s="193">
        <f>'Données projet'!D184</f>
        <v>251</v>
      </c>
      <c r="C196" s="204">
        <v>80</v>
      </c>
      <c r="D196" s="191">
        <f t="shared" si="9"/>
        <v>20080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9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Tilleul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15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20</v>
      </c>
      <c r="B210" s="193">
        <f>'Données projet'!D193</f>
        <v>24.358974358974358</v>
      </c>
      <c r="C210" s="206">
        <v>10</v>
      </c>
      <c r="D210" s="191">
        <f t="shared" ref="D210:D228" si="10">B210*C210</f>
        <v>243.58974358974359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25</v>
      </c>
      <c r="B211" s="193">
        <f>'Données projet'!D194</f>
        <v>0</v>
      </c>
      <c r="C211" s="206"/>
      <c r="D211" s="191">
        <f t="shared" si="10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30</v>
      </c>
      <c r="B212" s="193">
        <f>'Données projet'!D195</f>
        <v>32.692307692307693</v>
      </c>
      <c r="C212" s="206">
        <v>10</v>
      </c>
      <c r="D212" s="191">
        <f t="shared" si="10"/>
        <v>326.92307692307691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35</v>
      </c>
      <c r="B213" s="193">
        <f>'Données projet'!D196</f>
        <v>0</v>
      </c>
      <c r="C213" s="206"/>
      <c r="D213" s="191">
        <f t="shared" si="10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40</v>
      </c>
      <c r="B214" s="193">
        <f>'Données projet'!D197</f>
        <v>34.615384615384613</v>
      </c>
      <c r="C214" s="206">
        <v>10</v>
      </c>
      <c r="D214" s="191">
        <f t="shared" si="10"/>
        <v>346.15384615384613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45</v>
      </c>
      <c r="B215" s="193">
        <f>'Données projet'!D198</f>
        <v>0</v>
      </c>
      <c r="C215" s="206"/>
      <c r="D215" s="191">
        <f t="shared" si="10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50</v>
      </c>
      <c r="B216" s="193">
        <f>'Données projet'!D199</f>
        <v>32.692307692307693</v>
      </c>
      <c r="C216" s="206">
        <v>15</v>
      </c>
      <c r="D216" s="191">
        <f t="shared" si="10"/>
        <v>490.38461538461542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55</v>
      </c>
      <c r="B217" s="193">
        <f>'Données projet'!D200</f>
        <v>0</v>
      </c>
      <c r="C217" s="206"/>
      <c r="D217" s="191">
        <f t="shared" si="10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60</v>
      </c>
      <c r="B218" s="193">
        <f>'Données projet'!D201</f>
        <v>30.128205128205128</v>
      </c>
      <c r="C218" s="206">
        <v>20</v>
      </c>
      <c r="D218" s="191">
        <f t="shared" si="10"/>
        <v>602.56410256410254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65</v>
      </c>
      <c r="B219" s="193">
        <f>'Données projet'!D202</f>
        <v>0</v>
      </c>
      <c r="C219" s="206"/>
      <c r="D219" s="191">
        <f t="shared" si="10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70</v>
      </c>
      <c r="B220" s="193">
        <f>'Données projet'!D203</f>
        <v>27.564102564102562</v>
      </c>
      <c r="C220" s="206">
        <v>30</v>
      </c>
      <c r="D220" s="191">
        <f t="shared" si="10"/>
        <v>826.92307692307691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75</v>
      </c>
      <c r="B221" s="193">
        <f>'Données projet'!D204</f>
        <v>0</v>
      </c>
      <c r="C221" s="206"/>
      <c r="D221" s="191">
        <f t="shared" si="10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80</v>
      </c>
      <c r="B222" s="193">
        <f>'Données projet'!D205</f>
        <v>26.282051282051281</v>
      </c>
      <c r="C222" s="206">
        <v>30</v>
      </c>
      <c r="D222" s="191">
        <f t="shared" si="10"/>
        <v>788.46153846153845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85</v>
      </c>
      <c r="B223" s="193">
        <f>'Données projet'!D206</f>
        <v>0</v>
      </c>
      <c r="C223" s="206"/>
      <c r="D223" s="191">
        <f t="shared" si="10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90</v>
      </c>
      <c r="B224" s="193">
        <f>'Données projet'!D207</f>
        <v>24.358974358974358</v>
      </c>
      <c r="C224" s="206">
        <v>40</v>
      </c>
      <c r="D224" s="191">
        <f t="shared" si="10"/>
        <v>974.35897435897436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95</v>
      </c>
      <c r="B225" s="193">
        <f>'Données projet'!D208</f>
        <v>0</v>
      </c>
      <c r="C225" s="206"/>
      <c r="D225" s="191">
        <f t="shared" si="10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100</v>
      </c>
      <c r="B226" s="193">
        <f>'Données projet'!D209</f>
        <v>22.435897435897434</v>
      </c>
      <c r="C226" s="206">
        <v>40</v>
      </c>
      <c r="D226" s="191">
        <f t="shared" si="10"/>
        <v>897.43589743589735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105</v>
      </c>
      <c r="B227" s="193">
        <f>'Données projet'!D210</f>
        <v>0</v>
      </c>
      <c r="C227" s="206"/>
      <c r="D227" s="191">
        <f t="shared" si="10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110</v>
      </c>
      <c r="B228" s="193">
        <f>'Données projet'!D211</f>
        <v>317.94871794871796</v>
      </c>
      <c r="C228" s="206">
        <v>60</v>
      </c>
      <c r="D228" s="191">
        <f t="shared" si="10"/>
        <v>19076.923076923078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Alisier torminal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20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25</v>
      </c>
      <c r="B241" s="193">
        <f>'Données projet'!D219</f>
        <v>0</v>
      </c>
      <c r="C241" s="206"/>
      <c r="D241" s="191">
        <f t="shared" ref="D241:D259" si="11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30</v>
      </c>
      <c r="B242" s="193">
        <f>'Données projet'!D220</f>
        <v>29</v>
      </c>
      <c r="C242" s="206">
        <v>10</v>
      </c>
      <c r="D242" s="191">
        <f t="shared" si="11"/>
        <v>290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35</v>
      </c>
      <c r="B243" s="193">
        <f>'Données projet'!D221</f>
        <v>0</v>
      </c>
      <c r="C243" s="206"/>
      <c r="D243" s="191">
        <f t="shared" si="11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40</v>
      </c>
      <c r="B244" s="193">
        <f>'Données projet'!D222</f>
        <v>42</v>
      </c>
      <c r="C244" s="206">
        <v>10</v>
      </c>
      <c r="D244" s="191">
        <f t="shared" si="11"/>
        <v>420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45</v>
      </c>
      <c r="B245" s="193">
        <f>'Données projet'!D223</f>
        <v>0</v>
      </c>
      <c r="C245" s="206"/>
      <c r="D245" s="191">
        <f t="shared" si="11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50</v>
      </c>
      <c r="B246" s="193">
        <f>'Données projet'!D224</f>
        <v>42</v>
      </c>
      <c r="C246" s="206">
        <v>10</v>
      </c>
      <c r="D246" s="191">
        <f t="shared" si="11"/>
        <v>420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55</v>
      </c>
      <c r="B247" s="193">
        <f>'Données projet'!D225</f>
        <v>0</v>
      </c>
      <c r="C247" s="206"/>
      <c r="D247" s="191">
        <f t="shared" si="11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60</v>
      </c>
      <c r="B248" s="193">
        <f>'Données projet'!D226</f>
        <v>42</v>
      </c>
      <c r="C248" s="206">
        <v>20</v>
      </c>
      <c r="D248" s="191">
        <f t="shared" si="11"/>
        <v>840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65</v>
      </c>
      <c r="B249" s="193">
        <f>'Données projet'!D227</f>
        <v>0</v>
      </c>
      <c r="C249" s="206"/>
      <c r="D249" s="191">
        <f t="shared" si="11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70</v>
      </c>
      <c r="B250" s="193">
        <f>'Données projet'!D228</f>
        <v>42</v>
      </c>
      <c r="C250" s="206">
        <v>30</v>
      </c>
      <c r="D250" s="191">
        <f t="shared" si="11"/>
        <v>1260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75</v>
      </c>
      <c r="B251" s="193">
        <f>'Données projet'!D229</f>
        <v>0</v>
      </c>
      <c r="C251" s="206"/>
      <c r="D251" s="191">
        <f t="shared" si="11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80</v>
      </c>
      <c r="B252" s="193">
        <f>'Données projet'!D230</f>
        <v>42</v>
      </c>
      <c r="C252" s="206">
        <v>40</v>
      </c>
      <c r="D252" s="191">
        <f t="shared" si="11"/>
        <v>1680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90</v>
      </c>
      <c r="B253" s="193">
        <f>'Données projet'!D231</f>
        <v>42</v>
      </c>
      <c r="C253" s="206">
        <v>50</v>
      </c>
      <c r="D253" s="191">
        <f t="shared" si="11"/>
        <v>2100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100</v>
      </c>
      <c r="B254" s="193">
        <f>'Données projet'!D232</f>
        <v>42</v>
      </c>
      <c r="C254" s="206">
        <v>60</v>
      </c>
      <c r="D254" s="191">
        <f t="shared" si="11"/>
        <v>2520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110</v>
      </c>
      <c r="B255" s="193">
        <f>'Données projet'!D233</f>
        <v>39</v>
      </c>
      <c r="C255" s="206">
        <v>70</v>
      </c>
      <c r="D255" s="191">
        <f t="shared" si="11"/>
        <v>2730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120</v>
      </c>
      <c r="B256" s="193">
        <f>'Données projet'!D234</f>
        <v>35</v>
      </c>
      <c r="C256" s="206">
        <v>80</v>
      </c>
      <c r="D256" s="191">
        <f t="shared" si="11"/>
        <v>2800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130</v>
      </c>
      <c r="B257" s="193">
        <f>'Données projet'!D235</f>
        <v>31</v>
      </c>
      <c r="C257" s="206">
        <v>100</v>
      </c>
      <c r="D257" s="191">
        <f t="shared" si="11"/>
        <v>3100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140</v>
      </c>
      <c r="B258" s="193">
        <f>'Données projet'!D236</f>
        <v>27</v>
      </c>
      <c r="C258" s="206">
        <v>120</v>
      </c>
      <c r="D258" s="191">
        <f t="shared" si="11"/>
        <v>3240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150</v>
      </c>
      <c r="B259" s="193">
        <f>'Données projet'!D237</f>
        <v>293</v>
      </c>
      <c r="C259" s="206">
        <v>200</v>
      </c>
      <c r="D259" s="191">
        <f t="shared" si="11"/>
        <v>58600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2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2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2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2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2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2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2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2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2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2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2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2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2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2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2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2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2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2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2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3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3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3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3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3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3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3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3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3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3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3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3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3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3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3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3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3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3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3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 (CNPF - C+FOR)</cp:lastModifiedBy>
  <dcterms:created xsi:type="dcterms:W3CDTF">2021-02-01T08:22:39Z</dcterms:created>
  <dcterms:modified xsi:type="dcterms:W3CDTF">2024-01-17T16:26:09Z</dcterms:modified>
</cp:coreProperties>
</file>