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Quercy\SAINT JEAN MIRABEL (46) - M. Michel GRAVES - CA NMP\dossier déposé le 21 02 2024\"/>
    </mc:Choice>
  </mc:AlternateContent>
  <xr:revisionPtr revIDLastSave="0" documentId="13_ncr:1_{B243B8F5-D174-4898-A8EB-46CD76AFEC5B}" xr6:coauthVersionLast="36" xr6:coauthVersionMax="36" xr10:uidLastSave="{00000000-0000-0000-0000-000000000000}"/>
  <bookViews>
    <workbookView xWindow="0" yWindow="0" windowWidth="28800" windowHeight="12615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43" i="2" l="1" a="1"/>
  <c r="BC143" i="2" s="1"/>
  <c r="BC7" i="2" a="1"/>
  <c r="BC7" i="2" s="1"/>
  <c r="BC185" i="2" a="1"/>
  <c r="BC185" i="2" s="1"/>
  <c r="BC32" i="2" a="1"/>
  <c r="BC32" i="2" s="1"/>
  <c r="BC117" i="2" a="1"/>
  <c r="BC117" i="2" s="1"/>
  <c r="BC181" i="2" a="1"/>
  <c r="BC181" i="2" s="1"/>
  <c r="AH19" i="2" a="1"/>
  <c r="AH19" i="2" s="1"/>
  <c r="AH166" i="2" a="1"/>
  <c r="AH166" i="2" s="1"/>
  <c r="AH90" i="2" a="1"/>
  <c r="AH90" i="2" s="1"/>
  <c r="BC164" i="2" a="1"/>
  <c r="BC164" i="2" s="1"/>
  <c r="BC65" i="2" a="1"/>
  <c r="BC65" i="2" s="1"/>
  <c r="BC114" i="2" a="1"/>
  <c r="BC114" i="2" s="1"/>
  <c r="BC55" i="2" a="1"/>
  <c r="BC55" i="2" s="1"/>
  <c r="BC192" i="2" a="1"/>
  <c r="BC192" i="2" s="1"/>
  <c r="BC31" i="2" a="1"/>
  <c r="BC31" i="2" s="1"/>
  <c r="BC130" i="2" a="1"/>
  <c r="BC130" i="2" s="1"/>
  <c r="BC126" i="2" a="1"/>
  <c r="BC126" i="2" s="1"/>
  <c r="BC18" i="2" a="1"/>
  <c r="BC18" i="2" s="1"/>
  <c r="BC47" i="2" a="1"/>
  <c r="BC47" i="2" s="1"/>
  <c r="BC38" i="2" a="1"/>
  <c r="BC38" i="2" s="1"/>
  <c r="BC83" i="2" a="1"/>
  <c r="BC83" i="2" s="1"/>
  <c r="BC151" i="2" a="1"/>
  <c r="BC151" i="2" s="1"/>
  <c r="BC68" i="2" a="1"/>
  <c r="BC68" i="2" s="1"/>
  <c r="BC58" i="2" a="1"/>
  <c r="BC58" i="2" s="1"/>
  <c r="BC82" i="2" a="1"/>
  <c r="BC82" i="2" s="1"/>
  <c r="BC34" i="2" a="1"/>
  <c r="BC34" i="2" s="1"/>
  <c r="BC84" i="2" a="1"/>
  <c r="BC84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<sst xmlns="http://schemas.openxmlformats.org/spreadsheetml/2006/main" count="1169" uniqueCount="324">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</sst>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1.9951072854316962</c:v>
                </c:pt>
                <c:pt idx="2">
                  <c:v>2.5667422007919742</c:v>
                </c:pt>
                <c:pt idx="3">
                  <c:v>3.3028222138236161</c:v>
                </c:pt>
                <c:pt idx="4">
                  <c:v>4.2508335717683972</c:v>
                </c:pt>
                <c:pt idx="5">
                  <c:v>5.4720234962282985</c:v>
                </c:pt>
                <c:pt idx="6">
                  <c:v>7.0454010302000478</c:v>
                </c:pt>
                <c:pt idx="7">
                  <c:v>9.0729045949774356</c:v>
                </c:pt>
                <c:pt idx="8">
                  <c:v>11.686077426646891</c:v>
                </c:pt>
                <c:pt idx="9">
                  <c:v>15.054692077283761</c:v>
                </c:pt>
                <c:pt idx="10">
                  <c:v>19.397894567888933</c:v>
                </c:pt>
                <c:pt idx="11">
                  <c:v>24.998606220625785</c:v>
                </c:pt>
                <c:pt idx="12">
                  <c:v>32.222137881090447</c:v>
                </c:pt>
                <c:pt idx="13">
                  <c:v>41.54025167725414</c:v>
                </c:pt>
                <c:pt idx="14">
                  <c:v>53.56226844352517</c:v>
                </c:pt>
                <c:pt idx="15">
                  <c:v>69.075288808613962</c:v>
                </c:pt>
                <c:pt idx="16">
                  <c:v>89.096204237561849</c:v>
                </c:pt>
                <c:pt idx="17">
                  <c:v>114.93896188205872</c:v>
                </c:pt>
                <c:pt idx="18">
                  <c:v>148.30156685454077</c:v>
                </c:pt>
                <c:pt idx="19">
                  <c:v>130.91926315364825</c:v>
                </c:pt>
                <c:pt idx="20">
                  <c:v>148.73547386114751</c:v>
                </c:pt>
                <c:pt idx="21">
                  <c:v>166.50072957530213</c:v>
                </c:pt>
                <c:pt idx="22">
                  <c:v>184.22123662819629</c:v>
                </c:pt>
                <c:pt idx="23">
                  <c:v>201.90190730491364</c:v>
                </c:pt>
                <c:pt idx="24">
                  <c:v>219.54672196983498</c:v>
                </c:pt>
                <c:pt idx="25">
                  <c:v>187.0268148001596</c:v>
                </c:pt>
                <c:pt idx="26">
                  <c:v>203.62487343629971</c:v>
                </c:pt>
                <c:pt idx="27">
                  <c:v>220.19162819449528</c:v>
                </c:pt>
                <c:pt idx="28">
                  <c:v>236.72976621924911</c:v>
                </c:pt>
                <c:pt idx="29">
                  <c:v>253.24156826986064</c:v>
                </c:pt>
                <c:pt idx="30">
                  <c:v>269.72899324208112</c:v>
                </c:pt>
                <c:pt idx="31">
                  <c:v>223.02870207461862</c:v>
                </c:pt>
                <c:pt idx="32">
                  <c:v>236.81560804160608</c:v>
                </c:pt>
                <c:pt idx="33">
                  <c:v>250.58421937612471</c:v>
                </c:pt>
                <c:pt idx="34">
                  <c:v>264.33568316091396</c:v>
                </c:pt>
                <c:pt idx="35">
                  <c:v>278.0710173254069</c:v>
                </c:pt>
                <c:pt idx="36">
                  <c:v>291.79113098496725</c:v>
                </c:pt>
                <c:pt idx="37">
                  <c:v>305.49684075132535</c:v>
                </c:pt>
                <c:pt idx="38">
                  <c:v>319.18888396087686</c:v>
                </c:pt>
                <c:pt idx="39">
                  <c:v>332.86792951319143</c:v>
                </c:pt>
                <c:pt idx="40">
                  <c:v>346.53458683392802</c:v>
                </c:pt>
                <c:pt idx="41">
                  <c:v>292.68819813988773</c:v>
                </c:pt>
                <c:pt idx="42">
                  <c:v>302.80803515574286</c:v>
                </c:pt>
                <c:pt idx="43">
                  <c:v>312.92034803081702</c:v>
                </c:pt>
                <c:pt idx="44">
                  <c:v>323.02541433745813</c:v>
                </c:pt>
                <c:pt idx="45">
                  <c:v>333.12349285380191</c:v>
                </c:pt>
                <c:pt idx="46">
                  <c:v>343.21482537977403</c:v>
                </c:pt>
                <c:pt idx="47">
                  <c:v>353.29963832825234</c:v>
                </c:pt>
                <c:pt idx="48">
                  <c:v>363.37814412498386</c:v>
                </c:pt>
                <c:pt idx="49">
                  <c:v>373.45054244501836</c:v>
                </c:pt>
                <c:pt idx="50">
                  <c:v>383.51702130873815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1.7983590495427</c:v>
                </c:pt>
                <c:pt idx="2">
                  <c:v>2.2250723216926933</c:v>
                </c:pt>
                <c:pt idx="3">
                  <c:v>2.7534322831541989</c:v>
                </c:pt>
                <c:pt idx="4">
                  <c:v>3.4077413288763059</c:v>
                </c:pt>
                <c:pt idx="5">
                  <c:v>4.2181322727099486</c:v>
                </c:pt>
                <c:pt idx="6">
                  <c:v>5.2219716087393548</c:v>
                </c:pt>
                <c:pt idx="7">
                  <c:v>6.4656015061107972</c:v>
                </c:pt>
                <c:pt idx="8">
                  <c:v>8.0065025257837785</c:v>
                </c:pt>
                <c:pt idx="9">
                  <c:v>9.9159789414746928</c:v>
                </c:pt>
                <c:pt idx="10">
                  <c:v>12.282493278818798</c:v>
                </c:pt>
                <c:pt idx="11">
                  <c:v>15.215807435341619</c:v>
                </c:pt>
                <c:pt idx="12">
                  <c:v>18.852125975900751</c:v>
                </c:pt>
                <c:pt idx="13">
                  <c:v>23.360484738699075</c:v>
                </c:pt>
                <c:pt idx="14">
                  <c:v>28.950687006421436</c:v>
                </c:pt>
                <c:pt idx="15">
                  <c:v>35.883163020991212</c:v>
                </c:pt>
                <c:pt idx="16">
                  <c:v>44.481220064987831</c:v>
                </c:pt>
                <c:pt idx="17">
                  <c:v>55.146264073708259</c:v>
                </c:pt>
                <c:pt idx="18">
                  <c:v>68.376715225181087</c:v>
                </c:pt>
                <c:pt idx="19">
                  <c:v>84.791515959444709</c:v>
                </c:pt>
                <c:pt idx="20">
                  <c:v>105.15934884007568</c:v>
                </c:pt>
                <c:pt idx="21">
                  <c:v>130.43495409245023</c:v>
                </c:pt>
                <c:pt idx="22">
                  <c:v>161.80427560803119</c:v>
                </c:pt>
                <c:pt idx="23">
                  <c:v>200.74058596732007</c:v>
                </c:pt>
                <c:pt idx="24">
                  <c:v>234.50882798734798</c:v>
                </c:pt>
                <c:pt idx="25">
                  <c:v>268.16596723194158</c:v>
                </c:pt>
                <c:pt idx="26">
                  <c:v>281.12183635781474</c:v>
                </c:pt>
                <c:pt idx="27">
                  <c:v>310.82280084580395</c:v>
                </c:pt>
                <c:pt idx="28">
                  <c:v>340.46077551603156</c:v>
                </c:pt>
                <c:pt idx="29">
                  <c:v>370.04200959807071</c:v>
                </c:pt>
                <c:pt idx="30">
                  <c:v>399.57167178295862</c:v>
                </c:pt>
                <c:pt idx="31">
                  <c:v>379.09668743989408</c:v>
                </c:pt>
                <c:pt idx="32">
                  <c:v>408.6114475460293</c:v>
                </c:pt>
                <c:pt idx="33">
                  <c:v>438.08017326114509</c:v>
                </c:pt>
                <c:pt idx="34">
                  <c:v>467.50639268287961</c:v>
                </c:pt>
                <c:pt idx="35">
                  <c:v>496.89315392930274</c:v>
                </c:pt>
                <c:pt idx="36">
                  <c:v>467.26924609904512</c:v>
                </c:pt>
                <c:pt idx="37">
                  <c:v>495.70893259379926</c:v>
                </c:pt>
                <c:pt idx="38">
                  <c:v>524.11406271004307</c:v>
                </c:pt>
                <c:pt idx="39">
                  <c:v>552.48677012222458</c:v>
                </c:pt>
                <c:pt idx="40">
                  <c:v>580.82895174144687</c:v>
                </c:pt>
                <c:pt idx="41">
                  <c:v>536.64922208458972</c:v>
                </c:pt>
                <c:pt idx="42">
                  <c:v>560.992549027368</c:v>
                </c:pt>
                <c:pt idx="43">
                  <c:v>585.31377902676002</c:v>
                </c:pt>
                <c:pt idx="44">
                  <c:v>609.61395836729616</c:v>
                </c:pt>
                <c:pt idx="45">
                  <c:v>633.89404321407972</c:v>
                </c:pt>
                <c:pt idx="46">
                  <c:v>584.36966457807512</c:v>
                </c:pt>
                <c:pt idx="47">
                  <c:v>602.06658285816218</c:v>
                </c:pt>
                <c:pt idx="48">
                  <c:v>619.75269577860945</c:v>
                </c:pt>
                <c:pt idx="49">
                  <c:v>637.42835487942023</c:v>
                </c:pt>
                <c:pt idx="50">
                  <c:v>655.09389063044614</c:v>
                </c:pt>
                <c:pt idx="51">
                  <c:v>620.45992059020114</c:v>
                </c:pt>
                <c:pt idx="52">
                  <c:v>635.30781662925813</c:v>
                </c:pt>
                <c:pt idx="53">
                  <c:v>650.14854272914761</c:v>
                </c:pt>
                <c:pt idx="54">
                  <c:v>664.98228551186753</c:v>
                </c:pt>
                <c:pt idx="55">
                  <c:v>679.80922259999909</c:v>
                </c:pt>
                <c:pt idx="56">
                  <c:v>645.43796637298954</c:v>
                </c:pt>
                <c:pt idx="57">
                  <c:v>654.62293835901619</c:v>
                </c:pt>
                <c:pt idx="58">
                  <c:v>663.80525525225971</c:v>
                </c:pt>
                <c:pt idx="59">
                  <c:v>672.98495895127326</c:v>
                </c:pt>
                <c:pt idx="60">
                  <c:v>682.16209011862327</c:v>
                </c:pt>
                <c:pt idx="61">
                  <c:v>1.8635787380168604E-12</c:v>
                </c:pt>
                <c:pt idx="62">
                  <c:v>1.8635787380168604E-12</c:v>
                </c:pt>
                <c:pt idx="63">
                  <c:v>1.8635787380168604E-12</c:v>
                </c:pt>
                <c:pt idx="64">
                  <c:v>1.8635787380168604E-12</c:v>
                </c:pt>
                <c:pt idx="65">
                  <c:v>1.8635787380168604E-12</c:v>
                </c:pt>
                <c:pt idx="66">
                  <c:v>1.8635787380168604E-12</c:v>
                </c:pt>
                <c:pt idx="67">
                  <c:v>1.8635787380168604E-12</c:v>
                </c:pt>
                <c:pt idx="68">
                  <c:v>1.8635787380168604E-12</c:v>
                </c:pt>
                <c:pt idx="69">
                  <c:v>1.8635787380168604E-12</c:v>
                </c:pt>
                <c:pt idx="70">
                  <c:v>1.8635787380168604E-12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7" zoomScale="90" zoomScaleNormal="90" workbookViewId="0">
      <selection activeCell="D89" sqref="D8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0.6</v>
      </c>
      <c r="D9" s="36">
        <f t="shared" ref="D9:D18" si="0">C9*$C$5</f>
        <v>2.6999999999999997</v>
      </c>
      <c r="E9" s="37">
        <v>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0.31</v>
      </c>
      <c r="D10" s="36">
        <f t="shared" si="0"/>
        <v>1.395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0.09</v>
      </c>
      <c r="D11" s="36">
        <f t="shared" si="0"/>
        <v>0.40499999999999997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0.99999999999999989</v>
      </c>
      <c r="D19" s="41">
        <f>SUM(D9:D18)</f>
        <v>4.5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111</v>
      </c>
      <c r="C36" s="63">
        <v>1</v>
      </c>
      <c r="D36" s="63">
        <v>27</v>
      </c>
      <c r="E36" s="54"/>
      <c r="F36" s="54"/>
      <c r="G36" s="54">
        <v>1</v>
      </c>
      <c r="H36" s="54"/>
      <c r="I36" s="52">
        <f>IFERROR(B36/A36,"")</f>
        <v>6.166666666666667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24</v>
      </c>
      <c r="B37" s="63">
        <v>166</v>
      </c>
      <c r="C37" s="63">
        <v>2</v>
      </c>
      <c r="D37" s="63">
        <v>38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13.666666666666666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205</v>
      </c>
      <c r="C38" s="63">
        <v>3</v>
      </c>
      <c r="D38" s="63">
        <v>47</v>
      </c>
      <c r="E38" s="54">
        <v>0.4</v>
      </c>
      <c r="F38" s="54">
        <v>0.2</v>
      </c>
      <c r="G38" s="54">
        <v>0.4</v>
      </c>
      <c r="H38" s="54"/>
      <c r="I38" s="56">
        <f t="shared" si="1"/>
        <v>12.833333333333334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265</v>
      </c>
      <c r="C39" s="63">
        <v>4</v>
      </c>
      <c r="D39" s="63">
        <v>50</v>
      </c>
      <c r="E39" s="54">
        <v>0.4</v>
      </c>
      <c r="F39" s="54">
        <v>0.2</v>
      </c>
      <c r="G39" s="54">
        <v>0.4</v>
      </c>
      <c r="H39" s="54"/>
      <c r="I39" s="52">
        <f t="shared" si="1"/>
        <v>10.7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v>294</v>
      </c>
      <c r="C40" s="63">
        <v>5</v>
      </c>
      <c r="D40" s="63">
        <v>294</v>
      </c>
      <c r="E40" s="54">
        <v>0.7</v>
      </c>
      <c r="F40" s="54"/>
      <c r="G40" s="54">
        <v>0.3</v>
      </c>
      <c r="H40" s="54"/>
      <c r="I40" s="52">
        <f t="shared" si="1"/>
        <v>7.9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115</v>
      </c>
      <c r="C62" s="63">
        <v>1</v>
      </c>
      <c r="D62" s="63">
        <v>0</v>
      </c>
      <c r="E62" s="54">
        <v>0.2</v>
      </c>
      <c r="F62" s="54"/>
      <c r="G62" s="54">
        <v>0.8</v>
      </c>
      <c r="H62" s="54"/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180</v>
      </c>
      <c r="C63" s="63">
        <v>2</v>
      </c>
      <c r="D63" s="63">
        <v>0</v>
      </c>
      <c r="E63" s="54">
        <v>0.3</v>
      </c>
      <c r="F63" s="54"/>
      <c r="G63" s="54">
        <v>0.7</v>
      </c>
      <c r="H63" s="54"/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250</v>
      </c>
      <c r="C64" s="63">
        <v>3</v>
      </c>
      <c r="D64" s="63">
        <v>63</v>
      </c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257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337</v>
      </c>
      <c r="C66" s="63">
        <v>5</v>
      </c>
      <c r="D66" s="63">
        <v>67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345</v>
      </c>
      <c r="C67" s="63">
        <v>6</v>
      </c>
      <c r="D67" s="63">
        <v>69</v>
      </c>
      <c r="E67" s="54"/>
      <c r="F67" s="54"/>
      <c r="G67" s="54"/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353</v>
      </c>
      <c r="C68" s="63">
        <v>7</v>
      </c>
      <c r="D68" s="63">
        <v>71</v>
      </c>
      <c r="E68" s="54"/>
      <c r="F68" s="54"/>
      <c r="G68" s="54"/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365</v>
      </c>
      <c r="C69" s="53">
        <v>8</v>
      </c>
      <c r="D69" s="53">
        <v>73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375</v>
      </c>
      <c r="C70" s="53">
        <v>9</v>
      </c>
      <c r="D70" s="53">
        <v>375</v>
      </c>
      <c r="E70" s="54"/>
      <c r="F70" s="54"/>
      <c r="G70" s="54"/>
      <c r="H70" s="54"/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23</v>
      </c>
      <c r="B88" s="63">
        <v>162</v>
      </c>
      <c r="C88" s="63">
        <v>1</v>
      </c>
      <c r="D88" s="63">
        <v>0</v>
      </c>
      <c r="E88" s="54">
        <v>0.1</v>
      </c>
      <c r="F88" s="54"/>
      <c r="G88" s="54">
        <v>0.9</v>
      </c>
      <c r="H88" s="93"/>
      <c r="I88" s="56">
        <f>IFERROR(B88/A88,"")</f>
        <v>7.0434782608695654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218</v>
      </c>
      <c r="C89" s="63">
        <v>2</v>
      </c>
      <c r="D89" s="63">
        <v>14</v>
      </c>
      <c r="E89" s="54">
        <v>0.25</v>
      </c>
      <c r="F89" s="54"/>
      <c r="G89" s="54">
        <v>0.75</v>
      </c>
      <c r="H89" s="93"/>
      <c r="I89" s="56">
        <f t="shared" ref="I89:I107" si="3">IF(A89&lt;&gt;0,(B89-(B88-D88))/(A89-A88),"")</f>
        <v>28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328</v>
      </c>
      <c r="C90" s="63">
        <v>3</v>
      </c>
      <c r="D90" s="63">
        <v>42</v>
      </c>
      <c r="E90" s="93">
        <v>0.35</v>
      </c>
      <c r="F90" s="93"/>
      <c r="G90" s="93">
        <v>0.65</v>
      </c>
      <c r="H90" s="93"/>
      <c r="I90" s="56">
        <f t="shared" si="3"/>
        <v>24.8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410</v>
      </c>
      <c r="C91" s="63">
        <v>4</v>
      </c>
      <c r="D91" s="63">
        <v>49</v>
      </c>
      <c r="E91" s="93"/>
      <c r="F91" s="93"/>
      <c r="G91" s="93"/>
      <c r="H91" s="93"/>
      <c r="I91" s="56">
        <f t="shared" si="3"/>
        <v>24.8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481</v>
      </c>
      <c r="C92" s="63">
        <v>5</v>
      </c>
      <c r="D92" s="63">
        <v>58</v>
      </c>
      <c r="E92" s="93"/>
      <c r="F92" s="93"/>
      <c r="G92" s="93"/>
      <c r="H92" s="93"/>
      <c r="I92" s="56">
        <f t="shared" si="3"/>
        <v>24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526</v>
      </c>
      <c r="C93" s="63">
        <v>6</v>
      </c>
      <c r="D93" s="63">
        <v>57</v>
      </c>
      <c r="E93" s="93"/>
      <c r="F93" s="93"/>
      <c r="G93" s="93"/>
      <c r="H93" s="93"/>
      <c r="I93" s="56">
        <f t="shared" si="3"/>
        <v>20.6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544</v>
      </c>
      <c r="C94" s="63">
        <v>7</v>
      </c>
      <c r="D94" s="63">
        <v>42</v>
      </c>
      <c r="E94" s="93"/>
      <c r="F94" s="93"/>
      <c r="G94" s="93"/>
      <c r="H94" s="93"/>
      <c r="I94" s="56">
        <f t="shared" si="3"/>
        <v>15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565</v>
      </c>
      <c r="C95" s="63">
        <v>8</v>
      </c>
      <c r="D95" s="63">
        <v>37</v>
      </c>
      <c r="E95" s="93"/>
      <c r="F95" s="93"/>
      <c r="G95" s="93"/>
      <c r="H95" s="93"/>
      <c r="I95" s="56">
        <f t="shared" si="3"/>
        <v>12.6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567</v>
      </c>
      <c r="C96" s="63">
        <v>9</v>
      </c>
      <c r="D96" s="63">
        <v>567</v>
      </c>
      <c r="E96" s="93"/>
      <c r="F96" s="93"/>
      <c r="G96" s="93"/>
      <c r="H96" s="93"/>
      <c r="I96" s="56">
        <f t="shared" si="3"/>
        <v>7.8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D23" sqref="D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Douglas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207.99520960626666</v>
      </c>
      <c r="T3" s="62">
        <f>IF('Données projet'!E9&gt;30,$R$33-$H$33,LOOKUP('Données projet'!$E$9,$A$3:$A$203,R3:R203)-LOOKUP('Données projet'!$E$9,$A$3:$A$203,$H$3:$H$203))</f>
        <v>306.39565990874775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259.74478933784656</v>
      </c>
      <c r="AO3" s="62">
        <f>IF('Données projet'!E10&gt;30,$AM$33-$H$33,LOOKUP('Données projet'!$E$10,$A$3:$A$203,AM3:AM203)-LOOKUP('Données projet'!$E$10,$A$3:$A$203,$H$3:$H$203))</f>
        <v>223.74038909289646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365.70510182727895</v>
      </c>
      <c r="BJ3" s="62">
        <f>IF('Données projet'!E11&gt;30,$BH$33-$H$33,LOOKUP('Données projet'!$E$11,$A$3:$A$203,BH3:BH203)-LOOKUP('Données projet'!$E$11,$A$3:$A$203,$H$3:$H$203))</f>
        <v>436.23833844962525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6.166666666666667</v>
      </c>
      <c r="N4" s="14">
        <f>IF('Données projet'!$A$36&gt;35,N3+M4-V3,IF(A4&lt;'Données projet'!$A$36,$K$205^A4,IF(A4='Données projet'!$A$36,'Données projet'!$B$36,N3+M4-V3)))</f>
        <v>1.2990595333015609</v>
      </c>
      <c r="O4" s="14">
        <f>N4*VLOOKUP('Données projet'!$B$9,Paramètres!$A$1:$I$89,3,0)*VLOOKUP('Données projet'!$B$9,Paramètres!$A$1:$I$89,5,0)</f>
        <v>0.7768376009143334</v>
      </c>
      <c r="P4" s="14">
        <f>EXP(-1.0587+0.8836*LN(O4)+0.284)</f>
        <v>0.36867854383113818</v>
      </c>
      <c r="Q4" s="22">
        <f t="shared" ref="Q4:Q34" si="2">(O4+P4)*0.475*44/12</f>
        <v>1.9951072854316962</v>
      </c>
      <c r="R4" s="62">
        <f t="shared" si="0"/>
        <v>259.88399617432054</v>
      </c>
      <c r="S4" s="62">
        <f ca="1">AVERAGE(OFFSET($R$3,0,0,'Données projet'!$E$9+1,1))-AVERAGE(OFFSET($H$3,0,0,'Données projet'!$E$9+1,1))</f>
        <v>207.99520960626666</v>
      </c>
      <c r="T4" s="62">
        <f>$T$3</f>
        <v>306.39565990874775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259.42827858270829</v>
      </c>
      <c r="AN4" s="62">
        <f ca="1">AVERAGE(OFFSET($AM$3,0,0,'Données projet'!$E$10+1,1))-AVERAGE(OFFSET($H$3,0,0,'Données projet'!$E$10+1,1))</f>
        <v>259.74478933784656</v>
      </c>
      <c r="AO4" s="62">
        <f>$AO$3</f>
        <v>223.74038909289646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7.0434782608695654</v>
      </c>
      <c r="BD4" s="13">
        <f>IF('Données projet'!$A$88&gt;35,BD3+BC4-BL3,IF(A4&lt;'Données projet'!$A$88,$BA$205^A4,IF(A4='Données projet'!$A$88,'Données projet'!$B$88,BD3+BC4-BL3)))</f>
        <v>1.2475727214128975</v>
      </c>
      <c r="BE4" s="14">
        <f>BD4*VLOOKUP('Données projet'!$B$11,Paramètres!$A$1:$I$89,3,0)*VLOOKUP('Données projet'!$B$11,Paramètres!$A$1:$I$89,5,0)</f>
        <v>0.69739315126980972</v>
      </c>
      <c r="BF4" s="14">
        <f>EXP(-1.0587+0.8836*LN(BE4)+0.284)</f>
        <v>0.33515749918532894</v>
      </c>
      <c r="BG4" s="22">
        <f t="shared" ref="BG4:BG67" si="7">(BE4+BF4)*0.475*44/12</f>
        <v>1.7983590495427</v>
      </c>
      <c r="BH4" s="62">
        <f t="shared" ref="BH4:BH67" si="8">BG4+(AY4+AZ4)*44/12</f>
        <v>259.68724793843154</v>
      </c>
      <c r="BI4" s="62">
        <f ca="1">AVERAGE(OFFSET($BH$3,0,0,'Données projet'!$E$11+1,1))-AVERAGE(OFFSET($H$3,0,0,'Données projet'!$E$11+1,1))</f>
        <v>365.70510182727895</v>
      </c>
      <c r="BJ4" s="62">
        <f>$BJ$3</f>
        <v>436.23833844962525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6.166666666666667</v>
      </c>
      <c r="N5" s="14">
        <f>IF('Données projet'!$A$36&gt;35,N4+M5-V4,IF(A5&lt;'Données projet'!$A$36,$K$205^A5,IF(A5='Données projet'!$A$36,'Données projet'!$B$36,N4+M5-V4)))</f>
        <v>1.6875556710616693</v>
      </c>
      <c r="O5" s="14">
        <f>N5*VLOOKUP('Données projet'!$B$9,Paramètres!$A$1:$I$89,3,0)*VLOOKUP('Données projet'!$B$9,Paramètres!$A$1:$I$89,5,0)</f>
        <v>1.0091582912948782</v>
      </c>
      <c r="P5" s="14">
        <f t="shared" ref="P5:P68" si="33">EXP(-1.0587+0.8836*LN(O5)+0.284)</f>
        <v>0.46456928810721226</v>
      </c>
      <c r="Q5" s="22">
        <f t="shared" si="2"/>
        <v>2.5667422007919742</v>
      </c>
      <c r="R5" s="62">
        <f t="shared" si="0"/>
        <v>261.67785331190311</v>
      </c>
      <c r="S5" s="62">
        <f ca="1">AVERAGE(OFFSET($R$3,0,0,'Données projet'!$E$9+1,1))-AVERAGE(OFFSET($H$3,0,0,'Données projet'!$E$9+1,1))</f>
        <v>207.99520960626666</v>
      </c>
      <c r="T5" s="62">
        <f t="shared" ref="T5:T68" si="34">$T$3</f>
        <v>306.39565990874775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261.04520408716911</v>
      </c>
      <c r="AN5" s="62">
        <f ca="1">AVERAGE(OFFSET($AM$3,0,0,'Données projet'!$E$10+1,1))-AVERAGE(OFFSET($H$3,0,0,'Données projet'!$E$10+1,1))</f>
        <v>259.74478933784656</v>
      </c>
      <c r="AO5" s="62">
        <f t="shared" ref="AO5:AO68" si="36">$AO$3</f>
        <v>223.74038909289646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7.0434782608695654</v>
      </c>
      <c r="BD5" s="13">
        <f>IF('Données projet'!$A$88&gt;35,BD4+BC5-BL4,IF(A5&lt;'Données projet'!$A$88,$BA$205^A5,IF(A5='Données projet'!$A$88,'Données projet'!$B$88,BD4+BC5-BL4)))</f>
        <v>1.5564376952135832</v>
      </c>
      <c r="BE5" s="14">
        <f>BD5*VLOOKUP('Données projet'!$B$11,Paramètres!$A$1:$I$89,3,0)*VLOOKUP('Données projet'!$B$11,Paramètres!$A$1:$I$89,5,0)</f>
        <v>0.87004867162439303</v>
      </c>
      <c r="BF5" s="14">
        <f t="shared" ref="BF5:BF68" si="37">EXP(-1.0587+0.8836*LN(BE5)+0.284)</f>
        <v>0.40750481451495241</v>
      </c>
      <c r="BG5" s="22">
        <f t="shared" si="7"/>
        <v>2.2250723216926933</v>
      </c>
      <c r="BH5" s="62">
        <f t="shared" si="8"/>
        <v>261.33618343280386</v>
      </c>
      <c r="BI5" s="62">
        <f ca="1">AVERAGE(OFFSET($BH$3,0,0,'Données projet'!$E$11+1,1))-AVERAGE(OFFSET($H$3,0,0,'Données projet'!$E$11+1,1))</f>
        <v>365.70510182727895</v>
      </c>
      <c r="BJ5" s="62">
        <f t="shared" ref="BJ5:BJ68" si="38">$BJ$3</f>
        <v>436.23833844962525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6.166666666666667</v>
      </c>
      <c r="N6" s="14">
        <f>IF('Données projet'!$A$36&gt;35,N5+M6-V5,IF(A6&lt;'Données projet'!$A$36,$K$205^A6,IF(A6='Données projet'!$A$36,'Données projet'!$B$36,N5+M6-V5)))</f>
        <v>2.1922352824697744</v>
      </c>
      <c r="O6" s="14">
        <f>N6*VLOOKUP('Données projet'!$B$9,Paramètres!$A$1:$I$89,3,0)*VLOOKUP('Données projet'!$B$9,Paramètres!$A$1:$I$89,5,0)</f>
        <v>1.3109566989169252</v>
      </c>
      <c r="P6" s="14">
        <f t="shared" si="33"/>
        <v>0.58540055303921845</v>
      </c>
      <c r="Q6" s="22">
        <f t="shared" si="2"/>
        <v>3.3028222138236161</v>
      </c>
      <c r="R6" s="62">
        <f t="shared" si="0"/>
        <v>263.63615554715693</v>
      </c>
      <c r="S6" s="62">
        <f ca="1">AVERAGE(OFFSET($R$3,0,0,'Données projet'!$E$9+1,1))-AVERAGE(OFFSET($H$3,0,0,'Données projet'!$E$9+1,1))</f>
        <v>207.99520960626666</v>
      </c>
      <c r="T6" s="62">
        <f t="shared" si="34"/>
        <v>306.39565990874775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262.76373751603086</v>
      </c>
      <c r="AN6" s="62">
        <f ca="1">AVERAGE(OFFSET($AM$3,0,0,'Données projet'!$E$10+1,1))-AVERAGE(OFFSET($H$3,0,0,'Données projet'!$E$10+1,1))</f>
        <v>259.74478933784656</v>
      </c>
      <c r="AO6" s="62">
        <f t="shared" si="36"/>
        <v>223.74038909289646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7.0434782608695654</v>
      </c>
      <c r="BD6" s="13">
        <f>IF('Données projet'!$A$88&gt;35,BD5+BC6-BL5,IF(A6&lt;'Données projet'!$A$88,$BA$205^A6,IF(A6='Données projet'!$A$88,'Données projet'!$B$88,BD5+BC6-BL5)))</f>
        <v>1.941769211127228</v>
      </c>
      <c r="BE6" s="14">
        <f>BD6*VLOOKUP('Données projet'!$B$11,Paramètres!$A$1:$I$89,3,0)*VLOOKUP('Données projet'!$B$11,Paramètres!$A$1:$I$89,5,0)</f>
        <v>1.0854489890201204</v>
      </c>
      <c r="BF6" s="14">
        <f t="shared" si="37"/>
        <v>0.49546906829329518</v>
      </c>
      <c r="BG6" s="22">
        <f t="shared" si="7"/>
        <v>2.7534322831541989</v>
      </c>
      <c r="BH6" s="62">
        <f t="shared" si="8"/>
        <v>263.08676561648753</v>
      </c>
      <c r="BI6" s="62">
        <f ca="1">AVERAGE(OFFSET($BH$3,0,0,'Données projet'!$E$11+1,1))-AVERAGE(OFFSET($H$3,0,0,'Données projet'!$E$11+1,1))</f>
        <v>365.70510182727895</v>
      </c>
      <c r="BJ6" s="62">
        <f t="shared" si="38"/>
        <v>436.23833844962525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6.166666666666667</v>
      </c>
      <c r="N7" s="14">
        <f>IF('Données projet'!$A$36&gt;35,N6+M7-V6,IF(A7&lt;'Données projet'!$A$36,$K$205^A7,IF(A7='Données projet'!$A$36,'Données projet'!$B$36,N6+M7-V6)))</f>
        <v>2.8478441429324008</v>
      </c>
      <c r="O7" s="14">
        <f>N7*VLOOKUP('Données projet'!$B$9,Paramètres!$A$1:$I$89,3,0)*VLOOKUP('Données projet'!$B$9,Paramètres!$A$1:$I$89,5,0)</f>
        <v>1.703010797473576</v>
      </c>
      <c r="P7" s="14">
        <f t="shared" si="33"/>
        <v>0.73765919588626938</v>
      </c>
      <c r="Q7" s="22">
        <f t="shared" si="2"/>
        <v>4.2508335717683972</v>
      </c>
      <c r="R7" s="62">
        <f t="shared" si="0"/>
        <v>265.80638912732394</v>
      </c>
      <c r="S7" s="62">
        <f ca="1">AVERAGE(OFFSET($R$3,0,0,'Données projet'!$E$9+1,1))-AVERAGE(OFFSET($H$3,0,0,'Données projet'!$E$9+1,1))</f>
        <v>207.99520960626666</v>
      </c>
      <c r="T7" s="62">
        <f t="shared" si="34"/>
        <v>306.39565990874775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264.61013430399953</v>
      </c>
      <c r="AN7" s="62">
        <f ca="1">AVERAGE(OFFSET($AM$3,0,0,'Données projet'!$E$10+1,1))-AVERAGE(OFFSET($H$3,0,0,'Données projet'!$E$10+1,1))</f>
        <v>259.74478933784656</v>
      </c>
      <c r="AO7" s="62">
        <f t="shared" si="36"/>
        <v>223.74038909289646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7.0434782608695654</v>
      </c>
      <c r="BD7" s="13">
        <f>IF('Données projet'!$A$88&gt;35,BD6+BC7-BL6,IF(A7&lt;'Données projet'!$A$88,$BA$205^A7,IF(A7='Données projet'!$A$88,'Données projet'!$B$88,BD6+BC7-BL6)))</f>
        <v>2.4224982990817709</v>
      </c>
      <c r="BE7" s="14">
        <f>BD7*VLOOKUP('Données projet'!$B$11,Paramètres!$A$1:$I$89,3,0)*VLOOKUP('Données projet'!$B$11,Paramètres!$A$1:$I$89,5,0)</f>
        <v>1.3541765491867099</v>
      </c>
      <c r="BF7" s="14">
        <f t="shared" si="37"/>
        <v>0.60242134299107364</v>
      </c>
      <c r="BG7" s="22">
        <f t="shared" si="7"/>
        <v>3.4077413288763059</v>
      </c>
      <c r="BH7" s="62">
        <f t="shared" si="8"/>
        <v>264.96329688443183</v>
      </c>
      <c r="BI7" s="62">
        <f ca="1">AVERAGE(OFFSET($BH$3,0,0,'Données projet'!$E$11+1,1))-AVERAGE(OFFSET($H$3,0,0,'Données projet'!$E$11+1,1))</f>
        <v>365.70510182727895</v>
      </c>
      <c r="BJ7" s="62">
        <f t="shared" si="38"/>
        <v>436.23833844962525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6.166666666666667</v>
      </c>
      <c r="N8" s="14">
        <f>IF('Données projet'!$A$36&gt;35,N7+M8-V7,IF(A8&lt;'Données projet'!$A$36,$K$205^A8,IF(A8='Données projet'!$A$36,'Données projet'!$B$36,N7+M8-V7)))</f>
        <v>3.6995190832333482</v>
      </c>
      <c r="O8" s="14">
        <f>N8*VLOOKUP('Données projet'!$B$9,Paramètres!$A$1:$I$89,3,0)*VLOOKUP('Données projet'!$B$9,Paramètres!$A$1:$I$89,5,0)</f>
        <v>2.2123124117735422</v>
      </c>
      <c r="P8" s="14">
        <f t="shared" si="33"/>
        <v>0.92951926070203594</v>
      </c>
      <c r="Q8" s="22">
        <f t="shared" si="2"/>
        <v>5.4720234962282985</v>
      </c>
      <c r="R8" s="62">
        <f t="shared" si="0"/>
        <v>268.24980127400607</v>
      </c>
      <c r="S8" s="62">
        <f ca="1">AVERAGE(OFFSET($R$3,0,0,'Données projet'!$E$9+1,1))-AVERAGE(OFFSET($H$3,0,0,'Données projet'!$E$9+1,1))</f>
        <v>207.99520960626666</v>
      </c>
      <c r="T8" s="62">
        <f t="shared" si="34"/>
        <v>306.39565990874775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266.61745820573537</v>
      </c>
      <c r="AN8" s="62">
        <f ca="1">AVERAGE(OFFSET($AM$3,0,0,'Données projet'!$E$10+1,1))-AVERAGE(OFFSET($H$3,0,0,'Données projet'!$E$10+1,1))</f>
        <v>259.74478933784656</v>
      </c>
      <c r="AO8" s="62">
        <f t="shared" si="36"/>
        <v>223.74038909289646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7.0434782608695654</v>
      </c>
      <c r="BD8" s="13">
        <f>IF('Données projet'!$A$88&gt;35,BD7+BC8-BL7,IF(A8&lt;'Données projet'!$A$88,$BA$205^A8,IF(A8='Données projet'!$A$88,'Données projet'!$B$88,BD7+BC8-BL7)))</f>
        <v>3.0222427956035602</v>
      </c>
      <c r="BE8" s="14">
        <f>BD8*VLOOKUP('Données projet'!$B$11,Paramètres!$A$1:$I$89,3,0)*VLOOKUP('Données projet'!$B$11,Paramètres!$A$1:$I$89,5,0)</f>
        <v>1.6894337227423903</v>
      </c>
      <c r="BF8" s="14">
        <f t="shared" si="37"/>
        <v>0.73246040512935062</v>
      </c>
      <c r="BG8" s="22">
        <f t="shared" si="7"/>
        <v>4.2181322727099486</v>
      </c>
      <c r="BH8" s="62">
        <f t="shared" si="8"/>
        <v>266.99591005048774</v>
      </c>
      <c r="BI8" s="62">
        <f ca="1">AVERAGE(OFFSET($BH$3,0,0,'Données projet'!$E$11+1,1))-AVERAGE(OFFSET($H$3,0,0,'Données projet'!$E$11+1,1))</f>
        <v>365.70510182727895</v>
      </c>
      <c r="BJ8" s="62">
        <f t="shared" si="38"/>
        <v>436.23833844962525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6.166666666666667</v>
      </c>
      <c r="N9" s="14">
        <f>IF('Données projet'!$A$36&gt;35,N8+M9-V8,IF(A9&lt;'Données projet'!$A$36,$K$205^A9,IF(A9='Données projet'!$A$36,'Données projet'!$B$36,N8+M9-V8)))</f>
        <v>4.805895533705332</v>
      </c>
      <c r="O9" s="14">
        <f>N9*VLOOKUP('Données projet'!$B$9,Paramètres!$A$1:$I$89,3,0)*VLOOKUP('Données projet'!$B$9,Paramètres!$A$1:$I$89,5,0)</f>
        <v>2.8739255291557888</v>
      </c>
      <c r="P9" s="14">
        <f t="shared" si="33"/>
        <v>1.1712808039734253</v>
      </c>
      <c r="Q9" s="22">
        <f t="shared" si="2"/>
        <v>7.0454010302000478</v>
      </c>
      <c r="R9" s="62">
        <f t="shared" si="0"/>
        <v>271.04540103020003</v>
      </c>
      <c r="S9" s="62">
        <f ca="1">AVERAGE(OFFSET($R$3,0,0,'Données projet'!$E$9+1,1))-AVERAGE(OFFSET($H$3,0,0,'Données projet'!$E$9+1,1))</f>
        <v>207.99520960626666</v>
      </c>
      <c r="T9" s="62">
        <f t="shared" si="34"/>
        <v>306.39565990874775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268.82735255020987</v>
      </c>
      <c r="AN9" s="62">
        <f ca="1">AVERAGE(OFFSET($AM$3,0,0,'Données projet'!$E$10+1,1))-AVERAGE(OFFSET($H$3,0,0,'Données projet'!$E$10+1,1))</f>
        <v>259.74478933784656</v>
      </c>
      <c r="AO9" s="62">
        <f t="shared" si="36"/>
        <v>223.74038909289646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7.0434782608695654</v>
      </c>
      <c r="BD9" s="13">
        <f>IF('Données projet'!$A$88&gt;35,BD8+BC9-BL8,IF(A9&lt;'Données projet'!$A$88,$BA$205^A9,IF(A9='Données projet'!$A$88,'Données projet'!$B$88,BD8+BC9-BL8)))</f>
        <v>3.7704676692816572</v>
      </c>
      <c r="BE9" s="14">
        <f>BD9*VLOOKUP('Données projet'!$B$11,Paramètres!$A$1:$I$89,3,0)*VLOOKUP('Données projet'!$B$11,Paramètres!$A$1:$I$89,5,0)</f>
        <v>2.1076914271284464</v>
      </c>
      <c r="BF9" s="14">
        <f t="shared" si="37"/>
        <v>0.89056978363099237</v>
      </c>
      <c r="BG9" s="22">
        <f t="shared" si="7"/>
        <v>5.2219716087393548</v>
      </c>
      <c r="BH9" s="62">
        <f t="shared" si="8"/>
        <v>269.22197160873935</v>
      </c>
      <c r="BI9" s="62">
        <f ca="1">AVERAGE(OFFSET($BH$3,0,0,'Données projet'!$E$11+1,1))-AVERAGE(OFFSET($H$3,0,0,'Données projet'!$E$11+1,1))</f>
        <v>365.70510182727895</v>
      </c>
      <c r="BJ9" s="62">
        <f t="shared" si="38"/>
        <v>436.23833844962525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6.166666666666667</v>
      </c>
      <c r="N10" s="14">
        <f>IF('Données projet'!$A$36&gt;35,N9+M10-V9,IF(A10&lt;'Données projet'!$A$36,$K$205^A10,IF(A10='Données projet'!$A$36,'Données projet'!$B$36,N9+M10-V9)))</f>
        <v>6.243144409111304</v>
      </c>
      <c r="O10" s="14">
        <f>N10*VLOOKUP('Données projet'!$B$9,Paramètres!$A$1:$I$89,3,0)*VLOOKUP('Données projet'!$B$9,Paramètres!$A$1:$I$89,5,0)</f>
        <v>3.7334003566485601</v>
      </c>
      <c r="P10" s="14">
        <f t="shared" si="33"/>
        <v>1.4759228557786761</v>
      </c>
      <c r="Q10" s="22">
        <f t="shared" si="2"/>
        <v>9.0729045949774356</v>
      </c>
      <c r="R10" s="62">
        <f t="shared" si="0"/>
        <v>274.29512681719967</v>
      </c>
      <c r="S10" s="62">
        <f ca="1">AVERAGE(OFFSET($R$3,0,0,'Données projet'!$E$9+1,1))-AVERAGE(OFFSET($H$3,0,0,'Données projet'!$E$9+1,1))</f>
        <v>207.99520960626666</v>
      </c>
      <c r="T10" s="62">
        <f t="shared" si="34"/>
        <v>306.39565990874775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271.29227369769058</v>
      </c>
      <c r="AN10" s="62">
        <f ca="1">AVERAGE(OFFSET($AM$3,0,0,'Données projet'!$E$10+1,1))-AVERAGE(OFFSET($H$3,0,0,'Données projet'!$E$10+1,1))</f>
        <v>259.74478933784656</v>
      </c>
      <c r="AO10" s="62">
        <f t="shared" si="36"/>
        <v>223.74038909289646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7.0434782608695654</v>
      </c>
      <c r="BD10" s="13">
        <f>IF('Données projet'!$A$88&gt;35,BD9+BC10-BL9,IF(A10&lt;'Données projet'!$A$88,$BA$205^A10,IF(A10='Données projet'!$A$88,'Données projet'!$B$88,BD9+BC10-BL9)))</f>
        <v>4.7039326111650617</v>
      </c>
      <c r="BE10" s="14">
        <f>BD10*VLOOKUP('Données projet'!$B$11,Paramètres!$A$1:$I$89,3,0)*VLOOKUP('Données projet'!$B$11,Paramètres!$A$1:$I$89,5,0)</f>
        <v>2.6294983296412697</v>
      </c>
      <c r="BF10" s="14">
        <f t="shared" si="37"/>
        <v>1.0828087552070351</v>
      </c>
      <c r="BG10" s="22">
        <f t="shared" si="7"/>
        <v>6.4656015061107972</v>
      </c>
      <c r="BH10" s="62">
        <f t="shared" si="8"/>
        <v>271.687823728333</v>
      </c>
      <c r="BI10" s="62">
        <f ca="1">AVERAGE(OFFSET($BH$3,0,0,'Données projet'!$E$11+1,1))-AVERAGE(OFFSET($H$3,0,0,'Données projet'!$E$11+1,1))</f>
        <v>365.70510182727895</v>
      </c>
      <c r="BJ10" s="62">
        <f t="shared" si="38"/>
        <v>436.23833844962525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6.166666666666667</v>
      </c>
      <c r="N11" s="14">
        <f>IF('Données projet'!$A$36&gt;35,N10+M11-V10,IF(A11&lt;'Données projet'!$A$36,$K$205^A11,IF(A11='Données projet'!$A$36,'Données projet'!$B$36,N10+M11-V10)))</f>
        <v>8.1102162624343812</v>
      </c>
      <c r="O11" s="14">
        <f>N11*VLOOKUP('Données projet'!$B$9,Paramètres!$A$1:$I$89,3,0)*VLOOKUP('Données projet'!$B$9,Paramètres!$A$1:$I$89,5,0)</f>
        <v>4.8499093249357603</v>
      </c>
      <c r="P11" s="14">
        <f t="shared" si="33"/>
        <v>1.8598002023256139</v>
      </c>
      <c r="Q11" s="22">
        <f t="shared" si="2"/>
        <v>11.686077426646891</v>
      </c>
      <c r="R11" s="62">
        <f t="shared" si="0"/>
        <v>278.13052187109133</v>
      </c>
      <c r="S11" s="62">
        <f ca="1">AVERAGE(OFFSET($R$3,0,0,'Données projet'!$E$9+1,1))-AVERAGE(OFFSET($H$3,0,0,'Données projet'!$E$9+1,1))</f>
        <v>207.99520960626666</v>
      </c>
      <c r="T11" s="62">
        <f t="shared" si="34"/>
        <v>306.39565990874775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274.07830764378383</v>
      </c>
      <c r="AN11" s="62">
        <f ca="1">AVERAGE(OFFSET($AM$3,0,0,'Données projet'!$E$10+1,1))-AVERAGE(OFFSET($H$3,0,0,'Données projet'!$E$10+1,1))</f>
        <v>259.74478933784656</v>
      </c>
      <c r="AO11" s="62">
        <f t="shared" si="36"/>
        <v>223.74038909289646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7.0434782608695654</v>
      </c>
      <c r="BD11" s="13">
        <f>IF('Données projet'!$A$88&gt;35,BD10+BC11-BL10,IF(A11&lt;'Données projet'!$A$88,$BA$205^A11,IF(A11='Données projet'!$A$88,'Données projet'!$B$88,BD10+BC11-BL10)))</f>
        <v>5.8684980090540737</v>
      </c>
      <c r="BE11" s="14">
        <f>BD11*VLOOKUP('Données projet'!$B$11,Paramètres!$A$1:$I$89,3,0)*VLOOKUP('Données projet'!$B$11,Paramètres!$A$1:$I$89,5,0)</f>
        <v>3.2804903870612274</v>
      </c>
      <c r="BF11" s="14">
        <f t="shared" si="37"/>
        <v>1.3165445559725206</v>
      </c>
      <c r="BG11" s="22">
        <f t="shared" si="7"/>
        <v>8.0065025257837785</v>
      </c>
      <c r="BH11" s="62">
        <f t="shared" si="8"/>
        <v>274.45094697022824</v>
      </c>
      <c r="BI11" s="62">
        <f ca="1">AVERAGE(OFFSET($BH$3,0,0,'Données projet'!$E$11+1,1))-AVERAGE(OFFSET($H$3,0,0,'Données projet'!$E$11+1,1))</f>
        <v>365.70510182727895</v>
      </c>
      <c r="BJ11" s="62">
        <f t="shared" si="38"/>
        <v>436.23833844962525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6.166666666666667</v>
      </c>
      <c r="N12" s="14">
        <f>IF('Données projet'!$A$36&gt;35,N11+M12-V11,IF(A12&lt;'Données projet'!$A$36,$K$205^A12,IF(A12='Données projet'!$A$36,'Données projet'!$B$36,N11+M12-V11)))</f>
        <v>10.535653752852737</v>
      </c>
      <c r="O12" s="14">
        <f>N12*VLOOKUP('Données projet'!$B$9,Paramètres!$A$1:$I$89,3,0)*VLOOKUP('Données projet'!$B$9,Paramètres!$A$1:$I$89,5,0)</f>
        <v>6.3003209442059376</v>
      </c>
      <c r="P12" s="14">
        <f t="shared" si="33"/>
        <v>2.3435213968182298</v>
      </c>
      <c r="Q12" s="22">
        <f t="shared" si="2"/>
        <v>15.054692077283761</v>
      </c>
      <c r="R12" s="62">
        <f t="shared" si="0"/>
        <v>282.72135874395042</v>
      </c>
      <c r="S12" s="62">
        <f ca="1">AVERAGE(OFFSET($R$3,0,0,'Données projet'!$E$9+1,1))-AVERAGE(OFFSET($H$3,0,0,'Données projet'!$E$9+1,1))</f>
        <v>207.99520960626666</v>
      </c>
      <c r="T12" s="62">
        <f t="shared" si="34"/>
        <v>306.39565990874775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277.26872244245249</v>
      </c>
      <c r="AN12" s="62">
        <f ca="1">AVERAGE(OFFSET($AM$3,0,0,'Données projet'!$E$10+1,1))-AVERAGE(OFFSET($H$3,0,0,'Données projet'!$E$10+1,1))</f>
        <v>259.74478933784656</v>
      </c>
      <c r="AO12" s="62">
        <f t="shared" si="36"/>
        <v>223.74038909289646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7.0434782608695654</v>
      </c>
      <c r="BD12" s="13">
        <f>IF('Données projet'!$A$88&gt;35,BD11+BC12-BL11,IF(A12&lt;'Données projet'!$A$88,$BA$205^A12,IF(A12='Données projet'!$A$88,'Données projet'!$B$88,BD11+BC12-BL11)))</f>
        <v>7.3213780317617614</v>
      </c>
      <c r="BE12" s="14">
        <f>BD12*VLOOKUP('Données projet'!$B$11,Paramètres!$A$1:$I$89,3,0)*VLOOKUP('Données projet'!$B$11,Paramètres!$A$1:$I$89,5,0)</f>
        <v>4.0926503197548252</v>
      </c>
      <c r="BF12" s="14">
        <f t="shared" si="37"/>
        <v>1.6007347184124618</v>
      </c>
      <c r="BG12" s="22">
        <f t="shared" si="7"/>
        <v>9.9159789414746928</v>
      </c>
      <c r="BH12" s="62">
        <f t="shared" si="8"/>
        <v>277.58264560814138</v>
      </c>
      <c r="BI12" s="62">
        <f ca="1">AVERAGE(OFFSET($BH$3,0,0,'Données projet'!$E$11+1,1))-AVERAGE(OFFSET($H$3,0,0,'Données projet'!$E$11+1,1))</f>
        <v>365.70510182727895</v>
      </c>
      <c r="BJ12" s="62">
        <f t="shared" si="38"/>
        <v>436.23833844962525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6.166666666666667</v>
      </c>
      <c r="N13" s="14">
        <f>IF('Données projet'!$A$36&gt;35,N12+M13-V12,IF(A13&lt;'Données projet'!$A$36,$K$205^A13,IF(A13='Données projet'!$A$36,'Données projet'!$B$36,N12+M13-V12)))</f>
        <v>13.686441447207715</v>
      </c>
      <c r="O13" s="14">
        <f>N13*VLOOKUP('Données projet'!$B$9,Paramètres!$A$1:$I$89,3,0)*VLOOKUP('Données projet'!$B$9,Paramètres!$A$1:$I$89,5,0)</f>
        <v>8.1844919854302152</v>
      </c>
      <c r="P13" s="14">
        <f t="shared" si="33"/>
        <v>2.9530551348887908</v>
      </c>
      <c r="Q13" s="22">
        <f t="shared" si="2"/>
        <v>19.397894567888933</v>
      </c>
      <c r="R13" s="62">
        <f t="shared" si="0"/>
        <v>288.28678345677781</v>
      </c>
      <c r="S13" s="62">
        <f ca="1">AVERAGE(OFFSET($R$3,0,0,'Données projet'!$E$9+1,1))-AVERAGE(OFFSET($H$3,0,0,'Données projet'!$E$9+1,1))</f>
        <v>207.99520960626666</v>
      </c>
      <c r="T13" s="62">
        <f t="shared" si="34"/>
        <v>306.39565990874775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280.96844918960909</v>
      </c>
      <c r="AN13" s="62">
        <f ca="1">AVERAGE(OFFSET($AM$3,0,0,'Données projet'!$E$10+1,1))-AVERAGE(OFFSET($H$3,0,0,'Données projet'!$E$10+1,1))</f>
        <v>259.74478933784656</v>
      </c>
      <c r="AO13" s="62">
        <f t="shared" si="36"/>
        <v>223.74038909289646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7.0434782608695654</v>
      </c>
      <c r="BD13" s="13">
        <f>IF('Données projet'!$A$88&gt;35,BD12+BC13-BL12,IF(A13&lt;'Données projet'!$A$88,$BA$205^A13,IF(A13='Données projet'!$A$88,'Données projet'!$B$88,BD12+BC13-BL12)))</f>
        <v>9.1339515155776247</v>
      </c>
      <c r="BE13" s="14">
        <f>BD13*VLOOKUP('Données projet'!$B$11,Paramètres!$A$1:$I$89,3,0)*VLOOKUP('Données projet'!$B$11,Paramètres!$A$1:$I$89,5,0)</f>
        <v>5.1058788972078926</v>
      </c>
      <c r="BF13" s="14">
        <f t="shared" si="37"/>
        <v>1.9462703537885475</v>
      </c>
      <c r="BG13" s="22">
        <f t="shared" si="7"/>
        <v>12.282493278818798</v>
      </c>
      <c r="BH13" s="62">
        <f t="shared" si="8"/>
        <v>281.17138216770763</v>
      </c>
      <c r="BI13" s="62">
        <f ca="1">AVERAGE(OFFSET($BH$3,0,0,'Données projet'!$E$11+1,1))-AVERAGE(OFFSET($H$3,0,0,'Données projet'!$E$11+1,1))</f>
        <v>365.70510182727895</v>
      </c>
      <c r="BJ13" s="62">
        <f t="shared" si="38"/>
        <v>436.23833844962525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6.166666666666667</v>
      </c>
      <c r="N14" s="14">
        <f>IF('Données projet'!$A$36&gt;35,N13+M14-V13,IF(A14&lt;'Données projet'!$A$36,$K$205^A14,IF(A14='Données projet'!$A$36,'Données projet'!$B$36,N13+M14-V13)))</f>
        <v>17.779502238968792</v>
      </c>
      <c r="O14" s="14">
        <f>N14*VLOOKUP('Données projet'!$B$9,Paramètres!$A$1:$I$89,3,0)*VLOOKUP('Données projet'!$B$9,Paramètres!$A$1:$I$89,5,0)</f>
        <v>10.632142338903337</v>
      </c>
      <c r="P14" s="14">
        <f t="shared" si="33"/>
        <v>3.7211243906425677</v>
      </c>
      <c r="Q14" s="22">
        <f t="shared" si="2"/>
        <v>24.998606220625785</v>
      </c>
      <c r="R14" s="62">
        <f t="shared" si="0"/>
        <v>295.10971733173693</v>
      </c>
      <c r="S14" s="62">
        <f ca="1">AVERAGE(OFFSET($R$3,0,0,'Données projet'!$E$9+1,1))-AVERAGE(OFFSET($H$3,0,0,'Données projet'!$E$9+1,1))</f>
        <v>207.99520960626666</v>
      </c>
      <c r="T14" s="62">
        <f t="shared" si="34"/>
        <v>306.39565990874775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285.30973491875153</v>
      </c>
      <c r="AN14" s="62">
        <f ca="1">AVERAGE(OFFSET($AM$3,0,0,'Données projet'!$E$10+1,1))-AVERAGE(OFFSET($H$3,0,0,'Données projet'!$E$10+1,1))</f>
        <v>259.74478933784656</v>
      </c>
      <c r="AO14" s="62">
        <f t="shared" si="36"/>
        <v>223.74038909289646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7.0434782608695654</v>
      </c>
      <c r="BD14" s="13">
        <f>IF('Données projet'!$A$88&gt;35,BD13+BC14-BL13,IF(A14&lt;'Données projet'!$A$88,$BA$205^A14,IF(A14='Données projet'!$A$88,'Données projet'!$B$88,BD13+BC14-BL13)))</f>
        <v>11.395268749542637</v>
      </c>
      <c r="BE14" s="14">
        <f>BD14*VLOOKUP('Données projet'!$B$11,Paramètres!$A$1:$I$89,3,0)*VLOOKUP('Données projet'!$B$11,Paramètres!$A$1:$I$89,5,0)</f>
        <v>6.3699552309943348</v>
      </c>
      <c r="BF14" s="14">
        <f t="shared" si="37"/>
        <v>2.3663935357089882</v>
      </c>
      <c r="BG14" s="22">
        <f t="shared" si="7"/>
        <v>15.215807435341619</v>
      </c>
      <c r="BH14" s="62">
        <f t="shared" si="8"/>
        <v>285.32691854645276</v>
      </c>
      <c r="BI14" s="62">
        <f ca="1">AVERAGE(OFFSET($BH$3,0,0,'Données projet'!$E$11+1,1))-AVERAGE(OFFSET($H$3,0,0,'Données projet'!$E$11+1,1))</f>
        <v>365.70510182727895</v>
      </c>
      <c r="BJ14" s="62">
        <f t="shared" si="38"/>
        <v>436.23833844962525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6.166666666666667</v>
      </c>
      <c r="N15" s="14">
        <f>IF('Données projet'!$A$36&gt;35,N14+M15-V14,IF(A15&lt;'Données projet'!$A$36,$K$205^A15,IF(A15='Données projet'!$A$36,'Données projet'!$B$36,N14+M15-V14)))</f>
        <v>23.096631880888861</v>
      </c>
      <c r="O15" s="14">
        <f>N15*VLOOKUP('Données projet'!$B$9,Paramètres!$A$1:$I$89,3,0)*VLOOKUP('Données projet'!$B$9,Paramètres!$A$1:$I$89,5,0)</f>
        <v>13.811785864771538</v>
      </c>
      <c r="P15" s="14">
        <f t="shared" si="33"/>
        <v>4.6889631578641264</v>
      </c>
      <c r="Q15" s="22">
        <f t="shared" si="2"/>
        <v>32.222137881090447</v>
      </c>
      <c r="R15" s="62">
        <f t="shared" si="0"/>
        <v>303.55547121442373</v>
      </c>
      <c r="S15" s="62">
        <f ca="1">AVERAGE(OFFSET($R$3,0,0,'Données projet'!$E$9+1,1))-AVERAGE(OFFSET($H$3,0,0,'Données projet'!$E$9+1,1))</f>
        <v>207.99520960626666</v>
      </c>
      <c r="T15" s="62">
        <f t="shared" si="34"/>
        <v>306.39565990874775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290.45927468832531</v>
      </c>
      <c r="AN15" s="62">
        <f ca="1">AVERAGE(OFFSET($AM$3,0,0,'Données projet'!$E$10+1,1))-AVERAGE(OFFSET($H$3,0,0,'Données projet'!$E$10+1,1))</f>
        <v>259.74478933784656</v>
      </c>
      <c r="AO15" s="62">
        <f t="shared" si="36"/>
        <v>223.74038909289646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7.0434782608695654</v>
      </c>
      <c r="BD15" s="13">
        <f>IF('Données projet'!$A$88&gt;35,BD14+BC15-BL14,IF(A15&lt;'Données projet'!$A$88,$BA$205^A15,IF(A15='Données projet'!$A$88,'Données projet'!$B$88,BD14+BC15-BL14)))</f>
        <v>14.216426445098254</v>
      </c>
      <c r="BE15" s="14">
        <f>BD15*VLOOKUP('Données projet'!$B$11,Paramètres!$A$1:$I$89,3,0)*VLOOKUP('Données projet'!$B$11,Paramètres!$A$1:$I$89,5,0)</f>
        <v>7.9469823828099235</v>
      </c>
      <c r="BF15" s="14">
        <f t="shared" si="37"/>
        <v>2.8772047803866805</v>
      </c>
      <c r="BG15" s="22">
        <f t="shared" si="7"/>
        <v>18.852125975900751</v>
      </c>
      <c r="BH15" s="62">
        <f t="shared" si="8"/>
        <v>290.18545930923409</v>
      </c>
      <c r="BI15" s="62">
        <f ca="1">AVERAGE(OFFSET($BH$3,0,0,'Données projet'!$E$11+1,1))-AVERAGE(OFFSET($H$3,0,0,'Données projet'!$E$11+1,1))</f>
        <v>365.70510182727895</v>
      </c>
      <c r="BJ15" s="62">
        <f t="shared" si="38"/>
        <v>436.23833844962525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6.166666666666667</v>
      </c>
      <c r="N16" s="14">
        <f>IF('Données projet'!$A$36&gt;35,N15+M16-V15,IF(A16&lt;'Données projet'!$A$36,$K$205^A16,IF(A16='Données projet'!$A$36,'Données projet'!$B$36,N15+M16-V15)))</f>
        <v>30.003899832025432</v>
      </c>
      <c r="O16" s="14">
        <f>N16*VLOOKUP('Données projet'!$B$9,Paramètres!$A$1:$I$89,3,0)*VLOOKUP('Données projet'!$B$9,Paramètres!$A$1:$I$89,5,0)</f>
        <v>17.942332099551209</v>
      </c>
      <c r="P16" s="14">
        <f t="shared" si="33"/>
        <v>5.9085301074846619</v>
      </c>
      <c r="Q16" s="22">
        <f t="shared" si="2"/>
        <v>41.54025167725414</v>
      </c>
      <c r="R16" s="62">
        <f t="shared" si="0"/>
        <v>314.0958072328097</v>
      </c>
      <c r="S16" s="62">
        <f ca="1">AVERAGE(OFFSET($R$3,0,0,'Données projet'!$E$9+1,1))-AVERAGE(OFFSET($H$3,0,0,'Données projet'!$E$9+1,1))</f>
        <v>207.99520960626666</v>
      </c>
      <c r="T16" s="62">
        <f t="shared" si="34"/>
        <v>306.39565990874775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296.62721089887179</v>
      </c>
      <c r="AN16" s="62">
        <f ca="1">AVERAGE(OFFSET($AM$3,0,0,'Données projet'!$E$10+1,1))-AVERAGE(OFFSET($H$3,0,0,'Données projet'!$E$10+1,1))</f>
        <v>259.74478933784656</v>
      </c>
      <c r="AO16" s="62">
        <f t="shared" si="36"/>
        <v>223.74038909289646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7.0434782608695654</v>
      </c>
      <c r="BD16" s="13">
        <f>IF('Données projet'!$A$88&gt;35,BD15+BC16-BL15,IF(A16&lt;'Données projet'!$A$88,$BA$205^A16,IF(A16='Données projet'!$A$88,'Données projet'!$B$88,BD15+BC16-BL15)))</f>
        <v>17.736025828877512</v>
      </c>
      <c r="BE16" s="14">
        <f>BD16*VLOOKUP('Données projet'!$B$11,Paramètres!$A$1:$I$89,3,0)*VLOOKUP('Données projet'!$B$11,Paramètres!$A$1:$I$89,5,0)</f>
        <v>9.914438438342529</v>
      </c>
      <c r="BF16" s="14">
        <f t="shared" si="37"/>
        <v>3.4982800719153118</v>
      </c>
      <c r="BG16" s="22">
        <f t="shared" si="7"/>
        <v>23.360484738699075</v>
      </c>
      <c r="BH16" s="62">
        <f t="shared" si="8"/>
        <v>295.91604029425463</v>
      </c>
      <c r="BI16" s="62">
        <f ca="1">AVERAGE(OFFSET($BH$3,0,0,'Données projet'!$E$11+1,1))-AVERAGE(OFFSET($H$3,0,0,'Données projet'!$E$11+1,1))</f>
        <v>365.70510182727895</v>
      </c>
      <c r="BJ16" s="62">
        <f t="shared" si="38"/>
        <v>436.23833844962525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6.166666666666667</v>
      </c>
      <c r="N17" s="14">
        <f>IF('Données projet'!$A$36&gt;35,N16+M17-V16,IF(A17&lt;'Données projet'!$A$36,$K$205^A17,IF(A17='Données projet'!$A$36,'Données projet'!$B$36,N16+M17-V16)))</f>
        <v>38.976852113017742</v>
      </c>
      <c r="O17" s="14">
        <f>N17*VLOOKUP('Données projet'!$B$9,Paramètres!$A$1:$I$89,3,0)*VLOOKUP('Données projet'!$B$9,Paramètres!$A$1:$I$89,5,0)</f>
        <v>23.308157563584611</v>
      </c>
      <c r="P17" s="14">
        <f t="shared" si="33"/>
        <v>7.4452980020757735</v>
      </c>
      <c r="Q17" s="22">
        <f t="shared" si="2"/>
        <v>53.56226844352517</v>
      </c>
      <c r="R17" s="62">
        <f t="shared" si="0"/>
        <v>327.34004622130294</v>
      </c>
      <c r="S17" s="62">
        <f ca="1">AVERAGE(OFFSET($R$3,0,0,'Données projet'!$E$9+1,1))-AVERAGE(OFFSET($H$3,0,0,'Données projet'!$E$9+1,1))</f>
        <v>207.99520960626666</v>
      </c>
      <c r="T17" s="62">
        <f t="shared" si="34"/>
        <v>306.39565990874775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304.07848990595699</v>
      </c>
      <c r="AN17" s="62">
        <f ca="1">AVERAGE(OFFSET($AM$3,0,0,'Données projet'!$E$10+1,1))-AVERAGE(OFFSET($H$3,0,0,'Données projet'!$E$10+1,1))</f>
        <v>259.74478933784656</v>
      </c>
      <c r="AO17" s="62">
        <f t="shared" si="36"/>
        <v>223.74038909289646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7.0434782608695654</v>
      </c>
      <c r="BD17" s="13">
        <f>IF('Données projet'!$A$88&gt;35,BD16+BC17-BL16,IF(A17&lt;'Données projet'!$A$88,$BA$205^A17,IF(A17='Données projet'!$A$88,'Données projet'!$B$88,BD16+BC17-BL16)))</f>
        <v>22.126982010382157</v>
      </c>
      <c r="BE17" s="14">
        <f>BD17*VLOOKUP('Données projet'!$B$11,Paramètres!$A$1:$I$89,3,0)*VLOOKUP('Données projet'!$B$11,Paramètres!$A$1:$I$89,5,0)</f>
        <v>12.368982943803626</v>
      </c>
      <c r="BF17" s="14">
        <f t="shared" si="37"/>
        <v>4.253421079022079</v>
      </c>
      <c r="BG17" s="22">
        <f t="shared" si="7"/>
        <v>28.950687006421436</v>
      </c>
      <c r="BH17" s="62">
        <f t="shared" si="8"/>
        <v>302.72846478419922</v>
      </c>
      <c r="BI17" s="62">
        <f ca="1">AVERAGE(OFFSET($BH$3,0,0,'Données projet'!$E$11+1,1))-AVERAGE(OFFSET($H$3,0,0,'Données projet'!$E$11+1,1))</f>
        <v>365.70510182727895</v>
      </c>
      <c r="BJ17" s="62">
        <f t="shared" si="38"/>
        <v>436.23833844962525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6.166666666666667</v>
      </c>
      <c r="N18" s="14">
        <f>IF('Données projet'!$A$36&gt;35,N17+M18-V17,IF(A18&lt;'Données projet'!$A$36,$K$205^A18,IF(A18='Données projet'!$A$36,'Données projet'!$B$36,N17+M18-V17)))</f>
        <v>50.633251315500786</v>
      </c>
      <c r="O18" s="14">
        <f>N18*VLOOKUP('Données projet'!$B$9,Paramètres!$A$1:$I$89,3,0)*VLOOKUP('Données projet'!$B$9,Paramètres!$A$1:$I$89,5,0)</f>
        <v>30.278684286669471</v>
      </c>
      <c r="P18" s="14">
        <f t="shared" si="33"/>
        <v>9.3817686177978814</v>
      </c>
      <c r="Q18" s="22">
        <f t="shared" si="2"/>
        <v>69.075288808613962</v>
      </c>
      <c r="R18" s="62">
        <f t="shared" si="0"/>
        <v>344.07528880861395</v>
      </c>
      <c r="S18" s="62">
        <f ca="1">AVERAGE(OFFSET($R$3,0,0,'Données projet'!$E$9+1,1))-AVERAGE(OFFSET($H$3,0,0,'Données projet'!$E$9+1,1))</f>
        <v>207.99520960626666</v>
      </c>
      <c r="T18" s="62">
        <f t="shared" si="34"/>
        <v>306.39565990874775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313.14719490489927</v>
      </c>
      <c r="AN18" s="62">
        <f ca="1">AVERAGE(OFFSET($AM$3,0,0,'Données projet'!$E$10+1,1))-AVERAGE(OFFSET($H$3,0,0,'Données projet'!$E$10+1,1))</f>
        <v>259.74478933784656</v>
      </c>
      <c r="AO18" s="62">
        <f t="shared" si="36"/>
        <v>223.74038909289646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7.0434782608695654</v>
      </c>
      <c r="BD18" s="13">
        <f>IF('Données projet'!$A$88&gt;35,BD17+BC18-BL17,IF(A18&lt;'Données projet'!$A$88,$BA$205^A18,IF(A18='Données projet'!$A$88,'Données projet'!$B$88,BD17+BC18-BL17)))</f>
        <v>27.605019163346693</v>
      </c>
      <c r="BE18" s="14">
        <f>BD18*VLOOKUP('Données projet'!$B$11,Paramètres!$A$1:$I$89,3,0)*VLOOKUP('Données projet'!$B$11,Paramètres!$A$1:$I$89,5,0)</f>
        <v>15.431205712310803</v>
      </c>
      <c r="BF18" s="14">
        <f t="shared" si="37"/>
        <v>5.1715673140956353</v>
      </c>
      <c r="BG18" s="22">
        <f t="shared" si="7"/>
        <v>35.883163020991212</v>
      </c>
      <c r="BH18" s="62">
        <f t="shared" si="8"/>
        <v>310.88316302099122</v>
      </c>
      <c r="BI18" s="62">
        <f ca="1">AVERAGE(OFFSET($BH$3,0,0,'Données projet'!$E$11+1,1))-AVERAGE(OFFSET($H$3,0,0,'Données projet'!$E$11+1,1))</f>
        <v>365.70510182727895</v>
      </c>
      <c r="BJ18" s="62">
        <f t="shared" si="38"/>
        <v>436.23833844962525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6.166666666666667</v>
      </c>
      <c r="N19" s="14">
        <f>IF('Données projet'!$A$36&gt;35,N18+M19-V18,IF(A19&lt;'Données projet'!$A$36,$K$205^A19,IF(A19='Données projet'!$A$36,'Données projet'!$B$36,N18+M19-V18)))</f>
        <v>65.775607823455104</v>
      </c>
      <c r="O19" s="14">
        <f>N19*VLOOKUP('Données projet'!$B$9,Paramètres!$A$1:$I$89,3,0)*VLOOKUP('Données projet'!$B$9,Paramètres!$A$1:$I$89,5,0)</f>
        <v>39.333813478426158</v>
      </c>
      <c r="P19" s="14">
        <f t="shared" si="33"/>
        <v>11.821901873283993</v>
      </c>
      <c r="Q19" s="22">
        <f t="shared" si="2"/>
        <v>89.096204237561849</v>
      </c>
      <c r="R19" s="62">
        <f t="shared" si="0"/>
        <v>365.31842645978406</v>
      </c>
      <c r="S19" s="62">
        <f ca="1">AVERAGE(OFFSET($R$3,0,0,'Données projet'!$E$9+1,1))-AVERAGE(OFFSET($H$3,0,0,'Données projet'!$E$9+1,1))</f>
        <v>207.99520960626666</v>
      </c>
      <c r="T19" s="62">
        <f t="shared" si="34"/>
        <v>306.39565990874775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324.25463695142008</v>
      </c>
      <c r="AN19" s="62">
        <f ca="1">AVERAGE(OFFSET($AM$3,0,0,'Données projet'!$E$10+1,1))-AVERAGE(OFFSET($H$3,0,0,'Données projet'!$E$10+1,1))</f>
        <v>259.74478933784656</v>
      </c>
      <c r="AO19" s="62">
        <f t="shared" si="36"/>
        <v>223.74038909289646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7.0434782608695654</v>
      </c>
      <c r="BD19" s="13">
        <f>IF('Données projet'!$A$88&gt;35,BD18+BC19-BL18,IF(A19&lt;'Données projet'!$A$88,$BA$205^A19,IF(A19='Données projet'!$A$88,'Données projet'!$B$88,BD18+BC19-BL18)))</f>
        <v>34.439268882271627</v>
      </c>
      <c r="BE19" s="14">
        <f>BD19*VLOOKUP('Données projet'!$B$11,Paramètres!$A$1:$I$89,3,0)*VLOOKUP('Données projet'!$B$11,Paramètres!$A$1:$I$89,5,0)</f>
        <v>19.251551305189839</v>
      </c>
      <c r="BF19" s="14">
        <f t="shared" si="37"/>
        <v>6.2879051914538895</v>
      </c>
      <c r="BG19" s="22">
        <f t="shared" si="7"/>
        <v>44.481220064987831</v>
      </c>
      <c r="BH19" s="62">
        <f t="shared" si="8"/>
        <v>320.70344228721007</v>
      </c>
      <c r="BI19" s="62">
        <f ca="1">AVERAGE(OFFSET($BH$3,0,0,'Données projet'!$E$11+1,1))-AVERAGE(OFFSET($H$3,0,0,'Données projet'!$E$11+1,1))</f>
        <v>365.70510182727895</v>
      </c>
      <c r="BJ19" s="62">
        <f t="shared" si="38"/>
        <v>436.23833844962525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6.166666666666667</v>
      </c>
      <c r="N20" s="14">
        <f>IF('Données projet'!$A$36&gt;35,N19+M20-V19,IF(A20&lt;'Données projet'!$A$36,$K$205^A20,IF(A20='Données projet'!$A$36,'Données projet'!$B$36,N19+M20-V19)))</f>
        <v>85.44643040176409</v>
      </c>
      <c r="O20" s="14">
        <f>N20*VLOOKUP('Données projet'!$B$9,Paramètres!$A$1:$I$89,3,0)*VLOOKUP('Données projet'!$B$9,Paramètres!$A$1:$I$89,5,0)</f>
        <v>51.096965380254936</v>
      </c>
      <c r="P20" s="14">
        <f t="shared" si="33"/>
        <v>14.896696944372083</v>
      </c>
      <c r="Q20" s="22">
        <f t="shared" si="2"/>
        <v>114.93896188205872</v>
      </c>
      <c r="R20" s="62">
        <f t="shared" si="0"/>
        <v>392.38340632650318</v>
      </c>
      <c r="S20" s="62">
        <f ca="1">AVERAGE(OFFSET($R$3,0,0,'Données projet'!$E$9+1,1))-AVERAGE(OFFSET($H$3,0,0,'Données projet'!$E$9+1,1))</f>
        <v>207.99520960626666</v>
      </c>
      <c r="T20" s="62">
        <f t="shared" si="34"/>
        <v>306.39565990874775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337.93219182083425</v>
      </c>
      <c r="AN20" s="62">
        <f ca="1">AVERAGE(OFFSET($AM$3,0,0,'Données projet'!$E$10+1,1))-AVERAGE(OFFSET($H$3,0,0,'Données projet'!$E$10+1,1))</f>
        <v>259.74478933784656</v>
      </c>
      <c r="AO20" s="62">
        <f t="shared" si="36"/>
        <v>223.74038909289646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7.0434782608695654</v>
      </c>
      <c r="BD20" s="13">
        <f>IF('Données projet'!$A$88&gt;35,BD19+BC20-BL19,IF(A20&lt;'Données projet'!$A$88,$BA$205^A20,IF(A20='Données projet'!$A$88,'Données projet'!$B$88,BD19+BC20-BL19)))</f>
        <v>42.965492402926131</v>
      </c>
      <c r="BE20" s="14">
        <f>BD20*VLOOKUP('Données projet'!$B$11,Paramètres!$A$1:$I$89,3,0)*VLOOKUP('Données projet'!$B$11,Paramètres!$A$1:$I$89,5,0)</f>
        <v>24.017710253235709</v>
      </c>
      <c r="BF20" s="14">
        <f t="shared" si="37"/>
        <v>7.6452164876494173</v>
      </c>
      <c r="BG20" s="22">
        <f t="shared" si="7"/>
        <v>55.146264073708259</v>
      </c>
      <c r="BH20" s="62">
        <f t="shared" si="8"/>
        <v>332.59070851815272</v>
      </c>
      <c r="BI20" s="62">
        <f ca="1">AVERAGE(OFFSET($BH$3,0,0,'Données projet'!$E$11+1,1))-AVERAGE(OFFSET($H$3,0,0,'Données projet'!$E$11+1,1))</f>
        <v>365.70510182727895</v>
      </c>
      <c r="BJ20" s="62">
        <f t="shared" si="38"/>
        <v>436.23833844962525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111</v>
      </c>
      <c r="L21" s="13">
        <f>VLOOKUP(A21,'Données projet'!$A$35:$I$55,9,0)</f>
        <v>6.166666666666667</v>
      </c>
      <c r="M21" s="13">
        <f t="array" ref="M21">INDEX(L:L,MIN(IF(ISNUMBER(L21:L217),ROW(L21:L217),"")))</f>
        <v>6.166666666666667</v>
      </c>
      <c r="N21" s="14">
        <f>IF('Données projet'!$A$36&gt;35,N20+M21-V20,IF(A21&lt;'Données projet'!$A$36,$K$205^A21,IF(A21='Données projet'!$A$36,'Données projet'!$B$36,N20+M21-V20)))</f>
        <v>111</v>
      </c>
      <c r="O21" s="14">
        <f>N21*VLOOKUP('Données projet'!$B$9,Paramètres!$A$1:$I$89,3,0)*VLOOKUP('Données projet'!$B$9,Paramètres!$A$1:$I$89,5,0)</f>
        <v>66.378</v>
      </c>
      <c r="P21" s="14">
        <f t="shared" si="33"/>
        <v>18.771224988253085</v>
      </c>
      <c r="Q21" s="22">
        <f t="shared" si="2"/>
        <v>148.30156685454077</v>
      </c>
      <c r="R21" s="62">
        <f t="shared" si="0"/>
        <v>426.96823352120748</v>
      </c>
      <c r="S21" s="62">
        <f ca="1">AVERAGE(OFFSET($R$3,0,0,'Données projet'!$E$9+1,1))-AVERAGE(OFFSET($H$3,0,0,'Données projet'!$E$9+1,1))</f>
        <v>207.99520960626666</v>
      </c>
      <c r="T21" s="62">
        <f t="shared" si="34"/>
        <v>306.39565990874775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27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1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18.281022675862321</v>
      </c>
      <c r="AC21" s="24">
        <f t="shared" si="3"/>
        <v>18.281022675862321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354.85013054262487</v>
      </c>
      <c r="AN21" s="62">
        <f ca="1">AVERAGE(OFFSET($AM$3,0,0,'Données projet'!$E$10+1,1))-AVERAGE(OFFSET($H$3,0,0,'Données projet'!$E$10+1,1))</f>
        <v>259.74478933784656</v>
      </c>
      <c r="AO21" s="62">
        <f t="shared" si="36"/>
        <v>223.74038909289646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7.0434782608695654</v>
      </c>
      <c r="BD21" s="13">
        <f>IF('Données projet'!$A$88&gt;35,BD20+BC21-BL20,IF(A21&lt;'Données projet'!$A$88,$BA$205^A21,IF(A21='Données projet'!$A$88,'Données projet'!$B$88,BD20+BC21-BL20)))</f>
        <v>53.602576283963728</v>
      </c>
      <c r="BE21" s="14">
        <f>BD21*VLOOKUP('Données projet'!$B$11,Paramètres!$A$1:$I$89,3,0)*VLOOKUP('Données projet'!$B$11,Paramètres!$A$1:$I$89,5,0)</f>
        <v>29.963840142735723</v>
      </c>
      <c r="BF21" s="14">
        <f t="shared" si="37"/>
        <v>9.2955178812916941</v>
      </c>
      <c r="BG21" s="22">
        <f t="shared" si="7"/>
        <v>68.376715225181087</v>
      </c>
      <c r="BH21" s="62">
        <f t="shared" si="8"/>
        <v>347.04338189184779</v>
      </c>
      <c r="BI21" s="62">
        <f ca="1">AVERAGE(OFFSET($BH$3,0,0,'Données projet'!$E$11+1,1))-AVERAGE(OFFSET($H$3,0,0,'Données projet'!$E$11+1,1))</f>
        <v>365.70510182727895</v>
      </c>
      <c r="BJ21" s="62">
        <f t="shared" si="38"/>
        <v>436.23833844962525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13.666666666666666</v>
      </c>
      <c r="N22" s="14">
        <f>IF('Données projet'!$A$36&gt;35,N21+M22-V21,IF(A22&lt;'Données projet'!$A$36,$K$205^A22,IF(A22='Données projet'!$A$36,'Données projet'!$B$36,N21+M22-V21)))</f>
        <v>97.666666666666671</v>
      </c>
      <c r="O22" s="14">
        <f>N22*VLOOKUP('Données projet'!$B$9,Paramètres!$A$1:$I$89,3,0)*VLOOKUP('Données projet'!$B$9,Paramètres!$A$1:$I$89,5,0)</f>
        <v>58.404666666666671</v>
      </c>
      <c r="P22" s="14">
        <f t="shared" si="33"/>
        <v>16.764288254088292</v>
      </c>
      <c r="Q22" s="22">
        <f t="shared" si="2"/>
        <v>130.91926315364825</v>
      </c>
      <c r="R22" s="62">
        <f t="shared" si="0"/>
        <v>410.80815204253713</v>
      </c>
      <c r="S22" s="62">
        <f ca="1">AVERAGE(OFFSET($R$3,0,0,'Données projet'!$E$9+1,1))-AVERAGE(OFFSET($H$3,0,0,'Données projet'!$E$9+1,1))</f>
        <v>207.99520960626666</v>
      </c>
      <c r="T22" s="62">
        <f t="shared" si="34"/>
        <v>306.39565990874775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12.926635101127292</v>
      </c>
      <c r="AC22" s="24">
        <f t="shared" si="3"/>
        <v>12.926635101127292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375.85402022428224</v>
      </c>
      <c r="AN22" s="62">
        <f ca="1">AVERAGE(OFFSET($AM$3,0,0,'Données projet'!$E$10+1,1))-AVERAGE(OFFSET($H$3,0,0,'Données projet'!$E$10+1,1))</f>
        <v>259.74478933784656</v>
      </c>
      <c r="AO22" s="62">
        <f t="shared" si="36"/>
        <v>223.74038909289646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7.0434782608695654</v>
      </c>
      <c r="BD22" s="13">
        <f>IF('Données projet'!$A$88&gt;35,BD21+BC22-BL21,IF(A22&lt;'Données projet'!$A$88,$BA$205^A22,IF(A22='Données projet'!$A$88,'Données projet'!$B$88,BD21+BC22-BL21)))</f>
        <v>66.87311196932707</v>
      </c>
      <c r="BE22" s="14">
        <f>BD22*VLOOKUP('Données projet'!$B$11,Paramètres!$A$1:$I$89,3,0)*VLOOKUP('Données projet'!$B$11,Paramètres!$A$1:$I$89,5,0)</f>
        <v>37.382069590853831</v>
      </c>
      <c r="BF22" s="14">
        <f t="shared" si="37"/>
        <v>11.302054404999595</v>
      </c>
      <c r="BG22" s="22">
        <f t="shared" si="7"/>
        <v>84.791515959444709</v>
      </c>
      <c r="BH22" s="62">
        <f t="shared" si="8"/>
        <v>364.68040484833358</v>
      </c>
      <c r="BI22" s="62">
        <f ca="1">AVERAGE(OFFSET($BH$3,0,0,'Données projet'!$E$11+1,1))-AVERAGE(OFFSET($H$3,0,0,'Données projet'!$E$11+1,1))</f>
        <v>365.70510182727895</v>
      </c>
      <c r="BJ22" s="62">
        <f t="shared" si="38"/>
        <v>436.23833844962525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13.666666666666666</v>
      </c>
      <c r="N23" s="14">
        <f>IF('Données projet'!$A$36&gt;35,N22+M23-V22,IF(A23&lt;'Données projet'!$A$36,$K$205^A23,IF(A23='Données projet'!$A$36,'Données projet'!$B$36,N22+M23-V22)))</f>
        <v>111.33333333333334</v>
      </c>
      <c r="O23" s="14">
        <f>N23*VLOOKUP('Données projet'!$B$9,Paramètres!$A$1:$I$89,3,0)*VLOOKUP('Données projet'!$B$9,Paramètres!$A$1:$I$89,5,0)</f>
        <v>66.577333333333343</v>
      </c>
      <c r="P23" s="14">
        <f t="shared" si="33"/>
        <v>18.821024864454692</v>
      </c>
      <c r="Q23" s="22">
        <f t="shared" si="2"/>
        <v>148.73547386114751</v>
      </c>
      <c r="R23" s="62">
        <f t="shared" si="0"/>
        <v>429.84658497225865</v>
      </c>
      <c r="S23" s="62">
        <f ca="1">AVERAGE(OFFSET($R$3,0,0,'Données projet'!$E$9+1,1))-AVERAGE(OFFSET($H$3,0,0,'Données projet'!$E$9+1,1))</f>
        <v>207.99520960626666</v>
      </c>
      <c r="T23" s="62">
        <f t="shared" si="34"/>
        <v>306.39565990874775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9.1405113379311622</v>
      </c>
      <c r="AC23" s="24">
        <f t="shared" si="3"/>
        <v>9.1405113379311622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402.01068734212339</v>
      </c>
      <c r="AN23" s="62">
        <f ca="1">AVERAGE(OFFSET($AM$3,0,0,'Données projet'!$E$10+1,1))-AVERAGE(OFFSET($H$3,0,0,'Données projet'!$E$10+1,1))</f>
        <v>259.74478933784656</v>
      </c>
      <c r="AO23" s="62">
        <f t="shared" si="36"/>
        <v>223.74038909289646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0.11000000000000001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7.0434782608695654</v>
      </c>
      <c r="BD23" s="13">
        <f>IF('Données projet'!$A$88&gt;35,BD22+BC23-BL22,IF(A23&lt;'Données projet'!$A$88,$BA$205^A23,IF(A23='Données projet'!$A$88,'Données projet'!$B$88,BD22+BC23-BL22)))</f>
        <v>83.429070288922773</v>
      </c>
      <c r="BE23" s="14">
        <f>BD23*VLOOKUP('Données projet'!$B$11,Paramètres!$A$1:$I$89,3,0)*VLOOKUP('Données projet'!$B$11,Paramètres!$A$1:$I$89,5,0)</f>
        <v>46.636850291507827</v>
      </c>
      <c r="BF23" s="14">
        <f t="shared" si="37"/>
        <v>13.741723205186346</v>
      </c>
      <c r="BG23" s="22">
        <f t="shared" si="7"/>
        <v>105.15934884007568</v>
      </c>
      <c r="BH23" s="62">
        <f t="shared" si="8"/>
        <v>386.27045995118681</v>
      </c>
      <c r="BI23" s="62">
        <f ca="1">AVERAGE(OFFSET($BH$3,0,0,'Données projet'!$E$11+1,1))-AVERAGE(OFFSET($H$3,0,0,'Données projet'!$E$11+1,1))</f>
        <v>365.70510182727895</v>
      </c>
      <c r="BJ23" s="62">
        <f t="shared" si="38"/>
        <v>436.23833844962525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13.666666666666666</v>
      </c>
      <c r="N24" s="14">
        <f>IF('Données projet'!$A$36&gt;35,N23+M24-V23,IF(A24&lt;'Données projet'!$A$36,$K$205^A24,IF(A24='Données projet'!$A$36,'Données projet'!$B$36,N23+M24-V23)))</f>
        <v>125.00000000000001</v>
      </c>
      <c r="O24" s="14">
        <f>N24*VLOOKUP('Données projet'!$B$9,Paramètres!$A$1:$I$89,3,0)*VLOOKUP('Données projet'!$B$9,Paramètres!$A$1:$I$89,5,0)</f>
        <v>74.750000000000014</v>
      </c>
      <c r="P24" s="14">
        <f t="shared" si="33"/>
        <v>20.848505019312213</v>
      </c>
      <c r="Q24" s="22">
        <f t="shared" si="2"/>
        <v>166.50072957530213</v>
      </c>
      <c r="R24" s="62">
        <f t="shared" si="0"/>
        <v>448.83406290863547</v>
      </c>
      <c r="S24" s="62">
        <f ca="1">AVERAGE(OFFSET($R$3,0,0,'Données projet'!$E$9+1,1))-AVERAGE(OFFSET($H$3,0,0,'Données projet'!$E$9+1,1))</f>
        <v>207.99520960626666</v>
      </c>
      <c r="T24" s="62">
        <f t="shared" si="34"/>
        <v>306.39565990874775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6.4633175505636471</v>
      </c>
      <c r="AC24" s="24">
        <f t="shared" si="3"/>
        <v>6.4633175505636471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121.5</v>
      </c>
      <c r="AJ24" s="14">
        <f>AI24*VLOOKUP('Données projet'!$B$10,Paramètres!$A$1:$I$89,3,0)*VLOOKUP('Données projet'!$B$10,Paramètres!$A$1:$I$89,5,0)</f>
        <v>56.861999999999995</v>
      </c>
      <c r="AK24" s="14">
        <f t="shared" si="35"/>
        <v>16.372420859571687</v>
      </c>
      <c r="AL24" s="22">
        <f t="shared" si="4"/>
        <v>127.54994966375402</v>
      </c>
      <c r="AM24" s="62">
        <f t="shared" si="5"/>
        <v>409.88328299708735</v>
      </c>
      <c r="AN24" s="62">
        <f ca="1">AVERAGE(OFFSET($AM$3,0,0,'Données projet'!$E$10+1,1))-AVERAGE(OFFSET($H$3,0,0,'Données projet'!$E$10+1,1))</f>
        <v>259.74478933784656</v>
      </c>
      <c r="AO24" s="62">
        <f t="shared" si="36"/>
        <v>223.74038909289646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7.0434782608695654</v>
      </c>
      <c r="BD24" s="13">
        <f>IF('Données projet'!$A$88&gt;35,BD23+BC24-BL23,IF(A24&lt;'Données projet'!$A$88,$BA$205^A24,IF(A24='Données projet'!$A$88,'Données projet'!$B$88,BD23+BC24-BL23)))</f>
        <v>104.08383226529931</v>
      </c>
      <c r="BE24" s="14">
        <f>BD24*VLOOKUP('Données projet'!$B$11,Paramètres!$A$1:$I$89,3,0)*VLOOKUP('Données projet'!$B$11,Paramètres!$A$1:$I$89,5,0)</f>
        <v>58.182862236302313</v>
      </c>
      <c r="BF24" s="14">
        <f t="shared" si="37"/>
        <v>16.708020496204991</v>
      </c>
      <c r="BG24" s="22">
        <f t="shared" si="7"/>
        <v>130.43495409245023</v>
      </c>
      <c r="BH24" s="62">
        <f t="shared" si="8"/>
        <v>412.76828742578357</v>
      </c>
      <c r="BI24" s="62">
        <f ca="1">AVERAGE(OFFSET($BH$3,0,0,'Données projet'!$E$11+1,1))-AVERAGE(OFFSET($H$3,0,0,'Données projet'!$E$11+1,1))</f>
        <v>365.70510182727895</v>
      </c>
      <c r="BJ24" s="62">
        <f t="shared" si="38"/>
        <v>436.23833844962525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13.666666666666666</v>
      </c>
      <c r="N25" s="14">
        <f>IF('Données projet'!$A$36&gt;35,N24+M25-V24,IF(A25&lt;'Données projet'!$A$36,$K$205^A25,IF(A25='Données projet'!$A$36,'Données projet'!$B$36,N24+M25-V24)))</f>
        <v>138.66666666666669</v>
      </c>
      <c r="O25" s="14">
        <f>N25*VLOOKUP('Données projet'!$B$9,Paramètres!$A$1:$I$89,3,0)*VLOOKUP('Données projet'!$B$9,Paramètres!$A$1:$I$89,5,0)</f>
        <v>82.922666666666686</v>
      </c>
      <c r="P25" s="14">
        <f t="shared" si="33"/>
        <v>22.850292162919715</v>
      </c>
      <c r="Q25" s="22">
        <f t="shared" si="2"/>
        <v>184.22123662819629</v>
      </c>
      <c r="R25" s="62">
        <f t="shared" si="0"/>
        <v>467.77679218375181</v>
      </c>
      <c r="S25" s="62">
        <f ca="1">AVERAGE(OFFSET($R$3,0,0,'Données projet'!$E$9+1,1))-AVERAGE(OFFSET($H$3,0,0,'Données projet'!$E$9+1,1))</f>
        <v>207.99520960626666</v>
      </c>
      <c r="T25" s="62">
        <f t="shared" si="34"/>
        <v>306.39565990874775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4.5702556689655811</v>
      </c>
      <c r="AC25" s="24">
        <f t="shared" si="3"/>
        <v>4.5702556689655811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128</v>
      </c>
      <c r="AJ25" s="14">
        <f>AI25*VLOOKUP('Données projet'!$B$10,Paramètres!$A$1:$I$89,3,0)*VLOOKUP('Données projet'!$B$10,Paramètres!$A$1:$I$89,5,0)</f>
        <v>59.903999999999996</v>
      </c>
      <c r="AK25" s="14">
        <f t="shared" si="35"/>
        <v>17.143994938960184</v>
      </c>
      <c r="AL25" s="22">
        <f t="shared" si="4"/>
        <v>134.19192451868898</v>
      </c>
      <c r="AM25" s="62">
        <f t="shared" si="5"/>
        <v>417.74748007424455</v>
      </c>
      <c r="AN25" s="62">
        <f ca="1">AVERAGE(OFFSET($AM$3,0,0,'Données projet'!$E$10+1,1))-AVERAGE(OFFSET($H$3,0,0,'Données projet'!$E$10+1,1))</f>
        <v>259.74478933784656</v>
      </c>
      <c r="AO25" s="62">
        <f t="shared" si="36"/>
        <v>223.74038909289646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7.0434782608695654</v>
      </c>
      <c r="BD25" s="13">
        <f>IF('Données projet'!$A$88&gt;35,BD24+BC25-BL24,IF(A25&lt;'Données projet'!$A$88,$BA$205^A25,IF(A25='Données projet'!$A$88,'Données projet'!$B$88,BD24+BC25-BL24)))</f>
        <v>129.852149874303</v>
      </c>
      <c r="BE25" s="14">
        <f>BD25*VLOOKUP('Données projet'!$B$11,Paramètres!$A$1:$I$89,3,0)*VLOOKUP('Données projet'!$B$11,Paramètres!$A$1:$I$89,5,0)</f>
        <v>72.587351779735371</v>
      </c>
      <c r="BF25" s="14">
        <f t="shared" si="37"/>
        <v>20.314624645928472</v>
      </c>
      <c r="BG25" s="22">
        <f t="shared" si="7"/>
        <v>161.80427560803119</v>
      </c>
      <c r="BH25" s="62">
        <f t="shared" si="8"/>
        <v>445.3598311635867</v>
      </c>
      <c r="BI25" s="62">
        <f ca="1">AVERAGE(OFFSET($BH$3,0,0,'Données projet'!$E$11+1,1))-AVERAGE(OFFSET($H$3,0,0,'Données projet'!$E$11+1,1))</f>
        <v>365.70510182727895</v>
      </c>
      <c r="BJ25" s="62">
        <f t="shared" si="38"/>
        <v>436.23833844962525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13.666666666666666</v>
      </c>
      <c r="N26" s="14">
        <f>IF('Données projet'!$A$36&gt;35,N25+M26-V25,IF(A26&lt;'Données projet'!$A$36,$K$205^A26,IF(A26='Données projet'!$A$36,'Données projet'!$B$36,N25+M26-V25)))</f>
        <v>152.33333333333334</v>
      </c>
      <c r="O26" s="14">
        <f>N26*VLOOKUP('Données projet'!$B$9,Paramètres!$A$1:$I$89,3,0)*VLOOKUP('Données projet'!$B$9,Paramètres!$A$1:$I$89,5,0)</f>
        <v>91.095333333333343</v>
      </c>
      <c r="P26" s="14">
        <f t="shared" si="33"/>
        <v>24.829206746042935</v>
      </c>
      <c r="Q26" s="22">
        <f t="shared" si="2"/>
        <v>201.90190730491364</v>
      </c>
      <c r="R26" s="62">
        <f t="shared" si="0"/>
        <v>486.67968508269144</v>
      </c>
      <c r="S26" s="62">
        <f ca="1">AVERAGE(OFFSET($R$3,0,0,'Données projet'!$E$9+1,1))-AVERAGE(OFFSET($H$3,0,0,'Données projet'!$E$9+1,1))</f>
        <v>207.99520960626666</v>
      </c>
      <c r="T26" s="62">
        <f t="shared" si="34"/>
        <v>306.39565990874775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3.2316587752818235</v>
      </c>
      <c r="AC26" s="24">
        <f t="shared" si="3"/>
        <v>3.2316587752818235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134.5</v>
      </c>
      <c r="AJ26" s="14">
        <f>AI26*VLOOKUP('Données projet'!$B$10,Paramètres!$A$1:$I$89,3,0)*VLOOKUP('Données projet'!$B$10,Paramètres!$A$1:$I$89,5,0)</f>
        <v>62.946000000000005</v>
      </c>
      <c r="AK26" s="14">
        <f t="shared" si="35"/>
        <v>17.911019680519331</v>
      </c>
      <c r="AL26" s="22">
        <f t="shared" si="4"/>
        <v>140.82597594357114</v>
      </c>
      <c r="AM26" s="62">
        <f t="shared" si="5"/>
        <v>425.60375372134888</v>
      </c>
      <c r="AN26" s="62">
        <f ca="1">AVERAGE(OFFSET($AM$3,0,0,'Données projet'!$E$10+1,1))-AVERAGE(OFFSET($H$3,0,0,'Données projet'!$E$10+1,1))</f>
        <v>259.74478933784656</v>
      </c>
      <c r="AO26" s="62">
        <f t="shared" si="36"/>
        <v>223.74038909289646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162</v>
      </c>
      <c r="BB26" s="13">
        <f>VLOOKUP(A26,'Données projet'!$A$87:$I$107,9,0)</f>
        <v>7.0434782608695654</v>
      </c>
      <c r="BC26" s="13">
        <f t="array" ref="BC26">INDEX(BB:BB,MIN(IF(ISNUMBER(BB26:BB222),ROW(BB26:BB222),"")))</f>
        <v>7.0434782608695654</v>
      </c>
      <c r="BD26" s="13">
        <f>IF('Données projet'!$A$88&gt;35,BD25+BC26-BL25,IF(A26&lt;'Données projet'!$A$88,$BA$205^A26,IF(A26='Données projet'!$A$88,'Données projet'!$B$88,BD25+BC26-BL25)))</f>
        <v>162</v>
      </c>
      <c r="BE26" s="14">
        <f>BD26*VLOOKUP('Données projet'!$B$11,Paramètres!$A$1:$I$89,3,0)*VLOOKUP('Données projet'!$B$11,Paramètres!$A$1:$I$89,5,0)</f>
        <v>90.557999999999993</v>
      </c>
      <c r="BF26" s="14">
        <f t="shared" si="37"/>
        <v>24.699752708509138</v>
      </c>
      <c r="BG26" s="22">
        <f t="shared" si="7"/>
        <v>200.74058596732007</v>
      </c>
      <c r="BH26" s="62">
        <f t="shared" si="8"/>
        <v>485.51836374509787</v>
      </c>
      <c r="BI26" s="62">
        <f ca="1">AVERAGE(OFFSET($BH$3,0,0,'Données projet'!$E$11+1,1))-AVERAGE(OFFSET($H$3,0,0,'Données projet'!$E$11+1,1))</f>
        <v>365.70510182727895</v>
      </c>
      <c r="BJ26" s="62">
        <f t="shared" si="38"/>
        <v>436.23833844962525</v>
      </c>
      <c r="BK26" s="16">
        <f>IF(ISNA(VLOOKUP(A26,'Données projet'!$A$87:$I$107,3,0)),0,VLOOKUP(A26,'Données projet'!$A$87:$I$107,3,0))</f>
        <v>1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5.5000000000000007E-2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0.9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166</v>
      </c>
      <c r="L27" s="13">
        <f>VLOOKUP(A27,'Données projet'!$A$35:$I$55,9,0)</f>
        <v>13.666666666666666</v>
      </c>
      <c r="M27" s="13">
        <f t="array" ref="M27">INDEX(L:L,MIN(IF(ISNUMBER(L27:L223),ROW(L27:L223),"")))</f>
        <v>13.666666666666666</v>
      </c>
      <c r="N27" s="14">
        <f>IF('Données projet'!$A$36&gt;35,N26+M27-V26,IF(A27&lt;'Données projet'!$A$36,$K$205^A27,IF(A27='Données projet'!$A$36,'Données projet'!$B$36,N26+M27-V26)))</f>
        <v>166</v>
      </c>
      <c r="O27" s="14">
        <f>N27*VLOOKUP('Données projet'!$B$9,Paramètres!$A$1:$I$89,3,0)*VLOOKUP('Données projet'!$B$9,Paramètres!$A$1:$I$89,5,0)</f>
        <v>99.268000000000001</v>
      </c>
      <c r="P27" s="14">
        <f t="shared" si="33"/>
        <v>26.78753414535981</v>
      </c>
      <c r="Q27" s="22">
        <f t="shared" si="2"/>
        <v>219.54672196983498</v>
      </c>
      <c r="R27" s="62">
        <f t="shared" si="0"/>
        <v>505.54672196983495</v>
      </c>
      <c r="S27" s="62">
        <f ca="1">AVERAGE(OFFSET($R$3,0,0,'Données projet'!$E$9+1,1))-AVERAGE(OFFSET($H$3,0,0,'Données projet'!$E$9+1,1))</f>
        <v>207.99520960626666</v>
      </c>
      <c r="T27" s="62">
        <f t="shared" si="34"/>
        <v>306.39565990874775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38</v>
      </c>
      <c r="W27" s="17">
        <f>IF(ISNA(VLOOKUP(A27,'Données projet'!$A$35:$I$55,5,0)),0%,VLOOKUP(A27,'Données projet'!$A$35:$I$55,5,0)*VLOOKUP('Données projet'!$B$9,Paramètres!$A$1:$I$89,7,0))</f>
        <v>0.13500000000000001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0.7</v>
      </c>
      <c r="Z27" s="23">
        <f>EXP(-LN(2)/35)*Z26+(1-EXP(-LN(2)/35))/(LN(2)/35)*V27*W27*VLOOKUP('Données projet'!$B$9,Paramètres!$A$1:$I$89,3,0)*0.475*44/12</f>
        <v>4.0695548425300956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20.295320544776779</v>
      </c>
      <c r="AC27" s="24">
        <f t="shared" si="3"/>
        <v>24.364875387306874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141</v>
      </c>
      <c r="AJ27" s="14">
        <f>AI27*VLOOKUP('Données projet'!$B$10,Paramètres!$A$1:$I$89,3,0)*VLOOKUP('Données projet'!$B$10,Paramètres!$A$1:$I$89,5,0)</f>
        <v>65.988</v>
      </c>
      <c r="AK27" s="14">
        <f t="shared" si="35"/>
        <v>18.67374003807944</v>
      </c>
      <c r="AL27" s="22">
        <f t="shared" si="4"/>
        <v>147.45253056632168</v>
      </c>
      <c r="AM27" s="62">
        <f t="shared" si="5"/>
        <v>433.45253056632168</v>
      </c>
      <c r="AN27" s="62">
        <f ca="1">AVERAGE(OFFSET($AM$3,0,0,'Données projet'!$E$10+1,1))-AVERAGE(OFFSET($H$3,0,0,'Données projet'!$E$10+1,1))</f>
        <v>259.74478933784656</v>
      </c>
      <c r="AO27" s="62">
        <f t="shared" si="36"/>
        <v>223.74038909289646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28</v>
      </c>
      <c r="BD27" s="13">
        <f>IF('Données projet'!$A$88&gt;35,BD26+BC27-BL26,IF(A27&lt;'Données projet'!$A$88,$BA$205^A27,IF(A27='Données projet'!$A$88,'Données projet'!$B$88,BD26+BC27-BL26)))</f>
        <v>190</v>
      </c>
      <c r="BE27" s="14">
        <f>BD27*VLOOKUP('Données projet'!$B$11,Paramètres!$A$1:$I$89,3,0)*VLOOKUP('Données projet'!$B$11,Paramètres!$A$1:$I$89,5,0)</f>
        <v>106.21000000000001</v>
      </c>
      <c r="BF27" s="14">
        <f t="shared" si="37"/>
        <v>28.436217026228483</v>
      </c>
      <c r="BG27" s="22">
        <f t="shared" si="7"/>
        <v>234.50882798734798</v>
      </c>
      <c r="BH27" s="62">
        <f t="shared" si="8"/>
        <v>520.50882798734801</v>
      </c>
      <c r="BI27" s="62">
        <f ca="1">AVERAGE(OFFSET($BH$3,0,0,'Données projet'!$E$11+1,1))-AVERAGE(OFFSET($H$3,0,0,'Données projet'!$E$11+1,1))</f>
        <v>365.70510182727895</v>
      </c>
      <c r="BJ27" s="62">
        <f t="shared" si="38"/>
        <v>436.23833844962525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12.833333333333334</v>
      </c>
      <c r="N28" s="14">
        <f>IF('Données projet'!$A$36&gt;35,N27+M28-V27,IF(A28&lt;'Données projet'!$A$36,$K$205^A28,IF(A28='Données projet'!$A$36,'Données projet'!$B$36,N27+M28-V27)))</f>
        <v>140.83333333333334</v>
      </c>
      <c r="O28" s="14">
        <f>N28*VLOOKUP('Données projet'!$B$9,Paramètres!$A$1:$I$89,3,0)*VLOOKUP('Données projet'!$B$9,Paramètres!$A$1:$I$89,5,0)</f>
        <v>84.218333333333348</v>
      </c>
      <c r="P28" s="14">
        <f t="shared" si="33"/>
        <v>23.165483776806148</v>
      </c>
      <c r="Q28" s="22">
        <f t="shared" si="2"/>
        <v>187.0268148001596</v>
      </c>
      <c r="R28" s="62">
        <f t="shared" si="0"/>
        <v>474.2490370223818</v>
      </c>
      <c r="S28" s="62">
        <f ca="1">AVERAGE(OFFSET($R$3,0,0,'Données projet'!$E$9+1,1))-AVERAGE(OFFSET($H$3,0,0,'Données projet'!$E$9+1,1))</f>
        <v>207.99520960626666</v>
      </c>
      <c r="T28" s="62">
        <f t="shared" si="34"/>
        <v>306.39565990874775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3.9897533542514392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14.350958783566318</v>
      </c>
      <c r="AC28" s="24">
        <f t="shared" si="3"/>
        <v>18.340712137817757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147.5</v>
      </c>
      <c r="AJ28" s="14">
        <f>AI28*VLOOKUP('Données projet'!$B$10,Paramètres!$A$1:$I$89,3,0)*VLOOKUP('Données projet'!$B$10,Paramètres!$A$1:$I$89,5,0)</f>
        <v>69.03</v>
      </c>
      <c r="AK28" s="14">
        <f t="shared" si="35"/>
        <v>19.432377104615718</v>
      </c>
      <c r="AL28" s="22">
        <f t="shared" si="4"/>
        <v>154.0719734572057</v>
      </c>
      <c r="AM28" s="62">
        <f t="shared" si="5"/>
        <v>441.29419567942796</v>
      </c>
      <c r="AN28" s="62">
        <f ca="1">AVERAGE(OFFSET($AM$3,0,0,'Données projet'!$E$10+1,1))-AVERAGE(OFFSET($H$3,0,0,'Données projet'!$E$10+1,1))</f>
        <v>259.74478933784656</v>
      </c>
      <c r="AO28" s="62">
        <f t="shared" si="36"/>
        <v>223.74038909289646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218</v>
      </c>
      <c r="BB28" s="13">
        <f>VLOOKUP(A28,'Données projet'!$A$87:$I$107,9,0)</f>
        <v>28</v>
      </c>
      <c r="BC28" s="13">
        <f t="array" ref="BC28">INDEX(BB:BB,MIN(IF(ISNUMBER(BB28:BB224),ROW(BB28:BB224),"")))</f>
        <v>28</v>
      </c>
      <c r="BD28" s="13">
        <f>IF('Données projet'!$A$88&gt;35,BD27+BC28-BL27,IF(A28&lt;'Données projet'!$A$88,$BA$205^A28,IF(A28='Données projet'!$A$88,'Données projet'!$B$88,BD27+BC28-BL27)))</f>
        <v>218</v>
      </c>
      <c r="BE28" s="14">
        <f>BD28*VLOOKUP('Données projet'!$B$11,Paramètres!$A$1:$I$89,3,0)*VLOOKUP('Données projet'!$B$11,Paramètres!$A$1:$I$89,5,0)</f>
        <v>121.86199999999999</v>
      </c>
      <c r="BF28" s="14">
        <f t="shared" si="37"/>
        <v>32.108890276712884</v>
      </c>
      <c r="BG28" s="22">
        <f t="shared" si="7"/>
        <v>268.16596723194158</v>
      </c>
      <c r="BH28" s="62">
        <f t="shared" si="8"/>
        <v>555.38818945416381</v>
      </c>
      <c r="BI28" s="62">
        <f ca="1">AVERAGE(OFFSET($BH$3,0,0,'Données projet'!$E$11+1,1))-AVERAGE(OFFSET($H$3,0,0,'Données projet'!$E$11+1,1))</f>
        <v>365.70510182727895</v>
      </c>
      <c r="BJ28" s="62">
        <f t="shared" si="38"/>
        <v>436.23833844962525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14</v>
      </c>
      <c r="BM28" s="17">
        <f>IF(ISNA(VLOOKUP(A28,'Données projet'!$A$87:$I$107,5,0)),0%,VLOOKUP(A28,'Données projet'!$A$87:$I$107,5,0)*VLOOKUP('Données projet'!$B$11,Paramètres!$A$1:$I$89,7,0))</f>
        <v>0.13750000000000001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0.75</v>
      </c>
      <c r="BP28" s="23">
        <f>EXP(-LN(2)/35)*BP27+(1-EXP(-LN(2)/35))/(LN(2)/35)*BL28*BM28*VLOOKUP('Données projet'!$B$11,Paramètres!$A$1:$I$89,3,0)*0.475*44/12</f>
        <v>1.4274828463871032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6.6456374703315921</v>
      </c>
      <c r="BS28" s="24">
        <f t="shared" si="9"/>
        <v>8.0731203167186951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12.833333333333334</v>
      </c>
      <c r="N29" s="14">
        <f>IF('Données projet'!$A$36&gt;35,N28+M29-V28,IF(A29&lt;'Données projet'!$A$36,$K$205^A29,IF(A29='Données projet'!$A$36,'Données projet'!$B$36,N28+M29-V28)))</f>
        <v>153.66666666666669</v>
      </c>
      <c r="O29" s="14">
        <f>N29*VLOOKUP('Données projet'!$B$9,Paramètres!$A$1:$I$89,3,0)*VLOOKUP('Données projet'!$B$9,Paramètres!$A$1:$I$89,5,0)</f>
        <v>91.892666666666685</v>
      </c>
      <c r="P29" s="14">
        <f t="shared" si="33"/>
        <v>25.021136263266175</v>
      </c>
      <c r="Q29" s="22">
        <f t="shared" si="2"/>
        <v>203.62487343629971</v>
      </c>
      <c r="R29" s="62">
        <f t="shared" si="0"/>
        <v>492.06931788074417</v>
      </c>
      <c r="S29" s="62">
        <f ca="1">AVERAGE(OFFSET($R$3,0,0,'Données projet'!$E$9+1,1))-AVERAGE(OFFSET($H$3,0,0,'Données projet'!$E$9+1,1))</f>
        <v>207.99520960626666</v>
      </c>
      <c r="T29" s="62">
        <f t="shared" si="34"/>
        <v>306.39565990874775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3.9115167244838256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10.147660272388391</v>
      </c>
      <c r="AC29" s="24">
        <f t="shared" si="3"/>
        <v>14.059176996872218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154</v>
      </c>
      <c r="AJ29" s="14">
        <f>AI29*VLOOKUP('Données projet'!$B$10,Paramètres!$A$1:$I$89,3,0)*VLOOKUP('Données projet'!$B$10,Paramètres!$A$1:$I$89,5,0)</f>
        <v>72.072000000000003</v>
      </c>
      <c r="AK29" s="14">
        <f t="shared" si="35"/>
        <v>20.187131385147271</v>
      </c>
      <c r="AL29" s="22">
        <f t="shared" si="4"/>
        <v>160.68465382913149</v>
      </c>
      <c r="AM29" s="62">
        <f t="shared" si="5"/>
        <v>449.12909827357595</v>
      </c>
      <c r="AN29" s="62">
        <f ca="1">AVERAGE(OFFSET($AM$3,0,0,'Données projet'!$E$10+1,1))-AVERAGE(OFFSET($H$3,0,0,'Données projet'!$E$10+1,1))</f>
        <v>259.74478933784656</v>
      </c>
      <c r="AO29" s="62">
        <f t="shared" si="36"/>
        <v>223.74038909289646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24.8</v>
      </c>
      <c r="BD29" s="13">
        <f>IF('Données projet'!$A$88&gt;35,BD28+BC29-BL28,IF(A29&lt;'Données projet'!$A$88,$BA$205^A29,IF(A29='Données projet'!$A$88,'Données projet'!$B$88,BD28+BC29-BL28)))</f>
        <v>228.8</v>
      </c>
      <c r="BE29" s="14">
        <f>BD29*VLOOKUP('Données projet'!$B$11,Paramètres!$A$1:$I$89,3,0)*VLOOKUP('Données projet'!$B$11,Paramètres!$A$1:$I$89,5,0)</f>
        <v>127.89920000000001</v>
      </c>
      <c r="BF29" s="14">
        <f t="shared" si="37"/>
        <v>33.510466808314675</v>
      </c>
      <c r="BG29" s="22">
        <f t="shared" si="7"/>
        <v>281.12183635781474</v>
      </c>
      <c r="BH29" s="62">
        <f t="shared" si="8"/>
        <v>569.56628080225914</v>
      </c>
      <c r="BI29" s="62">
        <f ca="1">AVERAGE(OFFSET($BH$3,0,0,'Données projet'!$E$11+1,1))-AVERAGE(OFFSET($H$3,0,0,'Données projet'!$E$11+1,1))</f>
        <v>365.70510182727895</v>
      </c>
      <c r="BJ29" s="62">
        <f t="shared" si="38"/>
        <v>436.23833844962525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1.3994907784480159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4.6991753205788829</v>
      </c>
      <c r="BS29" s="24">
        <f t="shared" si="9"/>
        <v>6.0986660990268984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12.833333333333334</v>
      </c>
      <c r="N30" s="14">
        <f>IF('Données projet'!$A$36&gt;35,N29+M30-V29,IF(A30&lt;'Données projet'!$A$36,$K$205^A30,IF(A30='Données projet'!$A$36,'Données projet'!$B$36,N29+M30-V29)))</f>
        <v>166.50000000000003</v>
      </c>
      <c r="O30" s="14">
        <f>N30*VLOOKUP('Données projet'!$B$9,Paramètres!$A$1:$I$89,3,0)*VLOOKUP('Données projet'!$B$9,Paramètres!$A$1:$I$89,5,0)</f>
        <v>99.567000000000021</v>
      </c>
      <c r="P30" s="14">
        <f t="shared" si="33"/>
        <v>26.858815231289142</v>
      </c>
      <c r="Q30" s="22">
        <f t="shared" si="2"/>
        <v>220.19162819449528</v>
      </c>
      <c r="R30" s="62">
        <f t="shared" si="0"/>
        <v>509.85829486116199</v>
      </c>
      <c r="S30" s="62">
        <f ca="1">AVERAGE(OFFSET($R$3,0,0,'Données projet'!$E$9+1,1))-AVERAGE(OFFSET($H$3,0,0,'Données projet'!$E$9+1,1))</f>
        <v>207.99520960626666</v>
      </c>
      <c r="T30" s="62">
        <f t="shared" si="34"/>
        <v>306.39565990874775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3.8348142673063226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7.1754793917831599</v>
      </c>
      <c r="AC30" s="24">
        <f t="shared" si="3"/>
        <v>11.010293659089482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160.5</v>
      </c>
      <c r="AJ30" s="14">
        <f>AI30*VLOOKUP('Données projet'!$B$10,Paramètres!$A$1:$I$89,3,0)*VLOOKUP('Données projet'!$B$10,Paramètres!$A$1:$I$89,5,0)</f>
        <v>75.114000000000004</v>
      </c>
      <c r="AK30" s="14">
        <f t="shared" si="35"/>
        <v>20.938185501492693</v>
      </c>
      <c r="AL30" s="22">
        <f t="shared" si="4"/>
        <v>167.2908897484331</v>
      </c>
      <c r="AM30" s="62">
        <f t="shared" si="5"/>
        <v>456.95755641509982</v>
      </c>
      <c r="AN30" s="62">
        <f ca="1">AVERAGE(OFFSET($AM$3,0,0,'Données projet'!$E$10+1,1))-AVERAGE(OFFSET($H$3,0,0,'Données projet'!$E$10+1,1))</f>
        <v>259.74478933784656</v>
      </c>
      <c r="AO30" s="62">
        <f t="shared" si="36"/>
        <v>223.74038909289646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24.8</v>
      </c>
      <c r="BD30" s="13">
        <f>IF('Données projet'!$A$88&gt;35,BD29+BC30-BL29,IF(A30&lt;'Données projet'!$A$88,$BA$205^A30,IF(A30='Données projet'!$A$88,'Données projet'!$B$88,BD29+BC30-BL29)))</f>
        <v>253.60000000000002</v>
      </c>
      <c r="BE30" s="14">
        <f>BD30*VLOOKUP('Données projet'!$B$11,Paramètres!$A$1:$I$89,3,0)*VLOOKUP('Données projet'!$B$11,Paramètres!$A$1:$I$89,5,0)</f>
        <v>141.76240000000001</v>
      </c>
      <c r="BF30" s="14">
        <f t="shared" si="37"/>
        <v>36.70045216027021</v>
      </c>
      <c r="BG30" s="22">
        <f t="shared" si="7"/>
        <v>310.82280084580395</v>
      </c>
      <c r="BH30" s="62">
        <f t="shared" si="8"/>
        <v>600.48946751247058</v>
      </c>
      <c r="BI30" s="62">
        <f ca="1">AVERAGE(OFFSET($BH$3,0,0,'Données projet'!$E$11+1,1))-AVERAGE(OFFSET($H$3,0,0,'Données projet'!$E$11+1,1))</f>
        <v>365.70510182727895</v>
      </c>
      <c r="BJ30" s="62">
        <f t="shared" si="38"/>
        <v>436.23833844962525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1.3720476178877388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3.3228187351657965</v>
      </c>
      <c r="BS30" s="24">
        <f t="shared" si="9"/>
        <v>4.6948663530535351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12.833333333333334</v>
      </c>
      <c r="N31" s="14">
        <f>IF('Données projet'!$A$36&gt;35,N30+M31-V30,IF(A31&lt;'Données projet'!$A$36,$K$205^A31,IF(A31='Données projet'!$A$36,'Données projet'!$B$36,N30+M31-V30)))</f>
        <v>179.33333333333337</v>
      </c>
      <c r="O31" s="14">
        <f>N31*VLOOKUP('Données projet'!$B$9,Paramètres!$A$1:$I$89,3,0)*VLOOKUP('Données projet'!$B$9,Paramètres!$A$1:$I$89,5,0)</f>
        <v>107.24133333333336</v>
      </c>
      <c r="P31" s="14">
        <f t="shared" si="33"/>
        <v>28.680063538962813</v>
      </c>
      <c r="Q31" s="22">
        <f t="shared" si="2"/>
        <v>236.72976621924911</v>
      </c>
      <c r="R31" s="62">
        <f t="shared" si="0"/>
        <v>527.618655108138</v>
      </c>
      <c r="S31" s="62">
        <f ca="1">AVERAGE(OFFSET($R$3,0,0,'Données projet'!$E$9+1,1))-AVERAGE(OFFSET($H$3,0,0,'Données projet'!$E$9+1,1))</f>
        <v>207.99520960626666</v>
      </c>
      <c r="T31" s="62">
        <f t="shared" si="34"/>
        <v>306.39565990874775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3.7596158985301908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5.0738301361941964</v>
      </c>
      <c r="AC31" s="24">
        <f t="shared" si="3"/>
        <v>8.8334460347243873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167</v>
      </c>
      <c r="AJ31" s="14">
        <f>AI31*VLOOKUP('Données projet'!$B$10,Paramètres!$A$1:$I$89,3,0)*VLOOKUP('Données projet'!$B$10,Paramètres!$A$1:$I$89,5,0)</f>
        <v>78.156000000000006</v>
      </c>
      <c r="AK31" s="14">
        <f t="shared" si="35"/>
        <v>21.685706446534809</v>
      </c>
      <c r="AL31" s="22">
        <f t="shared" si="4"/>
        <v>173.89097206104813</v>
      </c>
      <c r="AM31" s="62">
        <f t="shared" si="5"/>
        <v>464.77986094993696</v>
      </c>
      <c r="AN31" s="62">
        <f ca="1">AVERAGE(OFFSET($AM$3,0,0,'Données projet'!$E$10+1,1))-AVERAGE(OFFSET($H$3,0,0,'Données projet'!$E$10+1,1))</f>
        <v>259.74478933784656</v>
      </c>
      <c r="AO31" s="62">
        <f t="shared" si="36"/>
        <v>223.74038909289646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24.8</v>
      </c>
      <c r="BD31" s="13">
        <f>IF('Données projet'!$A$88&gt;35,BD30+BC31-BL30,IF(A31&lt;'Données projet'!$A$88,$BA$205^A31,IF(A31='Données projet'!$A$88,'Données projet'!$B$88,BD30+BC31-BL30)))</f>
        <v>278.40000000000003</v>
      </c>
      <c r="BE31" s="14">
        <f>BD31*VLOOKUP('Données projet'!$B$11,Paramètres!$A$1:$I$89,3,0)*VLOOKUP('Données projet'!$B$11,Paramètres!$A$1:$I$89,5,0)</f>
        <v>155.62560000000002</v>
      </c>
      <c r="BF31" s="14">
        <f t="shared" si="37"/>
        <v>39.854271109683154</v>
      </c>
      <c r="BG31" s="22">
        <f t="shared" si="7"/>
        <v>340.46077551603156</v>
      </c>
      <c r="BH31" s="62">
        <f t="shared" si="8"/>
        <v>631.34966440492042</v>
      </c>
      <c r="BI31" s="62">
        <f ca="1">AVERAGE(OFFSET($BH$3,0,0,'Données projet'!$E$11+1,1))-AVERAGE(OFFSET($H$3,0,0,'Données projet'!$E$11+1,1))</f>
        <v>365.70510182727895</v>
      </c>
      <c r="BJ31" s="62">
        <f t="shared" si="38"/>
        <v>436.23833844962525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1.3451426009673735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2.3495876602894414</v>
      </c>
      <c r="BS31" s="24">
        <f t="shared" si="9"/>
        <v>3.6947302612568151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12.833333333333334</v>
      </c>
      <c r="N32" s="14">
        <f>IF('Données projet'!$A$36&gt;35,N31+M32-V31,IF(A32&lt;'Données projet'!$A$36,$K$205^A32,IF(A32='Données projet'!$A$36,'Données projet'!$B$36,N31+M32-V31)))</f>
        <v>192.16666666666671</v>
      </c>
      <c r="O32" s="14">
        <f>N32*VLOOKUP('Données projet'!$B$9,Paramètres!$A$1:$I$89,3,0)*VLOOKUP('Données projet'!$B$9,Paramètres!$A$1:$I$89,5,0)</f>
        <v>114.9156666666667</v>
      </c>
      <c r="P32" s="14">
        <f t="shared" si="33"/>
        <v>30.486190713157598</v>
      </c>
      <c r="Q32" s="22">
        <f t="shared" si="2"/>
        <v>253.24156826986064</v>
      </c>
      <c r="R32" s="62">
        <f t="shared" si="0"/>
        <v>545.35267938097172</v>
      </c>
      <c r="S32" s="62">
        <f ca="1">AVERAGE(OFFSET($R$3,0,0,'Données projet'!$E$9+1,1))-AVERAGE(OFFSET($H$3,0,0,'Données projet'!$E$9+1,1))</f>
        <v>207.99520960626666</v>
      </c>
      <c r="T32" s="62">
        <f t="shared" si="34"/>
        <v>306.39565990874775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3.6858921238992832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3.5877396958915804</v>
      </c>
      <c r="AC32" s="24">
        <f t="shared" si="3"/>
        <v>7.2736318197908636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173.5</v>
      </c>
      <c r="AJ32" s="14">
        <f>AI32*VLOOKUP('Données projet'!$B$10,Paramètres!$A$1:$I$89,3,0)*VLOOKUP('Données projet'!$B$10,Paramètres!$A$1:$I$89,5,0)</f>
        <v>81.198000000000008</v>
      </c>
      <c r="AK32" s="14">
        <f t="shared" si="35"/>
        <v>22.429847477648512</v>
      </c>
      <c r="AL32" s="22">
        <f t="shared" si="4"/>
        <v>180.48516769023783</v>
      </c>
      <c r="AM32" s="62">
        <f t="shared" si="5"/>
        <v>472.59627880134894</v>
      </c>
      <c r="AN32" s="62">
        <f ca="1">AVERAGE(OFFSET($AM$3,0,0,'Données projet'!$E$10+1,1))-AVERAGE(OFFSET($H$3,0,0,'Données projet'!$E$10+1,1))</f>
        <v>259.74478933784656</v>
      </c>
      <c r="AO32" s="62">
        <f t="shared" si="36"/>
        <v>223.74038909289646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24.8</v>
      </c>
      <c r="BD32" s="13">
        <f>IF('Données projet'!$A$88&gt;35,BD31+BC32-BL31,IF(A32&lt;'Données projet'!$A$88,$BA$205^A32,IF(A32='Données projet'!$A$88,'Données projet'!$B$88,BD31+BC32-BL31)))</f>
        <v>303.20000000000005</v>
      </c>
      <c r="BE32" s="14">
        <f>BD32*VLOOKUP('Données projet'!$B$11,Paramètres!$A$1:$I$89,3,0)*VLOOKUP('Données projet'!$B$11,Paramètres!$A$1:$I$89,5,0)</f>
        <v>169.48880000000003</v>
      </c>
      <c r="BF32" s="14">
        <f t="shared" si="37"/>
        <v>42.975511730949684</v>
      </c>
      <c r="BG32" s="22">
        <f t="shared" si="7"/>
        <v>370.04200959807071</v>
      </c>
      <c r="BH32" s="62">
        <f t="shared" si="8"/>
        <v>662.15312070918185</v>
      </c>
      <c r="BI32" s="62">
        <f ca="1">AVERAGE(OFFSET($BH$3,0,0,'Données projet'!$E$11+1,1))-AVERAGE(OFFSET($H$3,0,0,'Données projet'!$E$11+1,1))</f>
        <v>365.70510182727895</v>
      </c>
      <c r="BJ32" s="62">
        <f t="shared" si="38"/>
        <v>436.23833844962525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1.3187651750183766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1.6614093675828983</v>
      </c>
      <c r="BS32" s="24">
        <f t="shared" si="9"/>
        <v>2.9801745426012749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205</v>
      </c>
      <c r="L33" s="13">
        <f>VLOOKUP(A33,'Données projet'!$A$35:$I$55,9,0)</f>
        <v>12.833333333333334</v>
      </c>
      <c r="M33" s="13">
        <f t="array" ref="M33">INDEX(L:L,MIN(IF(ISNUMBER(L33:L229),ROW(L33:L229),"")))</f>
        <v>12.833333333333334</v>
      </c>
      <c r="N33" s="14">
        <f>IF('Données projet'!$A$36&gt;35,N32+M33-V32,IF(A33&lt;'Données projet'!$A$36,$K$205^A33,IF(A33='Données projet'!$A$36,'Données projet'!$B$36,N32+M33-V32)))</f>
        <v>205.00000000000006</v>
      </c>
      <c r="O33" s="14">
        <f>N33*VLOOKUP('Données projet'!$B$9,Paramètres!$A$1:$I$89,3,0)*VLOOKUP('Données projet'!$B$9,Paramètres!$A$1:$I$89,5,0)</f>
        <v>122.59000000000003</v>
      </c>
      <c r="P33" s="14">
        <f t="shared" si="33"/>
        <v>32.278321478706822</v>
      </c>
      <c r="Q33" s="22">
        <f t="shared" si="2"/>
        <v>269.72899324208112</v>
      </c>
      <c r="R33" s="62">
        <f t="shared" si="0"/>
        <v>563.06232657541443</v>
      </c>
      <c r="S33" s="62">
        <f ca="1">AVERAGE(OFFSET($R$3,0,0,'Données projet'!$E$9+1,1))-AVERAGE(OFFSET($H$3,0,0,'Données projet'!$E$9+1,1))</f>
        <v>207.99520960626666</v>
      </c>
      <c r="T33" s="62">
        <f t="shared" si="34"/>
        <v>306.39565990874775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47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10.324809732746896</v>
      </c>
      <c r="AA33" s="23">
        <f>EXP(-LN(2)/25)*AA32+(1-EXP(-LN(2)/25))/(LN(2)/25)*Calculateur!V33*Calculateur!X33*VLOOKUP('Données projet'!$B$9,Paramètres!$A$1:$I$89,3,0)*0.475*44/12</f>
        <v>3.3423855852837776</v>
      </c>
      <c r="AB33" s="23">
        <f>EXP(-LN(2)/2)*AB32+(1-EXP(-LN(2)/2))/(LN(2)/2)*V33*Y33*VLOOKUP('Données projet'!$B$9,Paramètres!$A$1:$I$89,3,0)*0.475*44/12</f>
        <v>15.265923449808641</v>
      </c>
      <c r="AC33" s="24">
        <f t="shared" si="3"/>
        <v>28.933118767839314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180</v>
      </c>
      <c r="AJ33" s="14">
        <f>AI33*VLOOKUP('Données projet'!$B$10,Paramètres!$A$1:$I$89,3,0)*VLOOKUP('Données projet'!$B$10,Paramètres!$A$1:$I$89,5,0)</f>
        <v>84.24</v>
      </c>
      <c r="AK33" s="14">
        <f t="shared" si="35"/>
        <v>23.170749718409468</v>
      </c>
      <c r="AL33" s="22">
        <f t="shared" si="4"/>
        <v>187.07372242622981</v>
      </c>
      <c r="AM33" s="62">
        <f t="shared" si="5"/>
        <v>480.40705575956315</v>
      </c>
      <c r="AN33" s="62">
        <f ca="1">AVERAGE(OFFSET($AM$3,0,0,'Données projet'!$E$10+1,1))-AVERAGE(OFFSET($H$3,0,0,'Données projet'!$E$10+1,1))</f>
        <v>259.74478933784656</v>
      </c>
      <c r="AO33" s="62">
        <f t="shared" si="36"/>
        <v>223.74038909289646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0.16500000000000001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328</v>
      </c>
      <c r="BB33" s="13">
        <f>VLOOKUP(A33,'Données projet'!$A$87:$I$107,9,0)</f>
        <v>24.8</v>
      </c>
      <c r="BC33" s="13">
        <f t="array" ref="BC33">INDEX(BB:BB,MIN(IF(ISNUMBER(BB33:BB229),ROW(BB33:BB229),"")))</f>
        <v>24.8</v>
      </c>
      <c r="BD33" s="13">
        <f>IF('Données projet'!$A$88&gt;35,BD32+BC33-BL32,IF(A33&lt;'Données projet'!$A$88,$BA$205^A33,IF(A33='Données projet'!$A$88,'Données projet'!$B$88,BD32+BC33-BL32)))</f>
        <v>328.00000000000006</v>
      </c>
      <c r="BE33" s="14">
        <f>BD33*VLOOKUP('Données projet'!$B$11,Paramètres!$A$1:$I$89,3,0)*VLOOKUP('Données projet'!$B$11,Paramètres!$A$1:$I$89,5,0)</f>
        <v>183.35200000000003</v>
      </c>
      <c r="BF33" s="14">
        <f t="shared" si="37"/>
        <v>46.06714169356475</v>
      </c>
      <c r="BG33" s="22">
        <f t="shared" si="7"/>
        <v>399.57167178295862</v>
      </c>
      <c r="BH33" s="62">
        <f t="shared" si="8"/>
        <v>692.90500511629193</v>
      </c>
      <c r="BI33" s="62">
        <f ca="1">AVERAGE(OFFSET($BH$3,0,0,'Données projet'!$E$11+1,1))-AVERAGE(OFFSET($H$3,0,0,'Données projet'!$E$11+1,1))</f>
        <v>365.70510182727895</v>
      </c>
      <c r="BJ33" s="62">
        <f t="shared" si="38"/>
        <v>436.23833844962525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42</v>
      </c>
      <c r="BM33" s="17">
        <f>IF(ISNA(VLOOKUP(A33,'Données projet'!$A$87:$I$107,5,0)),0%,VLOOKUP(A33,'Données projet'!$A$87:$I$107,5,0)*VLOOKUP('Données projet'!$B$11,Paramètres!$A$1:$I$89,7,0))</f>
        <v>0.1925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0.65</v>
      </c>
      <c r="BP33" s="23">
        <f>EXP(-LN(2)/35)*BP32+(1-EXP(-LN(2)/35))/(LN(2)/35)*BL33*BM33*VLOOKUP('Données projet'!$B$11,Paramètres!$A$1:$I$89,3,0)*0.475*44/12</f>
        <v>7.2883329491294315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18.453451253006858</v>
      </c>
      <c r="BS33" s="24">
        <f t="shared" si="9"/>
        <v>25.741784202136287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10.7</v>
      </c>
      <c r="N34" s="14">
        <f>IF('Données projet'!$A$36&gt;35,N33+M34-V33,IF(A34&lt;'Données projet'!$A$36,$K$205^A34,IF(A34='Données projet'!$A$36,'Données projet'!$B$36,N33+M34-V33)))</f>
        <v>168.70000000000005</v>
      </c>
      <c r="O34" s="14">
        <f>N34*VLOOKUP('Données projet'!$B$9,Paramètres!$A$1:$I$89,3,0)*VLOOKUP('Données projet'!$B$9,Paramètres!$A$1:$I$89,5,0)</f>
        <v>100.88260000000002</v>
      </c>
      <c r="P34" s="14">
        <f t="shared" si="33"/>
        <v>27.172157172029827</v>
      </c>
      <c r="Q34" s="22">
        <f t="shared" si="2"/>
        <v>223.02870207461862</v>
      </c>
      <c r="R34" s="62">
        <f t="shared" si="0"/>
        <v>516.36203540795191</v>
      </c>
      <c r="S34" s="62">
        <f ca="1">AVERAGE(OFFSET($R$3,0,0,'Données projet'!$E$9+1,1))-AVERAGE(OFFSET($H$3,0,0,'Données projet'!$E$9+1,1))</f>
        <v>207.99520960626666</v>
      </c>
      <c r="T34" s="62">
        <f t="shared" si="34"/>
        <v>306.39565990874775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10.122346511399838</v>
      </c>
      <c r="AA34" s="23">
        <f>EXP(-LN(2)/25)*AA33+(1-EXP(-LN(2)/25))/(LN(2)/25)*Calculateur!V34*Calculateur!X34*VLOOKUP('Données projet'!$B$9,Paramètres!$A$1:$I$89,3,0)*0.475*44/12</f>
        <v>3.250987875685774</v>
      </c>
      <c r="AB34" s="23">
        <f>EXP(-LN(2)/2)*AB33+(1-EXP(-LN(2)/2))/(LN(2)/2)*V34*Y34*VLOOKUP('Données projet'!$B$9,Paramètres!$A$1:$I$89,3,0)*0.475*44/12</f>
        <v>10.794637992434424</v>
      </c>
      <c r="AC34" s="24">
        <f t="shared" si="3"/>
        <v>24.167972379520037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187</v>
      </c>
      <c r="AJ34" s="14">
        <f>AI34*VLOOKUP('Données projet'!$B$10,Paramètres!$A$1:$I$89,3,0)*VLOOKUP('Données projet'!$B$10,Paramètres!$A$1:$I$89,5,0)</f>
        <v>87.515999999999991</v>
      </c>
      <c r="AK34" s="14">
        <f t="shared" si="35"/>
        <v>23.965171662037644</v>
      </c>
      <c r="AL34" s="22">
        <f t="shared" si="4"/>
        <v>194.16304064471555</v>
      </c>
      <c r="AM34" s="62">
        <f t="shared" si="5"/>
        <v>487.49637397804884</v>
      </c>
      <c r="AN34" s="62">
        <f ca="1">AVERAGE(OFFSET($AM$3,0,0,'Données projet'!$E$10+1,1))-AVERAGE(OFFSET($H$3,0,0,'Données projet'!$E$10+1,1))</f>
        <v>259.74478933784656</v>
      </c>
      <c r="AO34" s="62">
        <f t="shared" si="36"/>
        <v>223.74038909289646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24.8</v>
      </c>
      <c r="BD34" s="13">
        <f>IF('Données projet'!$A$88&gt;35,BD33+BC34-BL33,IF(A34&lt;'Données projet'!$A$88,$BA$205^A34,IF(A34='Données projet'!$A$88,'Données projet'!$B$88,BD33+BC34-BL33)))</f>
        <v>310.80000000000007</v>
      </c>
      <c r="BE34" s="14">
        <f>BD34*VLOOKUP('Données projet'!$B$11,Paramètres!$A$1:$I$89,3,0)*VLOOKUP('Données projet'!$B$11,Paramètres!$A$1:$I$89,5,0)</f>
        <v>173.73720000000006</v>
      </c>
      <c r="BF34" s="14">
        <f t="shared" si="37"/>
        <v>43.925969821948698</v>
      </c>
      <c r="BG34" s="22">
        <f t="shared" si="7"/>
        <v>379.09668743989408</v>
      </c>
      <c r="BH34" s="62">
        <f t="shared" si="8"/>
        <v>672.4300207732274</v>
      </c>
      <c r="BI34" s="62">
        <f ca="1">AVERAGE(OFFSET($BH$3,0,0,'Données projet'!$E$11+1,1))-AVERAGE(OFFSET($H$3,0,0,'Données projet'!$E$11+1,1))</f>
        <v>365.70510182727895</v>
      </c>
      <c r="BJ34" s="62">
        <f t="shared" si="38"/>
        <v>436.23833844962525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7.1454131854411509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13.048560517296542</v>
      </c>
      <c r="BS34" s="24">
        <f t="shared" si="9"/>
        <v>20.193973702737694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10.7</v>
      </c>
      <c r="N35" s="14">
        <f>IF('Données projet'!$A$36&gt;35,N34+M35-V34,IF(A35&lt;'Données projet'!$A$36,$K$205^A35,IF(A35='Données projet'!$A$36,'Données projet'!$B$36,N34+M35-V34)))</f>
        <v>179.40000000000003</v>
      </c>
      <c r="O35" s="14">
        <f>N35*VLOOKUP('Données projet'!$B$9,Paramètres!$A$1:$I$89,3,0)*VLOOKUP('Données projet'!$B$9,Paramètres!$A$1:$I$89,5,0)</f>
        <v>107.28120000000003</v>
      </c>
      <c r="P35" s="14">
        <f t="shared" si="33"/>
        <v>28.689484043027395</v>
      </c>
      <c r="Q35" s="22">
        <f t="shared" ref="Q35:Q66" si="53">(O35+P35)*0.475*44/12</f>
        <v>236.81560804160608</v>
      </c>
      <c r="R35" s="62">
        <f t="shared" si="0"/>
        <v>530.14894137493934</v>
      </c>
      <c r="S35" s="62">
        <f ca="1">AVERAGE(OFFSET($R$3,0,0,'Données projet'!$E$9+1,1))-AVERAGE(OFFSET($H$3,0,0,'Données projet'!$E$9+1,1))</f>
        <v>207.99520960626666</v>
      </c>
      <c r="T35" s="62">
        <f t="shared" si="34"/>
        <v>306.39565990874775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9.9238534703330252</v>
      </c>
      <c r="AA35" s="23">
        <f>EXP(-LN(2)/25)*AA34+(1-EXP(-LN(2)/25))/(LN(2)/25)*Calculateur!V35*Calculateur!X35*VLOOKUP('Données projet'!$B$9,Paramètres!$A$1:$I$89,3,0)*0.475*44/12</f>
        <v>3.1620894412631242</v>
      </c>
      <c r="AB35" s="23">
        <f>EXP(-LN(2)/2)*AB34+(1-EXP(-LN(2)/2))/(LN(2)/2)*V35*Y35*VLOOKUP('Données projet'!$B$9,Paramètres!$A$1:$I$89,3,0)*0.475*44/12</f>
        <v>7.6329617249043213</v>
      </c>
      <c r="AC35" s="24">
        <f t="shared" si="3"/>
        <v>20.718904636500469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194</v>
      </c>
      <c r="AJ35" s="14">
        <f>AI35*VLOOKUP('Données projet'!$B$10,Paramètres!$A$1:$I$89,3,0)*VLOOKUP('Données projet'!$B$10,Paramètres!$A$1:$I$89,5,0)</f>
        <v>90.792000000000002</v>
      </c>
      <c r="AK35" s="14">
        <f t="shared" si="35"/>
        <v>24.756138813110173</v>
      </c>
      <c r="AL35" s="22">
        <f t="shared" si="4"/>
        <v>201.24634176616689</v>
      </c>
      <c r="AM35" s="62">
        <f t="shared" si="5"/>
        <v>494.57967509950021</v>
      </c>
      <c r="AN35" s="62">
        <f ca="1">AVERAGE(OFFSET($AM$3,0,0,'Données projet'!$E$10+1,1))-AVERAGE(OFFSET($H$3,0,0,'Données projet'!$E$10+1,1))</f>
        <v>259.74478933784656</v>
      </c>
      <c r="AO35" s="62">
        <f t="shared" si="36"/>
        <v>223.74038909289646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24.8</v>
      </c>
      <c r="BD35" s="13">
        <f>IF('Données projet'!$A$88&gt;35,BD34+BC35-BL34,IF(A35&lt;'Données projet'!$A$88,$BA$205^A35,IF(A35='Données projet'!$A$88,'Données projet'!$B$88,BD34+BC35-BL34)))</f>
        <v>335.60000000000008</v>
      </c>
      <c r="BE35" s="14">
        <f>BD35*VLOOKUP('Données projet'!$B$11,Paramètres!$A$1:$I$89,3,0)*VLOOKUP('Données projet'!$B$11,Paramètres!$A$1:$I$89,5,0)</f>
        <v>187.60040000000004</v>
      </c>
      <c r="BF35" s="14">
        <f t="shared" si="37"/>
        <v>47.009043567098132</v>
      </c>
      <c r="BG35" s="22">
        <f t="shared" si="7"/>
        <v>408.6114475460293</v>
      </c>
      <c r="BH35" s="62">
        <f t="shared" si="8"/>
        <v>701.94478087936261</v>
      </c>
      <c r="BI35" s="62">
        <f ca="1">AVERAGE(OFFSET($BH$3,0,0,'Données projet'!$E$11+1,1))-AVERAGE(OFFSET($H$3,0,0,'Données projet'!$E$11+1,1))</f>
        <v>365.70510182727895</v>
      </c>
      <c r="BJ35" s="62">
        <f t="shared" si="38"/>
        <v>436.23833844962525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7.0052959911463493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9.2267256265034305</v>
      </c>
      <c r="BS35" s="24">
        <f t="shared" si="9"/>
        <v>16.232021617649778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10.7</v>
      </c>
      <c r="N36" s="14">
        <f>IF('Données projet'!$A$36&gt;35,N35+M36-V35,IF(A36&lt;'Données projet'!$A$36,$K$205^A36,IF(A36='Données projet'!$A$36,'Données projet'!$B$36,N35+M36-V35)))</f>
        <v>190.10000000000002</v>
      </c>
      <c r="O36" s="14">
        <f>N36*VLOOKUP('Données projet'!$B$9,Paramètres!$A$1:$I$89,3,0)*VLOOKUP('Données projet'!$B$9,Paramètres!$A$1:$I$89,5,0)</f>
        <v>113.67980000000001</v>
      </c>
      <c r="P36" s="14">
        <f t="shared" si="33"/>
        <v>30.19630681882758</v>
      </c>
      <c r="Q36" s="22">
        <f t="shared" si="53"/>
        <v>250.58421937612471</v>
      </c>
      <c r="R36" s="62">
        <f t="shared" si="0"/>
        <v>543.91755270945805</v>
      </c>
      <c r="S36" s="62">
        <f ca="1">AVERAGE(OFFSET($R$3,0,0,'Données projet'!$E$9+1,1))-AVERAGE(OFFSET($H$3,0,0,'Données projet'!$E$9+1,1))</f>
        <v>207.99520960626666</v>
      </c>
      <c r="T36" s="62">
        <f t="shared" si="34"/>
        <v>306.39565990874775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9.7292527567327323</v>
      </c>
      <c r="AA36" s="23">
        <f>EXP(-LN(2)/25)*AA35+(1-EXP(-LN(2)/25))/(LN(2)/25)*Calculateur!V36*Calculateur!X36*VLOOKUP('Données projet'!$B$9,Paramètres!$A$1:$I$89,3,0)*0.475*44/12</f>
        <v>3.0756219392047273</v>
      </c>
      <c r="AB36" s="23">
        <f>EXP(-LN(2)/2)*AB35+(1-EXP(-LN(2)/2))/(LN(2)/2)*V36*Y36*VLOOKUP('Données projet'!$B$9,Paramètres!$A$1:$I$89,3,0)*0.475*44/12</f>
        <v>5.397318996217213</v>
      </c>
      <c r="AC36" s="24">
        <f t="shared" si="3"/>
        <v>18.202193692154673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201</v>
      </c>
      <c r="AJ36" s="14">
        <f>AI36*VLOOKUP('Données projet'!$B$10,Paramètres!$A$1:$I$89,3,0)*VLOOKUP('Données projet'!$B$10,Paramètres!$A$1:$I$89,5,0)</f>
        <v>94.067999999999998</v>
      </c>
      <c r="AK36" s="14">
        <f t="shared" si="35"/>
        <v>25.543790108694029</v>
      </c>
      <c r="AL36" s="22">
        <f t="shared" si="4"/>
        <v>208.32386777264207</v>
      </c>
      <c r="AM36" s="62">
        <f t="shared" si="5"/>
        <v>501.65720110597539</v>
      </c>
      <c r="AN36" s="62">
        <f ca="1">AVERAGE(OFFSET($AM$3,0,0,'Données projet'!$E$10+1,1))-AVERAGE(OFFSET($H$3,0,0,'Données projet'!$E$10+1,1))</f>
        <v>259.74478933784656</v>
      </c>
      <c r="AO36" s="62">
        <f t="shared" si="36"/>
        <v>223.74038909289646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24.8</v>
      </c>
      <c r="BD36" s="13">
        <f>IF('Données projet'!$A$88&gt;35,BD35+BC36-BL35,IF(A36&lt;'Données projet'!$A$88,$BA$205^A36,IF(A36='Données projet'!$A$88,'Données projet'!$B$88,BD35+BC36-BL35)))</f>
        <v>360.40000000000009</v>
      </c>
      <c r="BE36" s="14">
        <f>BD36*VLOOKUP('Données projet'!$B$11,Paramètres!$A$1:$I$89,3,0)*VLOOKUP('Données projet'!$B$11,Paramètres!$A$1:$I$89,5,0)</f>
        <v>201.46360000000004</v>
      </c>
      <c r="BF36" s="14">
        <f t="shared" si="37"/>
        <v>50.065686082954073</v>
      </c>
      <c r="BG36" s="22">
        <f t="shared" si="7"/>
        <v>438.08017326114509</v>
      </c>
      <c r="BH36" s="62">
        <f t="shared" si="8"/>
        <v>731.41350659447835</v>
      </c>
      <c r="BI36" s="62">
        <f ca="1">AVERAGE(OFFSET($BH$3,0,0,'Données projet'!$E$11+1,1))-AVERAGE(OFFSET($H$3,0,0,'Données projet'!$E$11+1,1))</f>
        <v>365.70510182727895</v>
      </c>
      <c r="BJ36" s="62">
        <f t="shared" si="38"/>
        <v>436.23833844962525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6.8679264095686188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6.5242802586482727</v>
      </c>
      <c r="BS36" s="24">
        <f t="shared" si="9"/>
        <v>13.392206668216891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10.7</v>
      </c>
      <c r="N37" s="14">
        <f>IF('Données projet'!$A$36&gt;35,N36+M37-V36,IF(A37&lt;'Données projet'!$A$36,$K$205^A37,IF(A37='Données projet'!$A$36,'Données projet'!$B$36,N36+M37-V36)))</f>
        <v>200.8</v>
      </c>
      <c r="O37" s="14">
        <f>N37*VLOOKUP('Données projet'!$B$9,Paramètres!$A$1:$I$89,3,0)*VLOOKUP('Données projet'!$B$9,Paramètres!$A$1:$I$89,5,0)</f>
        <v>120.07840000000002</v>
      </c>
      <c r="P37" s="14">
        <f t="shared" si="33"/>
        <v>31.693284111529564</v>
      </c>
      <c r="Q37" s="22">
        <f t="shared" si="53"/>
        <v>264.33568316091396</v>
      </c>
      <c r="R37" s="62">
        <f t="shared" si="0"/>
        <v>557.66901649424722</v>
      </c>
      <c r="S37" s="62">
        <f ca="1">AVERAGE(OFFSET($R$3,0,0,'Données projet'!$E$9+1,1))-AVERAGE(OFFSET($H$3,0,0,'Données projet'!$E$9+1,1))</f>
        <v>207.99520960626666</v>
      </c>
      <c r="T37" s="62">
        <f t="shared" si="34"/>
        <v>306.39565990874775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9.5384680444314256</v>
      </c>
      <c r="AA37" s="23">
        <f>EXP(-LN(2)/25)*AA36+(1-EXP(-LN(2)/25))/(LN(2)/25)*Calculateur!V37*Calculateur!X37*VLOOKUP('Données projet'!$B$9,Paramètres!$A$1:$I$89,3,0)*0.475*44/12</f>
        <v>2.9915188955372458</v>
      </c>
      <c r="AB37" s="23">
        <f>EXP(-LN(2)/2)*AB36+(1-EXP(-LN(2)/2))/(LN(2)/2)*V37*Y37*VLOOKUP('Données projet'!$B$9,Paramètres!$A$1:$I$89,3,0)*0.475*44/12</f>
        <v>3.8164808624521616</v>
      </c>
      <c r="AC37" s="24">
        <f t="shared" si="3"/>
        <v>16.346467802420833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208</v>
      </c>
      <c r="AJ37" s="14">
        <f>AI37*VLOOKUP('Données projet'!$B$10,Paramètres!$A$1:$I$89,3,0)*VLOOKUP('Données projet'!$B$10,Paramètres!$A$1:$I$89,5,0)</f>
        <v>97.343999999999994</v>
      </c>
      <c r="AK37" s="14">
        <f t="shared" si="35"/>
        <v>26.328254259866451</v>
      </c>
      <c r="AL37" s="22">
        <f t="shared" si="4"/>
        <v>215.39584283593408</v>
      </c>
      <c r="AM37" s="62">
        <f t="shared" si="5"/>
        <v>508.72917616926736</v>
      </c>
      <c r="AN37" s="62">
        <f ca="1">AVERAGE(OFFSET($AM$3,0,0,'Données projet'!$E$10+1,1))-AVERAGE(OFFSET($H$3,0,0,'Données projet'!$E$10+1,1))</f>
        <v>259.74478933784656</v>
      </c>
      <c r="AO37" s="62">
        <f t="shared" si="36"/>
        <v>223.74038909289646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24.8</v>
      </c>
      <c r="BD37" s="13">
        <f>IF('Données projet'!$A$88&gt;35,BD36+BC37-BL36,IF(A37&lt;'Données projet'!$A$88,$BA$205^A37,IF(A37='Données projet'!$A$88,'Données projet'!$B$88,BD36+BC37-BL36)))</f>
        <v>385.2000000000001</v>
      </c>
      <c r="BE37" s="14">
        <f>BD37*VLOOKUP('Données projet'!$B$11,Paramètres!$A$1:$I$89,3,0)*VLOOKUP('Données projet'!$B$11,Paramètres!$A$1:$I$89,5,0)</f>
        <v>215.32680000000008</v>
      </c>
      <c r="BF37" s="14">
        <f t="shared" si="37"/>
        <v>53.097923071509783</v>
      </c>
      <c r="BG37" s="22">
        <f t="shared" si="7"/>
        <v>467.50639268287961</v>
      </c>
      <c r="BH37" s="62">
        <f t="shared" si="8"/>
        <v>760.83972601621292</v>
      </c>
      <c r="BI37" s="62">
        <f ca="1">AVERAGE(OFFSET($BH$3,0,0,'Données projet'!$E$11+1,1))-AVERAGE(OFFSET($H$3,0,0,'Données projet'!$E$11+1,1))</f>
        <v>365.70510182727895</v>
      </c>
      <c r="BJ37" s="62">
        <f t="shared" si="38"/>
        <v>436.23833844962525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6.7332505616984566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4.6133628132517162</v>
      </c>
      <c r="BS37" s="24">
        <f t="shared" si="9"/>
        <v>11.346613374950174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10.7</v>
      </c>
      <c r="N38" s="14">
        <f>IF('Données projet'!$A$36&gt;35,N37+M38-V37,IF(A38&lt;'Données projet'!$A$36,$K$205^A38,IF(A38='Données projet'!$A$36,'Données projet'!$B$36,N37+M38-V37)))</f>
        <v>211.5</v>
      </c>
      <c r="O38" s="14">
        <f>N38*VLOOKUP('Données projet'!$B$9,Paramètres!$A$1:$I$89,3,0)*VLOOKUP('Données projet'!$B$9,Paramètres!$A$1:$I$89,5,0)</f>
        <v>126.47700000000002</v>
      </c>
      <c r="P38" s="14">
        <f t="shared" si="33"/>
        <v>33.181000378224027</v>
      </c>
      <c r="Q38" s="22">
        <f t="shared" si="53"/>
        <v>278.0710173254069</v>
      </c>
      <c r="R38" s="62">
        <f t="shared" si="0"/>
        <v>571.40435065874021</v>
      </c>
      <c r="S38" s="62">
        <f ca="1">AVERAGE(OFFSET($R$3,0,0,'Données projet'!$E$9+1,1))-AVERAGE(OFFSET($H$3,0,0,'Données projet'!$E$9+1,1))</f>
        <v>207.99520960626666</v>
      </c>
      <c r="T38" s="62">
        <f t="shared" si="34"/>
        <v>306.39565990874775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9.3514245039711632</v>
      </c>
      <c r="AA38" s="23">
        <f>EXP(-LN(2)/25)*AA37+(1-EXP(-LN(2)/25))/(LN(2)/25)*Calculateur!V38*Calculateur!X38*VLOOKUP('Données projet'!$B$9,Paramètres!$A$1:$I$89,3,0)*0.475*44/12</f>
        <v>2.9097156540216385</v>
      </c>
      <c r="AB38" s="23">
        <f>EXP(-LN(2)/2)*AB37+(1-EXP(-LN(2)/2))/(LN(2)/2)*V38*Y38*VLOOKUP('Données projet'!$B$9,Paramètres!$A$1:$I$89,3,0)*0.475*44/12</f>
        <v>2.6986594981086069</v>
      </c>
      <c r="AC38" s="24">
        <f t="shared" si="3"/>
        <v>14.95979965610141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215</v>
      </c>
      <c r="AJ38" s="14">
        <f>AI38*VLOOKUP('Données projet'!$B$10,Paramètres!$A$1:$I$89,3,0)*VLOOKUP('Données projet'!$B$10,Paramètres!$A$1:$I$89,5,0)</f>
        <v>100.61999999999999</v>
      </c>
      <c r="AK38" s="14">
        <f t="shared" si="35"/>
        <v>27.10965082293415</v>
      </c>
      <c r="AL38" s="22">
        <f t="shared" si="4"/>
        <v>222.46247518327695</v>
      </c>
      <c r="AM38" s="62">
        <f t="shared" si="5"/>
        <v>515.79580851661024</v>
      </c>
      <c r="AN38" s="62">
        <f ca="1">AVERAGE(OFFSET($AM$3,0,0,'Données projet'!$E$10+1,1))-AVERAGE(OFFSET($H$3,0,0,'Données projet'!$E$10+1,1))</f>
        <v>259.74478933784656</v>
      </c>
      <c r="AO38" s="62">
        <f t="shared" si="36"/>
        <v>223.74038909289646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410</v>
      </c>
      <c r="BB38" s="13">
        <f>VLOOKUP(A38,'Données projet'!$A$87:$I$107,9,0)</f>
        <v>24.8</v>
      </c>
      <c r="BC38" s="13">
        <f t="array" ref="BC38">INDEX(BB:BB,MIN(IF(ISNUMBER(BB38:BB234),ROW(BB38:BB234),"")))</f>
        <v>24.8</v>
      </c>
      <c r="BD38" s="13">
        <f>IF('Données projet'!$A$88&gt;35,BD37+BC38-BL37,IF(A38&lt;'Données projet'!$A$88,$BA$205^A38,IF(A38='Données projet'!$A$88,'Données projet'!$B$88,BD37+BC38-BL37)))</f>
        <v>410.00000000000011</v>
      </c>
      <c r="BE38" s="14">
        <f>BD38*VLOOKUP('Données projet'!$B$11,Paramètres!$A$1:$I$89,3,0)*VLOOKUP('Données projet'!$B$11,Paramètres!$A$1:$I$89,5,0)</f>
        <v>229.19000000000005</v>
      </c>
      <c r="BF38" s="14">
        <f t="shared" si="37"/>
        <v>56.107504648403449</v>
      </c>
      <c r="BG38" s="22">
        <f t="shared" si="7"/>
        <v>496.89315392930274</v>
      </c>
      <c r="BH38" s="62">
        <f t="shared" si="8"/>
        <v>790.22648726263606</v>
      </c>
      <c r="BI38" s="62">
        <f ca="1">AVERAGE(OFFSET($BH$3,0,0,'Données projet'!$E$11+1,1))-AVERAGE(OFFSET($H$3,0,0,'Données projet'!$E$11+1,1))</f>
        <v>365.70510182727895</v>
      </c>
      <c r="BJ38" s="62">
        <f t="shared" si="38"/>
        <v>436.23833844962525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6.6012156250608722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3.2621401293241368</v>
      </c>
      <c r="BS38" s="24">
        <f t="shared" si="9"/>
        <v>9.8633557543850081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10.7</v>
      </c>
      <c r="N39" s="14">
        <f>IF('Données projet'!$A$36&gt;35,N38+M39-V38,IF(A39&lt;'Données projet'!$A$36,$K$205^A39,IF(A39='Données projet'!$A$36,'Données projet'!$B$36,N38+M39-V38)))</f>
        <v>222.2</v>
      </c>
      <c r="O39" s="14">
        <f>N39*VLOOKUP('Données projet'!$B$9,Paramètres!$A$1:$I$89,3,0)*VLOOKUP('Données projet'!$B$9,Paramètres!$A$1:$I$89,5,0)</f>
        <v>132.87560000000002</v>
      </c>
      <c r="P39" s="14">
        <f t="shared" si="33"/>
        <v>34.659977599024245</v>
      </c>
      <c r="Q39" s="22">
        <f t="shared" si="53"/>
        <v>291.79113098496725</v>
      </c>
      <c r="R39" s="62">
        <f t="shared" si="0"/>
        <v>585.12446431830062</v>
      </c>
      <c r="S39" s="62">
        <f ca="1">AVERAGE(OFFSET($R$3,0,0,'Données projet'!$E$9+1,1))-AVERAGE(OFFSET($H$3,0,0,'Données projet'!$E$9+1,1))</f>
        <v>207.99520960626666</v>
      </c>
      <c r="T39" s="62">
        <f t="shared" si="34"/>
        <v>306.39565990874775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9.1680487732540321</v>
      </c>
      <c r="AA39" s="23">
        <f>EXP(-LN(2)/25)*AA38+(1-EXP(-LN(2)/25))/(LN(2)/25)*Calculateur!V39*Calculateur!X39*VLOOKUP('Données projet'!$B$9,Paramètres!$A$1:$I$89,3,0)*0.475*44/12</f>
        <v>2.8301493264471209</v>
      </c>
      <c r="AB39" s="23">
        <f>EXP(-LN(2)/2)*AB38+(1-EXP(-LN(2)/2))/(LN(2)/2)*V39*Y39*VLOOKUP('Données projet'!$B$9,Paramètres!$A$1:$I$89,3,0)*0.475*44/12</f>
        <v>1.908240431226081</v>
      </c>
      <c r="AC39" s="24">
        <f t="shared" si="3"/>
        <v>13.906438530927234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222</v>
      </c>
      <c r="AJ39" s="14">
        <f>AI39*VLOOKUP('Données projet'!$B$10,Paramètres!$A$1:$I$89,3,0)*VLOOKUP('Données projet'!$B$10,Paramètres!$A$1:$I$89,5,0)</f>
        <v>103.896</v>
      </c>
      <c r="AK39" s="14">
        <f t="shared" si="35"/>
        <v>27.888091127225799</v>
      </c>
      <c r="AL39" s="22">
        <f t="shared" si="4"/>
        <v>229.52395871325157</v>
      </c>
      <c r="AM39" s="62">
        <f t="shared" si="5"/>
        <v>522.85729204658492</v>
      </c>
      <c r="AN39" s="62">
        <f ca="1">AVERAGE(OFFSET($AM$3,0,0,'Données projet'!$E$10+1,1))-AVERAGE(OFFSET($H$3,0,0,'Données projet'!$E$10+1,1))</f>
        <v>259.74478933784656</v>
      </c>
      <c r="AO39" s="62">
        <f t="shared" si="36"/>
        <v>223.74038909289646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24</v>
      </c>
      <c r="BD39" s="13">
        <f>IF('Données projet'!$A$88&gt;35,BD38+BC39-BL38,IF(A39&lt;'Données projet'!$A$88,$BA$205^A39,IF(A39='Données projet'!$A$88,'Données projet'!$B$88,BD38+BC39-BL38)))</f>
        <v>385.00000000000011</v>
      </c>
      <c r="BE39" s="14">
        <f>BD39*VLOOKUP('Données projet'!$B$11,Paramètres!$A$1:$I$89,3,0)*VLOOKUP('Données projet'!$B$11,Paramètres!$A$1:$I$89,5,0)</f>
        <v>215.21500000000006</v>
      </c>
      <c r="BF39" s="14">
        <f t="shared" si="37"/>
        <v>53.07356235351866</v>
      </c>
      <c r="BG39" s="22">
        <f t="shared" si="7"/>
        <v>467.26924609904512</v>
      </c>
      <c r="BH39" s="62">
        <f t="shared" si="8"/>
        <v>760.60257943237843</v>
      </c>
      <c r="BI39" s="62">
        <f ca="1">AVERAGE(OFFSET($BH$3,0,0,'Données projet'!$E$11+1,1))-AVERAGE(OFFSET($H$3,0,0,'Données projet'!$E$11+1,1))</f>
        <v>365.70510182727895</v>
      </c>
      <c r="BJ39" s="62">
        <f t="shared" si="38"/>
        <v>436.23833844962525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6.4717698129973913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2.3066814066258585</v>
      </c>
      <c r="BS39" s="24">
        <f t="shared" si="9"/>
        <v>8.7784512196232498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10.7</v>
      </c>
      <c r="N40" s="14">
        <f>IF('Données projet'!$A$36&gt;35,N39+M40-V39,IF(A40&lt;'Données projet'!$A$36,$K$205^A40,IF(A40='Données projet'!$A$36,'Données projet'!$B$36,N39+M40-V39)))</f>
        <v>232.89999999999998</v>
      </c>
      <c r="O40" s="14">
        <f>N40*VLOOKUP('Données projet'!$B$9,Paramètres!$A$1:$I$89,3,0)*VLOOKUP('Données projet'!$B$9,Paramètres!$A$1:$I$89,5,0)</f>
        <v>139.27420000000001</v>
      </c>
      <c r="P40" s="14">
        <f t="shared" si="33"/>
        <v>36.130684641909269</v>
      </c>
      <c r="Q40" s="22">
        <f t="shared" si="53"/>
        <v>305.49684075132535</v>
      </c>
      <c r="R40" s="62">
        <f t="shared" si="0"/>
        <v>598.83017408465867</v>
      </c>
      <c r="S40" s="62">
        <f ca="1">AVERAGE(OFFSET($R$3,0,0,'Données projet'!$E$9+1,1))-AVERAGE(OFFSET($H$3,0,0,'Données projet'!$E$9+1,1))</f>
        <v>207.99520960626666</v>
      </c>
      <c r="T40" s="62">
        <f t="shared" si="34"/>
        <v>306.39565990874775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8.9882689287681128</v>
      </c>
      <c r="AA40" s="23">
        <f>EXP(-LN(2)/25)*AA39+(1-EXP(-LN(2)/25))/(LN(2)/25)*Calculateur!V40*Calculateur!X40*VLOOKUP('Données projet'!$B$9,Paramètres!$A$1:$I$89,3,0)*0.475*44/12</f>
        <v>2.7527587442843395</v>
      </c>
      <c r="AB40" s="23">
        <f>EXP(-LN(2)/2)*AB39+(1-EXP(-LN(2)/2))/(LN(2)/2)*V40*Y40*VLOOKUP('Données projet'!$B$9,Paramètres!$A$1:$I$89,3,0)*0.475*44/12</f>
        <v>1.3493297490543037</v>
      </c>
      <c r="AC40" s="24">
        <f t="shared" si="3"/>
        <v>13.090357422106756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229</v>
      </c>
      <c r="AJ40" s="14">
        <f>AI40*VLOOKUP('Données projet'!$B$10,Paramètres!$A$1:$I$89,3,0)*VLOOKUP('Données projet'!$B$10,Paramètres!$A$1:$I$89,5,0)</f>
        <v>107.172</v>
      </c>
      <c r="AK40" s="14">
        <f t="shared" si="35"/>
        <v>28.663679082578788</v>
      </c>
      <c r="AL40" s="22">
        <f t="shared" si="4"/>
        <v>236.58047440215805</v>
      </c>
      <c r="AM40" s="62">
        <f t="shared" si="5"/>
        <v>529.91380773549133</v>
      </c>
      <c r="AN40" s="62">
        <f ca="1">AVERAGE(OFFSET($AM$3,0,0,'Données projet'!$E$10+1,1))-AVERAGE(OFFSET($H$3,0,0,'Données projet'!$E$10+1,1))</f>
        <v>259.74478933784656</v>
      </c>
      <c r="AO40" s="62">
        <f t="shared" si="36"/>
        <v>223.74038909289646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24</v>
      </c>
      <c r="BD40" s="13">
        <f>IF('Données projet'!$A$88&gt;35,BD39+BC40-BL39,IF(A40&lt;'Données projet'!$A$88,$BA$205^A40,IF(A40='Données projet'!$A$88,'Données projet'!$B$88,BD39+BC40-BL39)))</f>
        <v>409.00000000000011</v>
      </c>
      <c r="BE40" s="14">
        <f>BD40*VLOOKUP('Données projet'!$B$11,Paramètres!$A$1:$I$89,3,0)*VLOOKUP('Données projet'!$B$11,Paramètres!$A$1:$I$89,5,0)</f>
        <v>228.63100000000006</v>
      </c>
      <c r="BF40" s="14">
        <f t="shared" si="37"/>
        <v>55.986568953377507</v>
      </c>
      <c r="BG40" s="22">
        <f t="shared" si="7"/>
        <v>495.70893259379926</v>
      </c>
      <c r="BH40" s="62">
        <f t="shared" si="8"/>
        <v>789.04226592713258</v>
      </c>
      <c r="BI40" s="62">
        <f ca="1">AVERAGE(OFFSET($BH$3,0,0,'Données projet'!$E$11+1,1))-AVERAGE(OFFSET($H$3,0,0,'Données projet'!$E$11+1,1))</f>
        <v>365.70510182727895</v>
      </c>
      <c r="BJ40" s="62">
        <f t="shared" si="38"/>
        <v>436.23833844962525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6.3448623543543263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1.6310700646620686</v>
      </c>
      <c r="BS40" s="24">
        <f t="shared" si="9"/>
        <v>7.9759324190163952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10.7</v>
      </c>
      <c r="N41" s="14">
        <f>IF('Données projet'!$A$36&gt;35,N40+M41-V40,IF(A41&lt;'Données projet'!$A$36,$K$205^A41,IF(A41='Données projet'!$A$36,'Données projet'!$B$36,N40+M41-V40)))</f>
        <v>243.59999999999997</v>
      </c>
      <c r="O41" s="14">
        <f>N41*VLOOKUP('Données projet'!$B$9,Paramètres!$A$1:$I$89,3,0)*VLOOKUP('Données projet'!$B$9,Paramètres!$A$1:$I$89,5,0)</f>
        <v>145.6728</v>
      </c>
      <c r="P41" s="14">
        <f t="shared" si="33"/>
        <v>37.593544857919731</v>
      </c>
      <c r="Q41" s="22">
        <f t="shared" si="53"/>
        <v>319.18888396087686</v>
      </c>
      <c r="R41" s="62">
        <f t="shared" si="0"/>
        <v>612.52221729421012</v>
      </c>
      <c r="S41" s="62">
        <f ca="1">AVERAGE(OFFSET($R$3,0,0,'Données projet'!$E$9+1,1))-AVERAGE(OFFSET($H$3,0,0,'Données projet'!$E$9+1,1))</f>
        <v>207.99520960626666</v>
      </c>
      <c r="T41" s="62">
        <f t="shared" si="34"/>
        <v>306.39565990874775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8.8120144573776837</v>
      </c>
      <c r="AA41" s="23">
        <f>EXP(-LN(2)/25)*AA40+(1-EXP(-LN(2)/25))/(LN(2)/25)*Calculateur!V41*Calculateur!X41*VLOOKUP('Données projet'!$B$9,Paramètres!$A$1:$I$89,3,0)*0.475*44/12</f>
        <v>2.6774844116605934</v>
      </c>
      <c r="AB41" s="23">
        <f>EXP(-LN(2)/2)*AB40+(1-EXP(-LN(2)/2))/(LN(2)/2)*V41*Y41*VLOOKUP('Données projet'!$B$9,Paramètres!$A$1:$I$89,3,0)*0.475*44/12</f>
        <v>0.95412021561304072</v>
      </c>
      <c r="AC41" s="24">
        <f t="shared" si="3"/>
        <v>12.443619084651317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236</v>
      </c>
      <c r="AJ41" s="14">
        <f>AI41*VLOOKUP('Données projet'!$B$10,Paramètres!$A$1:$I$89,3,0)*VLOOKUP('Données projet'!$B$10,Paramètres!$A$1:$I$89,5,0)</f>
        <v>110.44799999999999</v>
      </c>
      <c r="AK41" s="14">
        <f t="shared" si="35"/>
        <v>29.436511885319565</v>
      </c>
      <c r="AL41" s="22">
        <f t="shared" si="4"/>
        <v>243.63219153359822</v>
      </c>
      <c r="AM41" s="62">
        <f t="shared" si="5"/>
        <v>536.96552486693156</v>
      </c>
      <c r="AN41" s="62">
        <f ca="1">AVERAGE(OFFSET($AM$3,0,0,'Données projet'!$E$10+1,1))-AVERAGE(OFFSET($H$3,0,0,'Données projet'!$E$10+1,1))</f>
        <v>259.74478933784656</v>
      </c>
      <c r="AO41" s="62">
        <f t="shared" si="36"/>
        <v>223.74038909289646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24</v>
      </c>
      <c r="BD41" s="13">
        <f>IF('Données projet'!$A$88&gt;35,BD40+BC41-BL40,IF(A41&lt;'Données projet'!$A$88,$BA$205^A41,IF(A41='Données projet'!$A$88,'Données projet'!$B$88,BD40+BC41-BL40)))</f>
        <v>433.00000000000011</v>
      </c>
      <c r="BE41" s="14">
        <f>BD41*VLOOKUP('Données projet'!$B$11,Paramètres!$A$1:$I$89,3,0)*VLOOKUP('Données projet'!$B$11,Paramètres!$A$1:$I$89,5,0)</f>
        <v>242.04700000000008</v>
      </c>
      <c r="BF41" s="14">
        <f t="shared" si="37"/>
        <v>58.879734570359574</v>
      </c>
      <c r="BG41" s="22">
        <f t="shared" si="7"/>
        <v>524.11406271004307</v>
      </c>
      <c r="BH41" s="62">
        <f t="shared" si="8"/>
        <v>817.44739604337633</v>
      </c>
      <c r="BI41" s="62">
        <f ca="1">AVERAGE(OFFSET($BH$3,0,0,'Données projet'!$E$11+1,1))-AVERAGE(OFFSET($H$3,0,0,'Données projet'!$E$11+1,1))</f>
        <v>365.70510182727895</v>
      </c>
      <c r="BJ41" s="62">
        <f t="shared" si="38"/>
        <v>436.23833844962525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6.220443473569345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1.1533407033129293</v>
      </c>
      <c r="BS41" s="24">
        <f t="shared" si="9"/>
        <v>7.3737841768822747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10.7</v>
      </c>
      <c r="N42" s="14">
        <f>IF('Données projet'!$A$36&gt;35,N41+M42-V41,IF(A42&lt;'Données projet'!$A$36,$K$205^A42,IF(A42='Données projet'!$A$36,'Données projet'!$B$36,N41+M42-V41)))</f>
        <v>254.29999999999995</v>
      </c>
      <c r="O42" s="14">
        <f>N42*VLOOKUP('Données projet'!$B$9,Paramètres!$A$1:$I$89,3,0)*VLOOKUP('Données projet'!$B$9,Paramètres!$A$1:$I$89,5,0)</f>
        <v>152.07139999999998</v>
      </c>
      <c r="P42" s="14">
        <f t="shared" si="33"/>
        <v>39.048942304224767</v>
      </c>
      <c r="Q42" s="22">
        <f t="shared" si="53"/>
        <v>332.86792951319143</v>
      </c>
      <c r="R42" s="62">
        <f t="shared" si="0"/>
        <v>626.20126284652474</v>
      </c>
      <c r="S42" s="62">
        <f ca="1">AVERAGE(OFFSET($R$3,0,0,'Données projet'!$E$9+1,1))-AVERAGE(OFFSET($H$3,0,0,'Données projet'!$E$9+1,1))</f>
        <v>207.99520960626666</v>
      </c>
      <c r="T42" s="62">
        <f t="shared" si="34"/>
        <v>306.39565990874775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8.6392162286666085</v>
      </c>
      <c r="AA42" s="23">
        <f>EXP(-LN(2)/25)*AA41+(1-EXP(-LN(2)/25))/(LN(2)/25)*Calculateur!V42*Calculateur!X42*VLOOKUP('Données projet'!$B$9,Paramètres!$A$1:$I$89,3,0)*0.475*44/12</f>
        <v>2.6042684596209487</v>
      </c>
      <c r="AB42" s="23">
        <f>EXP(-LN(2)/2)*AB41+(1-EXP(-LN(2)/2))/(LN(2)/2)*V42*Y42*VLOOKUP('Données projet'!$B$9,Paramètres!$A$1:$I$89,3,0)*0.475*44/12</f>
        <v>0.67466487452715196</v>
      </c>
      <c r="AC42" s="24">
        <f t="shared" si="3"/>
        <v>11.918149562814708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243</v>
      </c>
      <c r="AJ42" s="14">
        <f>AI42*VLOOKUP('Données projet'!$B$10,Paramètres!$A$1:$I$89,3,0)*VLOOKUP('Données projet'!$B$10,Paramètres!$A$1:$I$89,5,0)</f>
        <v>113.72399999999999</v>
      </c>
      <c r="AK42" s="14">
        <f t="shared" si="35"/>
        <v>30.206680638130489</v>
      </c>
      <c r="AL42" s="22">
        <f t="shared" si="4"/>
        <v>250.67926877807722</v>
      </c>
      <c r="AM42" s="62">
        <f t="shared" si="5"/>
        <v>544.0126021114105</v>
      </c>
      <c r="AN42" s="62">
        <f ca="1">AVERAGE(OFFSET($AM$3,0,0,'Données projet'!$E$10+1,1))-AVERAGE(OFFSET($H$3,0,0,'Données projet'!$E$10+1,1))</f>
        <v>259.74478933784656</v>
      </c>
      <c r="AO42" s="62">
        <f t="shared" si="36"/>
        <v>223.74038909289646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24</v>
      </c>
      <c r="BD42" s="13">
        <f>IF('Données projet'!$A$88&gt;35,BD41+BC42-BL41,IF(A42&lt;'Données projet'!$A$88,$BA$205^A42,IF(A42='Données projet'!$A$88,'Données projet'!$B$88,BD41+BC42-BL41)))</f>
        <v>457.00000000000011</v>
      </c>
      <c r="BE42" s="14">
        <f>BD42*VLOOKUP('Données projet'!$B$11,Paramètres!$A$1:$I$89,3,0)*VLOOKUP('Données projet'!$B$11,Paramètres!$A$1:$I$89,5,0)</f>
        <v>255.46300000000008</v>
      </c>
      <c r="BF42" s="14">
        <f t="shared" si="37"/>
        <v>61.754284280703082</v>
      </c>
      <c r="BG42" s="22">
        <f t="shared" si="7"/>
        <v>552.48677012222458</v>
      </c>
      <c r="BH42" s="62">
        <f t="shared" si="8"/>
        <v>845.82010345555796</v>
      </c>
      <c r="BI42" s="62">
        <f ca="1">AVERAGE(OFFSET($BH$3,0,0,'Données projet'!$E$11+1,1))-AVERAGE(OFFSET($H$3,0,0,'Données projet'!$E$11+1,1))</f>
        <v>365.70510182727895</v>
      </c>
      <c r="BJ42" s="62">
        <f t="shared" si="38"/>
        <v>436.23833844962525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6.0984643711485331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0.8155350323310343</v>
      </c>
      <c r="BS42" s="24">
        <f t="shared" si="9"/>
        <v>6.9139994034795675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265</v>
      </c>
      <c r="L43" s="13">
        <f>VLOOKUP(A43,'Données projet'!$A$35:$I$55,9,0)</f>
        <v>10.7</v>
      </c>
      <c r="M43" s="13">
        <f t="array" ref="M43">INDEX(L:L,MIN(IF(ISNUMBER(L43:L239),ROW(L43:L239),"")))</f>
        <v>10.7</v>
      </c>
      <c r="N43" s="14">
        <f>IF('Données projet'!$A$36&gt;35,N42+M43-V42,IF(A43&lt;'Données projet'!$A$36,$K$205^A43,IF(A43='Données projet'!$A$36,'Données projet'!$B$36,N42+M43-V42)))</f>
        <v>264.99999999999994</v>
      </c>
      <c r="O43" s="14">
        <f>N43*VLOOKUP('Données projet'!$B$9,Paramètres!$A$1:$I$89,3,0)*VLOOKUP('Données projet'!$B$9,Paramètres!$A$1:$I$89,5,0)</f>
        <v>158.46999999999997</v>
      </c>
      <c r="P43" s="14">
        <f t="shared" si="33"/>
        <v>40.497226890293632</v>
      </c>
      <c r="Q43" s="22">
        <f t="shared" si="53"/>
        <v>346.53458683392802</v>
      </c>
      <c r="R43" s="62">
        <f t="shared" si="0"/>
        <v>639.86792016726133</v>
      </c>
      <c r="S43" s="62">
        <f ca="1">AVERAGE(OFFSET($R$3,0,0,'Données projet'!$E$9+1,1))-AVERAGE(OFFSET($H$3,0,0,'Données projet'!$E$9+1,1))</f>
        <v>207.99520960626666</v>
      </c>
      <c r="T43" s="62">
        <f t="shared" si="34"/>
        <v>306.39565990874775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projet'!$B$9,Paramètres!$A$1:$I$89,7,0))</f>
        <v>0.18000000000000002</v>
      </c>
      <c r="X43" s="17">
        <f>IF(ISNA(VLOOKUP(A43,'Données projet'!$A$35:$I$55,6,0)),0%,VLOOKUP(A43,'Données projet'!$A$35:$I$55,6,0)*VLOOKUP('Données projet'!$B$9,Paramètres!$A$1:$I$89,7,0))</f>
        <v>9.0000000000000011E-2</v>
      </c>
      <c r="Y43" s="17">
        <f>IF(ISNA(VLOOKUP(A43,'Données projet'!$A$35:$I$55,7,0)),0%,VLOOKUP(A43,'Données projet'!$A$35:$I$55,7,0))</f>
        <v>0.4</v>
      </c>
      <c r="Z43" s="23">
        <f>EXP(-LN(2)/35)*Z42+(1-EXP(-LN(2)/35))/(LN(2)/35)*V43*W43*VLOOKUP('Données projet'!$B$9,Paramètres!$A$1:$I$89,3,0)*0.475*44/12</f>
        <v>15.609376366999651</v>
      </c>
      <c r="AA43" s="23">
        <f>EXP(-LN(2)/25)*AA42+(1-EXP(-LN(2)/25))/(LN(2)/25)*Calculateur!V43*Calculateur!X43*VLOOKUP('Données projet'!$B$9,Paramètres!$A$1:$I$89,3,0)*0.475*44/12</f>
        <v>6.0887839476866592</v>
      </c>
      <c r="AB43" s="23">
        <f>EXP(-LN(2)/2)*AB42+(1-EXP(-LN(2)/2))/(LN(2)/2)*V43*Y43*VLOOKUP('Données projet'!$B$9,Paramètres!$A$1:$I$89,3,0)*0.475*44/12</f>
        <v>14.018558386223052</v>
      </c>
      <c r="AC43" s="24">
        <f t="shared" si="3"/>
        <v>35.716718700909368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250</v>
      </c>
      <c r="AJ43" s="14">
        <f>AI43*VLOOKUP('Données projet'!$B$10,Paramètres!$A$1:$I$89,3,0)*VLOOKUP('Données projet'!$B$10,Paramètres!$A$1:$I$89,5,0)</f>
        <v>117</v>
      </c>
      <c r="AK43" s="14">
        <f t="shared" si="35"/>
        <v>30.974270896484146</v>
      </c>
      <c r="AL43" s="22">
        <f t="shared" si="4"/>
        <v>257.72185514470988</v>
      </c>
      <c r="AM43" s="62">
        <f t="shared" si="5"/>
        <v>551.05518847804319</v>
      </c>
      <c r="AN43" s="62">
        <f ca="1">AVERAGE(OFFSET($AM$3,0,0,'Données projet'!$E$10+1,1))-AVERAGE(OFFSET($H$3,0,0,'Données projet'!$E$10+1,1))</f>
        <v>259.74478933784656</v>
      </c>
      <c r="AO43" s="62">
        <f t="shared" si="36"/>
        <v>223.74038909289646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481</v>
      </c>
      <c r="BB43" s="13">
        <f>VLOOKUP(A43,'Données projet'!$A$87:$I$107,9,0)</f>
        <v>24</v>
      </c>
      <c r="BC43" s="13">
        <f t="array" ref="BC43">INDEX(BB:BB,MIN(IF(ISNUMBER(BB43:BB239),ROW(BB43:BB239),"")))</f>
        <v>24</v>
      </c>
      <c r="BD43" s="13">
        <f>IF('Données projet'!$A$88&gt;35,BD42+BC43-BL42,IF(A43&lt;'Données projet'!$A$88,$BA$205^A43,IF(A43='Données projet'!$A$88,'Données projet'!$B$88,BD42+BC43-BL42)))</f>
        <v>481.00000000000011</v>
      </c>
      <c r="BE43" s="14">
        <f>BD43*VLOOKUP('Données projet'!$B$11,Paramètres!$A$1:$I$89,3,0)*VLOOKUP('Données projet'!$B$11,Paramètres!$A$1:$I$89,5,0)</f>
        <v>268.87900000000008</v>
      </c>
      <c r="BF43" s="14">
        <f t="shared" si="37"/>
        <v>64.611307219969405</v>
      </c>
      <c r="BG43" s="22">
        <f t="shared" si="7"/>
        <v>580.82895174144687</v>
      </c>
      <c r="BH43" s="62">
        <f t="shared" si="8"/>
        <v>874.16228507478013</v>
      </c>
      <c r="BI43" s="62">
        <f ca="1">AVERAGE(OFFSET($BH$3,0,0,'Données projet'!$E$11+1,1))-AVERAGE(OFFSET($H$3,0,0,'Données projet'!$E$11+1,1))</f>
        <v>365.70510182727895</v>
      </c>
      <c r="BJ43" s="62">
        <f t="shared" si="38"/>
        <v>436.23833844962525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58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5.9788772045262872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0.57667035165646463</v>
      </c>
      <c r="BS43" s="24">
        <f t="shared" si="9"/>
        <v>6.5555475561827521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7.9</v>
      </c>
      <c r="N44" s="14">
        <f>IF('Données projet'!$A$36&gt;35,N43+M44-V43,IF(A44&lt;'Données projet'!$A$36,$K$205^A44,IF(A44='Données projet'!$A$36,'Données projet'!$B$36,N43+M44-V43)))</f>
        <v>222.89999999999992</v>
      </c>
      <c r="O44" s="14">
        <f>N44*VLOOKUP('Données projet'!$B$9,Paramètres!$A$1:$I$89,3,0)*VLOOKUP('Données projet'!$B$9,Paramètres!$A$1:$I$89,5,0)</f>
        <v>133.29419999999996</v>
      </c>
      <c r="P44" s="14">
        <f t="shared" si="33"/>
        <v>34.756440080318377</v>
      </c>
      <c r="Q44" s="22">
        <f t="shared" si="53"/>
        <v>292.68819813988773</v>
      </c>
      <c r="R44" s="62">
        <f t="shared" si="0"/>
        <v>586.0215314732211</v>
      </c>
      <c r="S44" s="62">
        <f ca="1">AVERAGE(OFFSET($R$3,0,0,'Données projet'!$E$9+1,1))-AVERAGE(OFFSET($H$3,0,0,'Données projet'!$E$9+1,1))</f>
        <v>207.99520960626666</v>
      </c>
      <c r="T44" s="62">
        <f t="shared" si="34"/>
        <v>306.39565990874775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15.303286017222273</v>
      </c>
      <c r="AA44" s="23">
        <f>EXP(-LN(2)/25)*AA43+(1-EXP(-LN(2)/25))/(LN(2)/25)*Calculateur!V44*Calculateur!X44*VLOOKUP('Données projet'!$B$9,Paramètres!$A$1:$I$89,3,0)*0.475*44/12</f>
        <v>5.9222858304419361</v>
      </c>
      <c r="AB44" s="23">
        <f>EXP(-LN(2)/2)*AB43+(1-EXP(-LN(2)/2))/(LN(2)/2)*V44*Y44*VLOOKUP('Données projet'!$B$9,Paramètres!$A$1:$I$89,3,0)*0.475*44/12</f>
        <v>9.9126176973578648</v>
      </c>
      <c r="AC44" s="24">
        <f t="shared" si="3"/>
        <v>31.138189545022072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194</v>
      </c>
      <c r="AJ44" s="14">
        <f>AI44*VLOOKUP('Données projet'!$B$10,Paramètres!$A$1:$I$89,3,0)*VLOOKUP('Données projet'!$B$10,Paramètres!$A$1:$I$89,5,0)</f>
        <v>90.792000000000002</v>
      </c>
      <c r="AK44" s="14">
        <f t="shared" si="35"/>
        <v>24.756138813110173</v>
      </c>
      <c r="AL44" s="22">
        <f t="shared" si="4"/>
        <v>201.24634176616689</v>
      </c>
      <c r="AM44" s="62">
        <f t="shared" si="5"/>
        <v>494.57967509950021</v>
      </c>
      <c r="AN44" s="62">
        <f ca="1">AVERAGE(OFFSET($AM$3,0,0,'Données projet'!$E$10+1,1))-AVERAGE(OFFSET($H$3,0,0,'Données projet'!$E$10+1,1))</f>
        <v>259.74478933784656</v>
      </c>
      <c r="AO44" s="62">
        <f t="shared" si="36"/>
        <v>223.74038909289646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20.6</v>
      </c>
      <c r="BD44" s="13">
        <f>IF('Données projet'!$A$88&gt;35,BD43+BC44-BL43,IF(A44&lt;'Données projet'!$A$88,$BA$205^A44,IF(A44='Données projet'!$A$88,'Données projet'!$B$88,BD43+BC44-BL43)))</f>
        <v>443.60000000000014</v>
      </c>
      <c r="BE44" s="14">
        <f>BD44*VLOOKUP('Données projet'!$B$11,Paramètres!$A$1:$I$89,3,0)*VLOOKUP('Données projet'!$B$11,Paramètres!$A$1:$I$89,5,0)</f>
        <v>247.97240000000008</v>
      </c>
      <c r="BF44" s="14">
        <f t="shared" si="37"/>
        <v>60.151555263879217</v>
      </c>
      <c r="BG44" s="22">
        <f t="shared" si="7"/>
        <v>536.64922208458972</v>
      </c>
      <c r="BH44" s="62">
        <f t="shared" si="8"/>
        <v>829.98255541792309</v>
      </c>
      <c r="BI44" s="62">
        <f ca="1">AVERAGE(OFFSET($BH$3,0,0,'Données projet'!$E$11+1,1))-AVERAGE(OFFSET($H$3,0,0,'Données projet'!$E$11+1,1))</f>
        <v>365.70510182727895</v>
      </c>
      <c r="BJ44" s="62">
        <f t="shared" si="38"/>
        <v>436.23833844962525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5.8616350693005348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0.40776751616551715</v>
      </c>
      <c r="BS44" s="24">
        <f t="shared" si="9"/>
        <v>6.269402585466052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7.9</v>
      </c>
      <c r="N45" s="14">
        <f>IF('Données projet'!$A$36&gt;35,N44+M45-V44,IF(A45&lt;'Données projet'!$A$36,$K$205^A45,IF(A45='Données projet'!$A$36,'Données projet'!$B$36,N44+M45-V44)))</f>
        <v>230.79999999999993</v>
      </c>
      <c r="O45" s="14">
        <f>N45*VLOOKUP('Données projet'!$B$9,Paramètres!$A$1:$I$89,3,0)*VLOOKUP('Données projet'!$B$9,Paramètres!$A$1:$I$89,5,0)</f>
        <v>138.01839999999996</v>
      </c>
      <c r="P45" s="14">
        <f t="shared" si="33"/>
        <v>35.84267281669451</v>
      </c>
      <c r="Q45" s="22">
        <f t="shared" si="53"/>
        <v>302.80803515574286</v>
      </c>
      <c r="R45" s="62">
        <f t="shared" si="0"/>
        <v>596.14136848907617</v>
      </c>
      <c r="S45" s="62">
        <f ca="1">AVERAGE(OFFSET($R$3,0,0,'Données projet'!$E$9+1,1))-AVERAGE(OFFSET($H$3,0,0,'Données projet'!$E$9+1,1))</f>
        <v>207.99520960626666</v>
      </c>
      <c r="T45" s="62">
        <f t="shared" si="34"/>
        <v>306.39565990874775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15.003197912507352</v>
      </c>
      <c r="AA45" s="23">
        <f>EXP(-LN(2)/25)*AA44+(1-EXP(-LN(2)/25))/(LN(2)/25)*Calculateur!V45*Calculateur!X45*VLOOKUP('Données projet'!$B$9,Paramètres!$A$1:$I$89,3,0)*0.475*44/12</f>
        <v>5.7603406129690251</v>
      </c>
      <c r="AB45" s="23">
        <f>EXP(-LN(2)/2)*AB44+(1-EXP(-LN(2)/2))/(LN(2)/2)*V45*Y45*VLOOKUP('Données projet'!$B$9,Paramètres!$A$1:$I$89,3,0)*0.475*44/12</f>
        <v>7.009279193111527</v>
      </c>
      <c r="AC45" s="24">
        <f t="shared" si="3"/>
        <v>27.772817718587905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201</v>
      </c>
      <c r="AJ45" s="14">
        <f>AI45*VLOOKUP('Données projet'!$B$10,Paramètres!$A$1:$I$89,3,0)*VLOOKUP('Données projet'!$B$10,Paramètres!$A$1:$I$89,5,0)</f>
        <v>94.067999999999998</v>
      </c>
      <c r="AK45" s="14">
        <f t="shared" si="35"/>
        <v>25.543790108694029</v>
      </c>
      <c r="AL45" s="22">
        <f t="shared" si="4"/>
        <v>208.32386777264207</v>
      </c>
      <c r="AM45" s="62">
        <f t="shared" si="5"/>
        <v>501.65720110597539</v>
      </c>
      <c r="AN45" s="62">
        <f ca="1">AVERAGE(OFFSET($AM$3,0,0,'Données projet'!$E$10+1,1))-AVERAGE(OFFSET($H$3,0,0,'Données projet'!$E$10+1,1))</f>
        <v>259.74478933784656</v>
      </c>
      <c r="AO45" s="62">
        <f t="shared" si="36"/>
        <v>223.74038909289646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20.6</v>
      </c>
      <c r="BD45" s="13">
        <f>IF('Données projet'!$A$88&gt;35,BD44+BC45-BL44,IF(A45&lt;'Données projet'!$A$88,$BA$205^A45,IF(A45='Données projet'!$A$88,'Données projet'!$B$88,BD44+BC45-BL44)))</f>
        <v>464.20000000000016</v>
      </c>
      <c r="BE45" s="14">
        <f>BD45*VLOOKUP('Données projet'!$B$11,Paramètres!$A$1:$I$89,3,0)*VLOOKUP('Données projet'!$B$11,Paramètres!$A$1:$I$89,5,0)</f>
        <v>259.48780000000005</v>
      </c>
      <c r="BF45" s="14">
        <f t="shared" si="37"/>
        <v>62.613185087484013</v>
      </c>
      <c r="BG45" s="22">
        <f t="shared" si="7"/>
        <v>560.992549027368</v>
      </c>
      <c r="BH45" s="62">
        <f t="shared" si="8"/>
        <v>854.32588236070137</v>
      </c>
      <c r="BI45" s="62">
        <f ca="1">AVERAGE(OFFSET($BH$3,0,0,'Données projet'!$E$11+1,1))-AVERAGE(OFFSET($H$3,0,0,'Données projet'!$E$11+1,1))</f>
        <v>365.70510182727895</v>
      </c>
      <c r="BJ45" s="62">
        <f t="shared" si="38"/>
        <v>436.23833844962525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5.7466919808359176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0.28833517582823232</v>
      </c>
      <c r="BS45" s="24">
        <f t="shared" si="9"/>
        <v>6.0350271566641496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7.9</v>
      </c>
      <c r="N46" s="14">
        <f>IF('Données projet'!$A$36&gt;35,N45+M46-V45,IF(A46&lt;'Données projet'!$A$36,$K$205^A46,IF(A46='Données projet'!$A$36,'Données projet'!$B$36,N45+M46-V45)))</f>
        <v>238.69999999999993</v>
      </c>
      <c r="O46" s="14">
        <f>N46*VLOOKUP('Données projet'!$B$9,Paramètres!$A$1:$I$89,3,0)*VLOOKUP('Données projet'!$B$9,Paramètres!$A$1:$I$89,5,0)</f>
        <v>142.74259999999998</v>
      </c>
      <c r="P46" s="14">
        <f t="shared" si="33"/>
        <v>36.924585472239464</v>
      </c>
      <c r="Q46" s="22">
        <f t="shared" si="53"/>
        <v>312.92034803081702</v>
      </c>
      <c r="R46" s="62">
        <f t="shared" si="0"/>
        <v>606.25368136415034</v>
      </c>
      <c r="S46" s="62">
        <f ca="1">AVERAGE(OFFSET($R$3,0,0,'Données projet'!$E$9+1,1))-AVERAGE(OFFSET($H$3,0,0,'Données projet'!$E$9+1,1))</f>
        <v>207.99520960626666</v>
      </c>
      <c r="T46" s="62">
        <f t="shared" si="34"/>
        <v>306.39565990874775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14.708994352490219</v>
      </c>
      <c r="AA46" s="23">
        <f>EXP(-LN(2)/25)*AA45+(1-EXP(-LN(2)/25))/(LN(2)/25)*Calculateur!V46*Calculateur!X46*VLOOKUP('Données projet'!$B$9,Paramètres!$A$1:$I$89,3,0)*0.475*44/12</f>
        <v>5.6028237959842393</v>
      </c>
      <c r="AB46" s="23">
        <f>EXP(-LN(2)/2)*AB45+(1-EXP(-LN(2)/2))/(LN(2)/2)*V46*Y46*VLOOKUP('Données projet'!$B$9,Paramètres!$A$1:$I$89,3,0)*0.475*44/12</f>
        <v>4.9563088486789333</v>
      </c>
      <c r="AC46" s="24">
        <f t="shared" si="3"/>
        <v>25.268126997153391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208</v>
      </c>
      <c r="AJ46" s="14">
        <f>AI46*VLOOKUP('Données projet'!$B$10,Paramètres!$A$1:$I$89,3,0)*VLOOKUP('Données projet'!$B$10,Paramètres!$A$1:$I$89,5,0)</f>
        <v>97.343999999999994</v>
      </c>
      <c r="AK46" s="14">
        <f t="shared" si="35"/>
        <v>26.328254259866451</v>
      </c>
      <c r="AL46" s="22">
        <f t="shared" si="4"/>
        <v>215.39584283593408</v>
      </c>
      <c r="AM46" s="62">
        <f t="shared" si="5"/>
        <v>508.72917616926736</v>
      </c>
      <c r="AN46" s="62">
        <f ca="1">AVERAGE(OFFSET($AM$3,0,0,'Données projet'!$E$10+1,1))-AVERAGE(OFFSET($H$3,0,0,'Données projet'!$E$10+1,1))</f>
        <v>259.74478933784656</v>
      </c>
      <c r="AO46" s="62">
        <f t="shared" si="36"/>
        <v>223.74038909289646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20.6</v>
      </c>
      <c r="BD46" s="13">
        <f>IF('Données projet'!$A$88&gt;35,BD45+BC46-BL45,IF(A46&lt;'Données projet'!$A$88,$BA$205^A46,IF(A46='Données projet'!$A$88,'Données projet'!$B$88,BD45+BC46-BL45)))</f>
        <v>484.80000000000018</v>
      </c>
      <c r="BE46" s="14">
        <f>BD46*VLOOKUP('Données projet'!$B$11,Paramètres!$A$1:$I$89,3,0)*VLOOKUP('Données projet'!$B$11,Paramètres!$A$1:$I$89,5,0)</f>
        <v>271.00320000000011</v>
      </c>
      <c r="BF46" s="14">
        <f t="shared" si="37"/>
        <v>65.062127670866857</v>
      </c>
      <c r="BG46" s="22">
        <f t="shared" si="7"/>
        <v>585.31377902676002</v>
      </c>
      <c r="BH46" s="62">
        <f t="shared" si="8"/>
        <v>878.64711236009339</v>
      </c>
      <c r="BI46" s="62">
        <f ca="1">AVERAGE(OFFSET($BH$3,0,0,'Données projet'!$E$11+1,1))-AVERAGE(OFFSET($H$3,0,0,'Données projet'!$E$11+1,1))</f>
        <v>365.70510182727895</v>
      </c>
      <c r="BJ46" s="62">
        <f t="shared" si="38"/>
        <v>436.23833844962525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5.6340028562277302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0.20388375808275858</v>
      </c>
      <c r="BS46" s="24">
        <f t="shared" si="9"/>
        <v>5.8378866143104888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7.9</v>
      </c>
      <c r="N47" s="14">
        <f>IF('Données projet'!$A$36&gt;35,N46+M47-V46,IF(A47&lt;'Données projet'!$A$36,$K$205^A47,IF(A47='Données projet'!$A$36,'Données projet'!$B$36,N46+M47-V46)))</f>
        <v>246.59999999999994</v>
      </c>
      <c r="O47" s="14">
        <f>N47*VLOOKUP('Données projet'!$B$9,Paramètres!$A$1:$I$89,3,0)*VLOOKUP('Données projet'!$B$9,Paramètres!$A$1:$I$89,5,0)</f>
        <v>147.46679999999998</v>
      </c>
      <c r="P47" s="14">
        <f t="shared" si="33"/>
        <v>38.002337418636273</v>
      </c>
      <c r="Q47" s="22">
        <f t="shared" si="53"/>
        <v>323.02541433745813</v>
      </c>
      <c r="R47" s="62">
        <f t="shared" si="0"/>
        <v>616.35874767079144</v>
      </c>
      <c r="S47" s="62">
        <f ca="1">AVERAGE(OFFSET($R$3,0,0,'Données projet'!$E$9+1,1))-AVERAGE(OFFSET($H$3,0,0,'Données projet'!$E$9+1,1))</f>
        <v>207.99520960626666</v>
      </c>
      <c r="T47" s="62">
        <f t="shared" si="34"/>
        <v>306.39565990874775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14.420559944838569</v>
      </c>
      <c r="AA47" s="23">
        <f>EXP(-LN(2)/25)*AA46+(1-EXP(-LN(2)/25))/(LN(2)/25)*Calculateur!V47*Calculateur!X47*VLOOKUP('Données projet'!$B$9,Paramètres!$A$1:$I$89,3,0)*0.475*44/12</f>
        <v>5.449614284643352</v>
      </c>
      <c r="AB47" s="23">
        <f>EXP(-LN(2)/2)*AB46+(1-EXP(-LN(2)/2))/(LN(2)/2)*V47*Y47*VLOOKUP('Données projet'!$B$9,Paramètres!$A$1:$I$89,3,0)*0.475*44/12</f>
        <v>3.504639596555764</v>
      </c>
      <c r="AC47" s="24">
        <f t="shared" si="3"/>
        <v>23.374813826037688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215</v>
      </c>
      <c r="AJ47" s="14">
        <f>AI47*VLOOKUP('Données projet'!$B$10,Paramètres!$A$1:$I$89,3,0)*VLOOKUP('Données projet'!$B$10,Paramètres!$A$1:$I$89,5,0)</f>
        <v>100.61999999999999</v>
      </c>
      <c r="AK47" s="14">
        <f t="shared" si="35"/>
        <v>27.10965082293415</v>
      </c>
      <c r="AL47" s="22">
        <f t="shared" si="4"/>
        <v>222.46247518327695</v>
      </c>
      <c r="AM47" s="62">
        <f t="shared" si="5"/>
        <v>515.79580851661024</v>
      </c>
      <c r="AN47" s="62">
        <f ca="1">AVERAGE(OFFSET($AM$3,0,0,'Données projet'!$E$10+1,1))-AVERAGE(OFFSET($H$3,0,0,'Données projet'!$E$10+1,1))</f>
        <v>259.74478933784656</v>
      </c>
      <c r="AO47" s="62">
        <f t="shared" si="36"/>
        <v>223.74038909289646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20.6</v>
      </c>
      <c r="BD47" s="13">
        <f>IF('Données projet'!$A$88&gt;35,BD46+BC47-BL46,IF(A47&lt;'Données projet'!$A$88,$BA$205^A47,IF(A47='Données projet'!$A$88,'Données projet'!$B$88,BD46+BC47-BL46)))</f>
        <v>505.4000000000002</v>
      </c>
      <c r="BE47" s="14">
        <f>BD47*VLOOKUP('Données projet'!$B$11,Paramètres!$A$1:$I$89,3,0)*VLOOKUP('Données projet'!$B$11,Paramètres!$A$1:$I$89,5,0)</f>
        <v>282.51860000000011</v>
      </c>
      <c r="BF47" s="14">
        <f t="shared" si="37"/>
        <v>67.498983751557503</v>
      </c>
      <c r="BG47" s="22">
        <f t="shared" si="7"/>
        <v>609.61395836729616</v>
      </c>
      <c r="BH47" s="62">
        <f t="shared" si="8"/>
        <v>902.94729170062942</v>
      </c>
      <c r="BI47" s="62">
        <f ca="1">AVERAGE(OFFSET($BH$3,0,0,'Données projet'!$E$11+1,1))-AVERAGE(OFFSET($H$3,0,0,'Données projet'!$E$11+1,1))</f>
        <v>365.70510182727895</v>
      </c>
      <c r="BJ47" s="62">
        <f t="shared" si="38"/>
        <v>436.23833844962525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5.5235234966195303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0.14416758791411616</v>
      </c>
      <c r="BS47" s="24">
        <f t="shared" si="9"/>
        <v>5.6676910845336463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7.9</v>
      </c>
      <c r="N48" s="14">
        <f>IF('Données projet'!$A$36&gt;35,N47+M48-V47,IF(A48&lt;'Données projet'!$A$36,$K$205^A48,IF(A48='Données projet'!$A$36,'Données projet'!$B$36,N47+M48-V47)))</f>
        <v>254.49999999999994</v>
      </c>
      <c r="O48" s="14">
        <f>N48*VLOOKUP('Données projet'!$B$9,Paramètres!$A$1:$I$89,3,0)*VLOOKUP('Données projet'!$B$9,Paramètres!$A$1:$I$89,5,0)</f>
        <v>152.19099999999997</v>
      </c>
      <c r="P48" s="14">
        <f t="shared" si="33"/>
        <v>39.07607723663272</v>
      </c>
      <c r="Q48" s="22">
        <f t="shared" si="53"/>
        <v>333.12349285380191</v>
      </c>
      <c r="R48" s="62">
        <f t="shared" si="0"/>
        <v>626.45682618713522</v>
      </c>
      <c r="S48" s="62">
        <f ca="1">AVERAGE(OFFSET($R$3,0,0,'Données projet'!$E$9+1,1))-AVERAGE(OFFSET($H$3,0,0,'Données projet'!$E$9+1,1))</f>
        <v>207.99520960626666</v>
      </c>
      <c r="T48" s="62">
        <f t="shared" si="34"/>
        <v>306.39565990874775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14.13778155999335</v>
      </c>
      <c r="AA48" s="23">
        <f>EXP(-LN(2)/25)*AA47+(1-EXP(-LN(2)/25))/(LN(2)/25)*Calculateur!V48*Calculateur!X48*VLOOKUP('Données projet'!$B$9,Paramètres!$A$1:$I$89,3,0)*0.475*44/12</f>
        <v>5.3005942954470191</v>
      </c>
      <c r="AB48" s="23">
        <f>EXP(-LN(2)/2)*AB47+(1-EXP(-LN(2)/2))/(LN(2)/2)*V48*Y48*VLOOKUP('Données projet'!$B$9,Paramètres!$A$1:$I$89,3,0)*0.475*44/12</f>
        <v>2.4781544243394671</v>
      </c>
      <c r="AC48" s="24">
        <f t="shared" si="3"/>
        <v>21.916530279779838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222</v>
      </c>
      <c r="AJ48" s="14">
        <f>AI48*VLOOKUP('Données projet'!$B$10,Paramètres!$A$1:$I$89,3,0)*VLOOKUP('Données projet'!$B$10,Paramètres!$A$1:$I$89,5,0)</f>
        <v>103.896</v>
      </c>
      <c r="AK48" s="14">
        <f t="shared" si="35"/>
        <v>27.888091127225799</v>
      </c>
      <c r="AL48" s="22">
        <f t="shared" si="4"/>
        <v>229.52395871325157</v>
      </c>
      <c r="AM48" s="62">
        <f t="shared" si="5"/>
        <v>522.85729204658492</v>
      </c>
      <c r="AN48" s="62">
        <f ca="1">AVERAGE(OFFSET($AM$3,0,0,'Données projet'!$E$10+1,1))-AVERAGE(OFFSET($H$3,0,0,'Données projet'!$E$10+1,1))</f>
        <v>259.74478933784656</v>
      </c>
      <c r="AO48" s="62">
        <f t="shared" si="36"/>
        <v>223.74038909289646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526</v>
      </c>
      <c r="BB48" s="13">
        <f>VLOOKUP(A48,'Données projet'!$A$87:$I$107,9,0)</f>
        <v>20.6</v>
      </c>
      <c r="BC48" s="13">
        <f t="array" ref="BC48">INDEX(BB:BB,MIN(IF(ISNUMBER(BB48:BB244),ROW(BB48:BB244),"")))</f>
        <v>20.6</v>
      </c>
      <c r="BD48" s="13">
        <f>IF('Données projet'!$A$88&gt;35,BD47+BC48-BL47,IF(A48&lt;'Données projet'!$A$88,$BA$205^A48,IF(A48='Données projet'!$A$88,'Données projet'!$B$88,BD47+BC48-BL47)))</f>
        <v>526.00000000000023</v>
      </c>
      <c r="BE48" s="14">
        <f>BD48*VLOOKUP('Données projet'!$B$11,Paramètres!$A$1:$I$89,3,0)*VLOOKUP('Données projet'!$B$11,Paramètres!$A$1:$I$89,5,0)</f>
        <v>294.03400000000011</v>
      </c>
      <c r="BF48" s="14">
        <f t="shared" si="37"/>
        <v>69.924302323873434</v>
      </c>
      <c r="BG48" s="22">
        <f t="shared" si="7"/>
        <v>633.89404321407972</v>
      </c>
      <c r="BH48" s="62">
        <f t="shared" si="8"/>
        <v>927.22737654741309</v>
      </c>
      <c r="BI48" s="62">
        <f ca="1">AVERAGE(OFFSET($BH$3,0,0,'Données projet'!$E$11+1,1))-AVERAGE(OFFSET($H$3,0,0,'Données projet'!$E$11+1,1))</f>
        <v>365.70510182727895</v>
      </c>
      <c r="BJ48" s="62">
        <f t="shared" si="38"/>
        <v>436.23833844962525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57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5.4152105698674919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0.10194187904137929</v>
      </c>
      <c r="BS48" s="24">
        <f t="shared" si="9"/>
        <v>5.5171524489088712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7.9</v>
      </c>
      <c r="N49" s="14">
        <f>IF('Données projet'!$A$36&gt;35,N48+M49-V48,IF(A49&lt;'Données projet'!$A$36,$K$205^A49,IF(A49='Données projet'!$A$36,'Données projet'!$B$36,N48+M49-V48)))</f>
        <v>262.39999999999992</v>
      </c>
      <c r="O49" s="14">
        <f>N49*VLOOKUP('Données projet'!$B$9,Paramètres!$A$1:$I$89,3,0)*VLOOKUP('Données projet'!$B$9,Paramètres!$A$1:$I$89,5,0)</f>
        <v>156.91519999999997</v>
      </c>
      <c r="P49" s="14">
        <f t="shared" si="33"/>
        <v>40.145943758721963</v>
      </c>
      <c r="Q49" s="22">
        <f t="shared" si="53"/>
        <v>343.21482537977403</v>
      </c>
      <c r="R49" s="62">
        <f t="shared" si="0"/>
        <v>636.54815871310734</v>
      </c>
      <c r="S49" s="62">
        <f ca="1">AVERAGE(OFFSET($R$3,0,0,'Données projet'!$E$9+1,1))-AVERAGE(OFFSET($H$3,0,0,'Données projet'!$E$9+1,1))</f>
        <v>207.99520960626666</v>
      </c>
      <c r="T49" s="62">
        <f t="shared" si="34"/>
        <v>306.39565990874775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13.860548286797162</v>
      </c>
      <c r="AA49" s="23">
        <f>EXP(-LN(2)/25)*AA48+(1-EXP(-LN(2)/25))/(LN(2)/25)*Calculateur!V49*Calculateur!X49*VLOOKUP('Données projet'!$B$9,Paramètres!$A$1:$I$89,3,0)*0.475*44/12</f>
        <v>5.1556492656918813</v>
      </c>
      <c r="AB49" s="23">
        <f>EXP(-LN(2)/2)*AB48+(1-EXP(-LN(2)/2))/(LN(2)/2)*V49*Y49*VLOOKUP('Données projet'!$B$9,Paramètres!$A$1:$I$89,3,0)*0.475*44/12</f>
        <v>1.7523197982778824</v>
      </c>
      <c r="AC49" s="24">
        <f t="shared" si="3"/>
        <v>20.768517350766924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229</v>
      </c>
      <c r="AJ49" s="14">
        <f>AI49*VLOOKUP('Données projet'!$B$10,Paramètres!$A$1:$I$89,3,0)*VLOOKUP('Données projet'!$B$10,Paramètres!$A$1:$I$89,5,0)</f>
        <v>107.172</v>
      </c>
      <c r="AK49" s="14">
        <f t="shared" si="35"/>
        <v>28.663679082578788</v>
      </c>
      <c r="AL49" s="22">
        <f t="shared" si="4"/>
        <v>236.58047440215805</v>
      </c>
      <c r="AM49" s="62">
        <f t="shared" si="5"/>
        <v>529.91380773549133</v>
      </c>
      <c r="AN49" s="62">
        <f ca="1">AVERAGE(OFFSET($AM$3,0,0,'Données projet'!$E$10+1,1))-AVERAGE(OFFSET($H$3,0,0,'Données projet'!$E$10+1,1))</f>
        <v>259.74478933784656</v>
      </c>
      <c r="AO49" s="62">
        <f t="shared" si="36"/>
        <v>223.74038909289646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15</v>
      </c>
      <c r="BD49" s="13">
        <f>IF('Données projet'!$A$88&gt;35,BD48+BC49-BL48,IF(A49&lt;'Données projet'!$A$88,$BA$205^A49,IF(A49='Données projet'!$A$88,'Données projet'!$B$88,BD48+BC49-BL48)))</f>
        <v>484.00000000000023</v>
      </c>
      <c r="BE49" s="14">
        <f>BD49*VLOOKUP('Données projet'!$B$11,Paramètres!$A$1:$I$89,3,0)*VLOOKUP('Données projet'!$B$11,Paramètres!$A$1:$I$89,5,0)</f>
        <v>270.55600000000015</v>
      </c>
      <c r="BF49" s="14">
        <f t="shared" si="37"/>
        <v>64.967252389325282</v>
      </c>
      <c r="BG49" s="22">
        <f t="shared" si="7"/>
        <v>584.36966457807512</v>
      </c>
      <c r="BH49" s="62">
        <f t="shared" si="8"/>
        <v>877.70299791140837</v>
      </c>
      <c r="BI49" s="62">
        <f ca="1">AVERAGE(OFFSET($BH$3,0,0,'Données projet'!$E$11+1,1))-AVERAGE(OFFSET($H$3,0,0,'Données projet'!$E$11+1,1))</f>
        <v>365.70510182727895</v>
      </c>
      <c r="BJ49" s="62">
        <f t="shared" si="38"/>
        <v>436.23833844962525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5.3090215935446983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7.2083793957058079E-2</v>
      </c>
      <c r="BS49" s="24">
        <f t="shared" si="9"/>
        <v>5.3811053875017567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7.9</v>
      </c>
      <c r="N50" s="14">
        <f>IF('Données projet'!$A$36&gt;35,N49+M50-V49,IF(A50&lt;'Données projet'!$A$36,$K$205^A50,IF(A50='Données projet'!$A$36,'Données projet'!$B$36,N49+M50-V49)))</f>
        <v>270.2999999999999</v>
      </c>
      <c r="O50" s="14">
        <f>N50*VLOOKUP('Données projet'!$B$9,Paramètres!$A$1:$I$89,3,0)*VLOOKUP('Données projet'!$B$9,Paramètres!$A$1:$I$89,5,0)</f>
        <v>161.63939999999997</v>
      </c>
      <c r="P50" s="14">
        <f t="shared" si="33"/>
        <v>41.212066982728679</v>
      </c>
      <c r="Q50" s="22">
        <f t="shared" si="53"/>
        <v>353.29963832825234</v>
      </c>
      <c r="R50" s="62">
        <f t="shared" si="0"/>
        <v>646.63297166158566</v>
      </c>
      <c r="S50" s="62">
        <f ca="1">AVERAGE(OFFSET($R$3,0,0,'Données projet'!$E$9+1,1))-AVERAGE(OFFSET($H$3,0,0,'Données projet'!$E$9+1,1))</f>
        <v>207.99520960626666</v>
      </c>
      <c r="T50" s="62">
        <f t="shared" si="34"/>
        <v>306.39565990874775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13.588751388992751</v>
      </c>
      <c r="AA50" s="23">
        <f>EXP(-LN(2)/25)*AA49+(1-EXP(-LN(2)/25))/(LN(2)/25)*Calculateur!V50*Calculateur!X50*VLOOKUP('Données projet'!$B$9,Paramètres!$A$1:$I$89,3,0)*0.475*44/12</f>
        <v>5.014667765397725</v>
      </c>
      <c r="AB50" s="23">
        <f>EXP(-LN(2)/2)*AB49+(1-EXP(-LN(2)/2))/(LN(2)/2)*V50*Y50*VLOOKUP('Données projet'!$B$9,Paramètres!$A$1:$I$89,3,0)*0.475*44/12</f>
        <v>1.2390772121697338</v>
      </c>
      <c r="AC50" s="24">
        <f t="shared" si="3"/>
        <v>19.842496366560209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236</v>
      </c>
      <c r="AJ50" s="14">
        <f>AI50*VLOOKUP('Données projet'!$B$10,Paramètres!$A$1:$I$89,3,0)*VLOOKUP('Données projet'!$B$10,Paramètres!$A$1:$I$89,5,0)</f>
        <v>110.44799999999999</v>
      </c>
      <c r="AK50" s="14">
        <f t="shared" si="35"/>
        <v>29.436511885319565</v>
      </c>
      <c r="AL50" s="22">
        <f t="shared" si="4"/>
        <v>243.63219153359822</v>
      </c>
      <c r="AM50" s="62">
        <f t="shared" si="5"/>
        <v>536.96552486693156</v>
      </c>
      <c r="AN50" s="62">
        <f ca="1">AVERAGE(OFFSET($AM$3,0,0,'Données projet'!$E$10+1,1))-AVERAGE(OFFSET($H$3,0,0,'Données projet'!$E$10+1,1))</f>
        <v>259.74478933784656</v>
      </c>
      <c r="AO50" s="62">
        <f t="shared" si="36"/>
        <v>223.74038909289646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15</v>
      </c>
      <c r="BD50" s="13">
        <f>IF('Données projet'!$A$88&gt;35,BD49+BC50-BL49,IF(A50&lt;'Données projet'!$A$88,$BA$205^A50,IF(A50='Données projet'!$A$88,'Données projet'!$B$88,BD49+BC50-BL49)))</f>
        <v>499.00000000000023</v>
      </c>
      <c r="BE50" s="14">
        <f>BD50*VLOOKUP('Données projet'!$B$11,Paramètres!$A$1:$I$89,3,0)*VLOOKUP('Données projet'!$B$11,Paramètres!$A$1:$I$89,5,0)</f>
        <v>278.94100000000014</v>
      </c>
      <c r="BF50" s="14">
        <f t="shared" si="37"/>
        <v>66.743162406600192</v>
      </c>
      <c r="BG50" s="22">
        <f t="shared" si="7"/>
        <v>602.06658285816218</v>
      </c>
      <c r="BH50" s="62">
        <f t="shared" si="8"/>
        <v>895.39991619149555</v>
      </c>
      <c r="BI50" s="62">
        <f ca="1">AVERAGE(OFFSET($BH$3,0,0,'Données projet'!$E$11+1,1))-AVERAGE(OFFSET($H$3,0,0,'Données projet'!$E$11+1,1))</f>
        <v>365.70510182727895</v>
      </c>
      <c r="BJ50" s="62">
        <f t="shared" si="38"/>
        <v>436.23833844962525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5.2049149182787149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5.0970939520689644E-2</v>
      </c>
      <c r="BS50" s="24">
        <f t="shared" si="9"/>
        <v>5.2558858577994041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7.9</v>
      </c>
      <c r="N51" s="14">
        <f>IF('Données projet'!$A$36&gt;35,N50+M51-V50,IF(A51&lt;'Données projet'!$A$36,$K$205^A51,IF(A51='Données projet'!$A$36,'Données projet'!$B$36,N50+M51-V50)))</f>
        <v>278.19999999999987</v>
      </c>
      <c r="O51" s="14">
        <f>N51*VLOOKUP('Données projet'!$B$9,Paramètres!$A$1:$I$89,3,0)*VLOOKUP('Données projet'!$B$9,Paramètres!$A$1:$I$89,5,0)</f>
        <v>166.36359999999993</v>
      </c>
      <c r="P51" s="14">
        <f t="shared" si="33"/>
        <v>42.274568875588898</v>
      </c>
      <c r="Q51" s="22">
        <f t="shared" si="53"/>
        <v>363.37814412498386</v>
      </c>
      <c r="R51" s="62">
        <f t="shared" si="0"/>
        <v>656.71147745831718</v>
      </c>
      <c r="S51" s="62">
        <f ca="1">AVERAGE(OFFSET($R$3,0,0,'Données projet'!$E$9+1,1))-AVERAGE(OFFSET($H$3,0,0,'Données projet'!$E$9+1,1))</f>
        <v>207.99520960626666</v>
      </c>
      <c r="T51" s="62">
        <f t="shared" si="34"/>
        <v>306.39565990874775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13.322284262574547</v>
      </c>
      <c r="AA51" s="23">
        <f>EXP(-LN(2)/25)*AA50+(1-EXP(-LN(2)/25))/(LN(2)/25)*Calculateur!V51*Calculateur!X51*VLOOKUP('Données projet'!$B$9,Paramètres!$A$1:$I$89,3,0)*0.475*44/12</f>
        <v>4.8775414116430076</v>
      </c>
      <c r="AB51" s="23">
        <f>EXP(-LN(2)/2)*AB50+(1-EXP(-LN(2)/2))/(LN(2)/2)*V51*Y51*VLOOKUP('Données projet'!$B$9,Paramètres!$A$1:$I$89,3,0)*0.475*44/12</f>
        <v>0.87615989913894132</v>
      </c>
      <c r="AC51" s="24">
        <f t="shared" si="3"/>
        <v>19.075985573356494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243</v>
      </c>
      <c r="AJ51" s="14">
        <f>AI51*VLOOKUP('Données projet'!$B$10,Paramètres!$A$1:$I$89,3,0)*VLOOKUP('Données projet'!$B$10,Paramètres!$A$1:$I$89,5,0)</f>
        <v>113.72399999999999</v>
      </c>
      <c r="AK51" s="14">
        <f t="shared" si="35"/>
        <v>30.206680638130489</v>
      </c>
      <c r="AL51" s="22">
        <f t="shared" si="4"/>
        <v>250.67926877807722</v>
      </c>
      <c r="AM51" s="62">
        <f t="shared" si="5"/>
        <v>544.0126021114105</v>
      </c>
      <c r="AN51" s="62">
        <f ca="1">AVERAGE(OFFSET($AM$3,0,0,'Données projet'!$E$10+1,1))-AVERAGE(OFFSET($H$3,0,0,'Données projet'!$E$10+1,1))</f>
        <v>259.74478933784656</v>
      </c>
      <c r="AO51" s="62">
        <f t="shared" si="36"/>
        <v>223.74038909289646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15</v>
      </c>
      <c r="BD51" s="13">
        <f>IF('Données projet'!$A$88&gt;35,BD50+BC51-BL50,IF(A51&lt;'Données projet'!$A$88,$BA$205^A51,IF(A51='Données projet'!$A$88,'Données projet'!$B$88,BD50+BC51-BL50)))</f>
        <v>514.00000000000023</v>
      </c>
      <c r="BE51" s="14">
        <f>BD51*VLOOKUP('Données projet'!$B$11,Paramètres!$A$1:$I$89,3,0)*VLOOKUP('Données projet'!$B$11,Paramètres!$A$1:$I$89,5,0)</f>
        <v>287.32600000000014</v>
      </c>
      <c r="BF51" s="14">
        <f t="shared" si="37"/>
        <v>68.512868389632118</v>
      </c>
      <c r="BG51" s="22">
        <f t="shared" si="7"/>
        <v>619.75269577860945</v>
      </c>
      <c r="BH51" s="62">
        <f t="shared" si="8"/>
        <v>913.08602911194271</v>
      </c>
      <c r="BI51" s="62">
        <f ca="1">AVERAGE(OFFSET($BH$3,0,0,'Données projet'!$E$11+1,1))-AVERAGE(OFFSET($H$3,0,0,'Données projet'!$E$11+1,1))</f>
        <v>365.70510182727895</v>
      </c>
      <c r="BJ51" s="62">
        <f t="shared" si="38"/>
        <v>436.23833844962525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5.1028497114158951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3.6041896978529039E-2</v>
      </c>
      <c r="BS51" s="24">
        <f t="shared" si="9"/>
        <v>5.1388916083944238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7.9</v>
      </c>
      <c r="N52" s="14">
        <f>IF('Données projet'!$A$36&gt;35,N51+M52-V51,IF(A52&lt;'Données projet'!$A$36,$K$205^A52,IF(A52='Données projet'!$A$36,'Données projet'!$B$36,N51+M52-V51)))</f>
        <v>286.09999999999985</v>
      </c>
      <c r="O52" s="14">
        <f>N52*VLOOKUP('Données projet'!$B$9,Paramètres!$A$1:$I$89,3,0)*VLOOKUP('Données projet'!$B$9,Paramètres!$A$1:$I$89,5,0)</f>
        <v>171.08779999999993</v>
      </c>
      <c r="P52" s="14">
        <f t="shared" si="33"/>
        <v>43.333564083264214</v>
      </c>
      <c r="Q52" s="22">
        <f t="shared" si="53"/>
        <v>373.45054244501836</v>
      </c>
      <c r="R52" s="62">
        <f t="shared" si="0"/>
        <v>666.78387577835167</v>
      </c>
      <c r="S52" s="62">
        <f ca="1">AVERAGE(OFFSET($R$3,0,0,'Données projet'!$E$9+1,1))-AVERAGE(OFFSET($H$3,0,0,'Données projet'!$E$9+1,1))</f>
        <v>207.99520960626666</v>
      </c>
      <c r="T52" s="62">
        <f t="shared" si="34"/>
        <v>306.39565990874775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13.061042393976505</v>
      </c>
      <c r="AA52" s="23">
        <f>EXP(-LN(2)/25)*AA51+(1-EXP(-LN(2)/25))/(LN(2)/25)*Calculateur!V52*Calculateur!X52*VLOOKUP('Données projet'!$B$9,Paramètres!$A$1:$I$89,3,0)*0.475*44/12</f>
        <v>4.7441647852428748</v>
      </c>
      <c r="AB52" s="23">
        <f>EXP(-LN(2)/2)*AB51+(1-EXP(-LN(2)/2))/(LN(2)/2)*V52*Y52*VLOOKUP('Données projet'!$B$9,Paramètres!$A$1:$I$89,3,0)*0.475*44/12</f>
        <v>0.61953860608486699</v>
      </c>
      <c r="AC52" s="24">
        <f t="shared" si="3"/>
        <v>18.424745785304246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250</v>
      </c>
      <c r="AJ52" s="14">
        <f>AI52*VLOOKUP('Données projet'!$B$10,Paramètres!$A$1:$I$89,3,0)*VLOOKUP('Données projet'!$B$10,Paramètres!$A$1:$I$89,5,0)</f>
        <v>117</v>
      </c>
      <c r="AK52" s="14">
        <f t="shared" si="35"/>
        <v>30.974270896484146</v>
      </c>
      <c r="AL52" s="22">
        <f t="shared" si="4"/>
        <v>257.72185514470988</v>
      </c>
      <c r="AM52" s="62">
        <f t="shared" si="5"/>
        <v>551.05518847804319</v>
      </c>
      <c r="AN52" s="62">
        <f ca="1">AVERAGE(OFFSET($AM$3,0,0,'Données projet'!$E$10+1,1))-AVERAGE(OFFSET($H$3,0,0,'Données projet'!$E$10+1,1))</f>
        <v>259.74478933784656</v>
      </c>
      <c r="AO52" s="62">
        <f t="shared" si="36"/>
        <v>223.74038909289646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15</v>
      </c>
      <c r="BD52" s="13">
        <f>IF('Données projet'!$A$88&gt;35,BD51+BC52-BL51,IF(A52&lt;'Données projet'!$A$88,$BA$205^A52,IF(A52='Données projet'!$A$88,'Données projet'!$B$88,BD51+BC52-BL51)))</f>
        <v>529.00000000000023</v>
      </c>
      <c r="BE52" s="14">
        <f>BD52*VLOOKUP('Données projet'!$B$11,Paramètres!$A$1:$I$89,3,0)*VLOOKUP('Données projet'!$B$11,Paramètres!$A$1:$I$89,5,0)</f>
        <v>295.71100000000013</v>
      </c>
      <c r="BF52" s="14">
        <f t="shared" si="37"/>
        <v>70.276572179571303</v>
      </c>
      <c r="BG52" s="22">
        <f t="shared" si="7"/>
        <v>637.42835487942023</v>
      </c>
      <c r="BH52" s="62">
        <f t="shared" si="8"/>
        <v>930.7616882127536</v>
      </c>
      <c r="BI52" s="62">
        <f ca="1">AVERAGE(OFFSET($BH$3,0,0,'Données projet'!$E$11+1,1))-AVERAGE(OFFSET($H$3,0,0,'Données projet'!$E$11+1,1))</f>
        <v>365.70510182727895</v>
      </c>
      <c r="BJ52" s="62">
        <f t="shared" si="38"/>
        <v>436.23833844962525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5.0027859410060262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2.5485469760344822E-2</v>
      </c>
      <c r="BS52" s="24">
        <f t="shared" si="9"/>
        <v>5.0282714107663713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294</v>
      </c>
      <c r="L53" s="13">
        <f>VLOOKUP(A53,'Données projet'!$A$35:$I$55,9,0)</f>
        <v>7.9</v>
      </c>
      <c r="M53" s="13">
        <f t="array" ref="M53">INDEX(L:L,MIN(IF(ISNUMBER(L53:L249),ROW(L53:L249),"")))</f>
        <v>7.9</v>
      </c>
      <c r="N53" s="14">
        <f>IF('Données projet'!$A$36&gt;35,N52+M53-V52,IF(A53&lt;'Données projet'!$A$36,$K$205^A53,IF(A53='Données projet'!$A$36,'Données projet'!$B$36,N52+M53-V52)))</f>
        <v>293.99999999999983</v>
      </c>
      <c r="O53" s="14">
        <f>N53*VLOOKUP('Données projet'!$B$9,Paramètres!$A$1:$I$89,3,0)*VLOOKUP('Données projet'!$B$9,Paramètres!$A$1:$I$89,5,0)</f>
        <v>175.8119999999999</v>
      </c>
      <c r="P53" s="14">
        <f t="shared" si="33"/>
        <v>44.389160560041141</v>
      </c>
      <c r="Q53" s="22">
        <f t="shared" si="53"/>
        <v>383.51702130873815</v>
      </c>
      <c r="R53" s="62">
        <f t="shared" si="0"/>
        <v>676.85035464207147</v>
      </c>
      <c r="S53" s="62">
        <f ca="1">AVERAGE(OFFSET($R$3,0,0,'Données projet'!$E$9+1,1))-AVERAGE(OFFSET($H$3,0,0,'Données projet'!$E$9+1,1))</f>
        <v>207.99520960626666</v>
      </c>
      <c r="T53" s="62">
        <f t="shared" si="34"/>
        <v>306.39565990874775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294</v>
      </c>
      <c r="W53" s="17">
        <f>IF(ISNA(VLOOKUP(A53,'Données projet'!$A$35:$I$55,5,0)),0%,VLOOKUP(A53,'Données projet'!$A$35:$I$55,5,0)*VLOOKUP('Données projet'!$B$9,Paramètres!$A$1:$I$89,7,0))</f>
        <v>0.315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0.3</v>
      </c>
      <c r="Z53" s="23">
        <f>EXP(-LN(2)/35)*Z52+(1-EXP(-LN(2)/35))/(LN(2)/35)*V53*W53*VLOOKUP('Données projet'!$B$9,Paramètres!$A$1:$I$89,3,0)*0.475*44/12</f>
        <v>86.271097581596848</v>
      </c>
      <c r="AA53" s="23">
        <f>EXP(-LN(2)/25)*AA52+(1-EXP(-LN(2)/25))/(LN(2)/25)*Calculateur!V53*Calculateur!X53*VLOOKUP('Données projet'!$B$9,Paramètres!$A$1:$I$89,3,0)*0.475*44/12</f>
        <v>4.6144353497056256</v>
      </c>
      <c r="AB53" s="23">
        <f>EXP(-LN(2)/2)*AB52+(1-EXP(-LN(2)/2))/(LN(2)/2)*V53*Y53*VLOOKUP('Données projet'!$B$9,Paramètres!$A$1:$I$89,3,0)*0.475*44/12</f>
        <v>60.156087357386383</v>
      </c>
      <c r="AC53" s="24">
        <f t="shared" si="3"/>
        <v>151.04162028868888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257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257</v>
      </c>
      <c r="AJ53" s="14">
        <f>AI53*VLOOKUP('Données projet'!$B$10,Paramètres!$A$1:$I$89,3,0)*VLOOKUP('Données projet'!$B$10,Paramètres!$A$1:$I$89,5,0)</f>
        <v>120.276</v>
      </c>
      <c r="AK53" s="14">
        <f t="shared" si="35"/>
        <v>31.739363152156315</v>
      </c>
      <c r="AL53" s="22">
        <f t="shared" si="4"/>
        <v>264.76009082333889</v>
      </c>
      <c r="AM53" s="62">
        <f t="shared" si="5"/>
        <v>558.0934241566722</v>
      </c>
      <c r="AN53" s="62">
        <f ca="1">AVERAGE(OFFSET($AM$3,0,0,'Données projet'!$E$10+1,1))-AVERAGE(OFFSET($H$3,0,0,'Données projet'!$E$10+1,1))</f>
        <v>259.74478933784656</v>
      </c>
      <c r="AO53" s="62">
        <f t="shared" si="36"/>
        <v>223.74038909289646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544</v>
      </c>
      <c r="BB53" s="13">
        <f>VLOOKUP(A53,'Données projet'!$A$87:$I$107,9,0)</f>
        <v>15</v>
      </c>
      <c r="BC53" s="13">
        <f t="array" ref="BC53">INDEX(BB:BB,MIN(IF(ISNUMBER(BB53:BB249),ROW(BB53:BB249),"")))</f>
        <v>15</v>
      </c>
      <c r="BD53" s="13">
        <f>IF('Données projet'!$A$88&gt;35,BD52+BC53-BL52,IF(A53&lt;'Données projet'!$A$88,$BA$205^A53,IF(A53='Données projet'!$A$88,'Données projet'!$B$88,BD52+BC53-BL52)))</f>
        <v>544.00000000000023</v>
      </c>
      <c r="BE53" s="14">
        <f>BD53*VLOOKUP('Données projet'!$B$11,Paramètres!$A$1:$I$89,3,0)*VLOOKUP('Données projet'!$B$11,Paramètres!$A$1:$I$89,5,0)</f>
        <v>304.09600000000012</v>
      </c>
      <c r="BF53" s="14">
        <f t="shared" si="37"/>
        <v>72.03446351987327</v>
      </c>
      <c r="BG53" s="22">
        <f t="shared" si="7"/>
        <v>655.09389063044614</v>
      </c>
      <c r="BH53" s="62">
        <f t="shared" si="8"/>
        <v>948.4272239637794</v>
      </c>
      <c r="BI53" s="62">
        <f ca="1">AVERAGE(OFFSET($BH$3,0,0,'Données projet'!$E$11+1,1))-AVERAGE(OFFSET($H$3,0,0,'Données projet'!$E$11+1,1))</f>
        <v>365.70510182727895</v>
      </c>
      <c r="BJ53" s="62">
        <f t="shared" si="38"/>
        <v>436.23833844962525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4.9046843601010215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1.802094848926452E-2</v>
      </c>
      <c r="BS53" s="24">
        <f t="shared" si="9"/>
        <v>4.9227053085902863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-1.7053025658242404E-13</v>
      </c>
      <c r="O54" s="14">
        <f>N54*VLOOKUP('Données projet'!$B$9,Paramètres!$A$1:$I$89,3,0)*VLOOKUP('Données projet'!$B$9,Paramètres!$A$1:$I$89,5,0)</f>
        <v>-1.0197709343628959E-13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207.99520960626666</v>
      </c>
      <c r="T54" s="62">
        <f t="shared" si="34"/>
        <v>306.39565990874775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84.579373978195449</v>
      </c>
      <c r="AA54" s="23">
        <f>EXP(-LN(2)/25)*AA53+(1-EXP(-LN(2)/25))/(LN(2)/25)*Calculateur!V54*Calculateur!X54*VLOOKUP('Données projet'!$B$9,Paramètres!$A$1:$I$89,3,0)*0.475*44/12</f>
        <v>4.4882533724053166</v>
      </c>
      <c r="AB54" s="23">
        <f>EXP(-LN(2)/2)*AB53+(1-EXP(-LN(2)/2))/(LN(2)/2)*V54*Y54*VLOOKUP('Données projet'!$B$9,Paramètres!$A$1:$I$89,3,0)*0.475*44/12</f>
        <v>42.536777300058255</v>
      </c>
      <c r="AC54" s="24">
        <f t="shared" si="3"/>
        <v>131.60440465065901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265</v>
      </c>
      <c r="AJ54" s="14">
        <f>AI54*VLOOKUP('Données projet'!$B$10,Paramètres!$A$1:$I$89,3,0)*VLOOKUP('Données projet'!$B$10,Paramètres!$A$1:$I$89,5,0)</f>
        <v>124.02</v>
      </c>
      <c r="AK54" s="14">
        <f t="shared" si="35"/>
        <v>32.610792634958898</v>
      </c>
      <c r="AL54" s="22">
        <f t="shared" si="4"/>
        <v>272.79863050588671</v>
      </c>
      <c r="AM54" s="62">
        <f t="shared" si="5"/>
        <v>566.13196383922002</v>
      </c>
      <c r="AN54" s="62">
        <f ca="1">AVERAGE(OFFSET($AM$3,0,0,'Données projet'!$E$10+1,1))-AVERAGE(OFFSET($H$3,0,0,'Données projet'!$E$10+1,1))</f>
        <v>259.74478933784656</v>
      </c>
      <c r="AO54" s="62">
        <f t="shared" si="36"/>
        <v>223.74038909289646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12.6</v>
      </c>
      <c r="BD54" s="13">
        <f>IF('Données projet'!$A$88&gt;35,BD53+BC54-BL53,IF(A54&lt;'Données projet'!$A$88,$BA$205^A54,IF(A54='Données projet'!$A$88,'Données projet'!$B$88,BD53+BC54-BL53)))</f>
        <v>514.60000000000025</v>
      </c>
      <c r="BE54" s="14">
        <f>BD54*VLOOKUP('Données projet'!$B$11,Paramètres!$A$1:$I$89,3,0)*VLOOKUP('Données projet'!$B$11,Paramètres!$A$1:$I$89,5,0)</f>
        <v>287.66140000000013</v>
      </c>
      <c r="BF54" s="14">
        <f t="shared" si="37"/>
        <v>68.583530482412016</v>
      </c>
      <c r="BG54" s="22">
        <f t="shared" si="7"/>
        <v>620.45992059020114</v>
      </c>
      <c r="BH54" s="62">
        <f t="shared" si="8"/>
        <v>913.79325392353439</v>
      </c>
      <c r="BI54" s="62">
        <f ca="1">AVERAGE(OFFSET($BH$3,0,0,'Données projet'!$E$11+1,1))-AVERAGE(OFFSET($H$3,0,0,'Données projet'!$E$11+1,1))</f>
        <v>365.70510182727895</v>
      </c>
      <c r="BJ54" s="62">
        <f t="shared" si="38"/>
        <v>436.23833844962525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4.8085064913615083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1.2742734880172411E-2</v>
      </c>
      <c r="BS54" s="24">
        <f t="shared" si="9"/>
        <v>4.8212492262416804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-1.7053025658242404E-13</v>
      </c>
      <c r="O55" s="14">
        <f>N55*VLOOKUP('Données projet'!$B$9,Paramètres!$A$1:$I$89,3,0)*VLOOKUP('Données projet'!$B$9,Paramètres!$A$1:$I$89,5,0)</f>
        <v>-1.0197709343628959E-13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207.99520960626666</v>
      </c>
      <c r="T55" s="62">
        <f t="shared" si="34"/>
        <v>306.39565990874775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82.92082404280724</v>
      </c>
      <c r="AA55" s="23">
        <f>EXP(-LN(2)/25)*AA54+(1-EXP(-LN(2)/25))/(LN(2)/25)*Calculateur!V55*Calculateur!X55*VLOOKUP('Données projet'!$B$9,Paramètres!$A$1:$I$89,3,0)*0.475*44/12</f>
        <v>4.3655218479099061</v>
      </c>
      <c r="AB55" s="23">
        <f>EXP(-LN(2)/2)*AB54+(1-EXP(-LN(2)/2))/(LN(2)/2)*V55*Y55*VLOOKUP('Données projet'!$B$9,Paramètres!$A$1:$I$89,3,0)*0.475*44/12</f>
        <v>30.078043678693195</v>
      </c>
      <c r="AC55" s="24">
        <f t="shared" si="3"/>
        <v>117.36438956941033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273</v>
      </c>
      <c r="AJ55" s="14">
        <f>AI55*VLOOKUP('Données projet'!$B$10,Paramètres!$A$1:$I$89,3,0)*VLOOKUP('Données projet'!$B$10,Paramètres!$A$1:$I$89,5,0)</f>
        <v>127.76400000000001</v>
      </c>
      <c r="AK55" s="14">
        <f t="shared" si="35"/>
        <v>33.479164830670051</v>
      </c>
      <c r="AL55" s="22">
        <f t="shared" si="4"/>
        <v>280.83184541341694</v>
      </c>
      <c r="AM55" s="62">
        <f t="shared" si="5"/>
        <v>574.16517874675026</v>
      </c>
      <c r="AN55" s="62">
        <f ca="1">AVERAGE(OFFSET($AM$3,0,0,'Données projet'!$E$10+1,1))-AVERAGE(OFFSET($H$3,0,0,'Données projet'!$E$10+1,1))</f>
        <v>259.74478933784656</v>
      </c>
      <c r="AO55" s="62">
        <f t="shared" si="36"/>
        <v>223.74038909289646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12.6</v>
      </c>
      <c r="BD55" s="13">
        <f>IF('Données projet'!$A$88&gt;35,BD54+BC55-BL54,IF(A55&lt;'Données projet'!$A$88,$BA$205^A55,IF(A55='Données projet'!$A$88,'Données projet'!$B$88,BD54+BC55-BL54)))</f>
        <v>527.20000000000027</v>
      </c>
      <c r="BE55" s="14">
        <f>BD55*VLOOKUP('Données projet'!$B$11,Paramètres!$A$1:$I$89,3,0)*VLOOKUP('Données projet'!$B$11,Paramètres!$A$1:$I$89,5,0)</f>
        <v>294.70480000000015</v>
      </c>
      <c r="BF55" s="14">
        <f t="shared" si="37"/>
        <v>70.065238256033226</v>
      </c>
      <c r="BG55" s="22">
        <f t="shared" si="7"/>
        <v>635.30781662925813</v>
      </c>
      <c r="BH55" s="62">
        <f t="shared" si="8"/>
        <v>928.6411499625915</v>
      </c>
      <c r="BI55" s="62">
        <f ca="1">AVERAGE(OFFSET($BH$3,0,0,'Données projet'!$E$11+1,1))-AVERAGE(OFFSET($H$3,0,0,'Données projet'!$E$11+1,1))</f>
        <v>365.70510182727895</v>
      </c>
      <c r="BJ55" s="62">
        <f t="shared" si="38"/>
        <v>436.23833844962525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4.7142146119652688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9.0104742446322598E-3</v>
      </c>
      <c r="BS55" s="24">
        <f t="shared" si="9"/>
        <v>4.7232250862099008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-1.7053025658242404E-13</v>
      </c>
      <c r="O56" s="14">
        <f>N56*VLOOKUP('Données projet'!$B$9,Paramètres!$A$1:$I$89,3,0)*VLOOKUP('Données projet'!$B$9,Paramètres!$A$1:$I$89,5,0)</f>
        <v>-1.0197709343628959E-13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207.99520960626666</v>
      </c>
      <c r="T56" s="62">
        <f t="shared" si="34"/>
        <v>306.39565990874775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81.294797260036418</v>
      </c>
      <c r="AA56" s="23">
        <f>EXP(-LN(2)/25)*AA55+(1-EXP(-LN(2)/25))/(LN(2)/25)*Calculateur!V56*Calculateur!X56*VLOOKUP('Données projet'!$B$9,Paramètres!$A$1:$I$89,3,0)*0.475*44/12</f>
        <v>4.2461464234059934</v>
      </c>
      <c r="AB56" s="23">
        <f>EXP(-LN(2)/2)*AB55+(1-EXP(-LN(2)/2))/(LN(2)/2)*V56*Y56*VLOOKUP('Données projet'!$B$9,Paramètres!$A$1:$I$89,3,0)*0.475*44/12</f>
        <v>21.268388650029131</v>
      </c>
      <c r="AC56" s="24">
        <f t="shared" si="3"/>
        <v>106.80933233347153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281</v>
      </c>
      <c r="AJ56" s="14">
        <f>AI56*VLOOKUP('Données projet'!$B$10,Paramètres!$A$1:$I$89,3,0)*VLOOKUP('Données projet'!$B$10,Paramètres!$A$1:$I$89,5,0)</f>
        <v>131.50800000000001</v>
      </c>
      <c r="AK56" s="14">
        <f t="shared" si="35"/>
        <v>34.344579617082509</v>
      </c>
      <c r="AL56" s="22">
        <f t="shared" si="4"/>
        <v>288.85990949975201</v>
      </c>
      <c r="AM56" s="62">
        <f t="shared" si="5"/>
        <v>582.19324283308538</v>
      </c>
      <c r="AN56" s="62">
        <f ca="1">AVERAGE(OFFSET($AM$3,0,0,'Données projet'!$E$10+1,1))-AVERAGE(OFFSET($H$3,0,0,'Données projet'!$E$10+1,1))</f>
        <v>259.74478933784656</v>
      </c>
      <c r="AO56" s="62">
        <f t="shared" si="36"/>
        <v>223.74038909289646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12.6</v>
      </c>
      <c r="BD56" s="13">
        <f>IF('Données projet'!$A$88&gt;35,BD55+BC56-BL55,IF(A56&lt;'Données projet'!$A$88,$BA$205^A56,IF(A56='Données projet'!$A$88,'Données projet'!$B$88,BD55+BC56-BL55)))</f>
        <v>539.8000000000003</v>
      </c>
      <c r="BE56" s="14">
        <f>BD56*VLOOKUP('Données projet'!$B$11,Paramètres!$A$1:$I$89,3,0)*VLOOKUP('Données projet'!$B$11,Paramètres!$A$1:$I$89,5,0)</f>
        <v>301.74820000000017</v>
      </c>
      <c r="BF56" s="14">
        <f t="shared" si="37"/>
        <v>71.542829318170703</v>
      </c>
      <c r="BG56" s="22">
        <f t="shared" si="7"/>
        <v>650.14854272914761</v>
      </c>
      <c r="BH56" s="62">
        <f t="shared" si="8"/>
        <v>943.48187606248098</v>
      </c>
      <c r="BI56" s="62">
        <f ca="1">AVERAGE(OFFSET($BH$3,0,0,'Données projet'!$E$11+1,1))-AVERAGE(OFFSET($H$3,0,0,'Données projet'!$E$11+1,1))</f>
        <v>365.70510182727895</v>
      </c>
      <c r="BJ56" s="62">
        <f t="shared" si="38"/>
        <v>436.23833844962525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4.6217717388116224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6.3713674400862055E-3</v>
      </c>
      <c r="BS56" s="24">
        <f t="shared" si="9"/>
        <v>4.6281431062517084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-1.7053025658242404E-13</v>
      </c>
      <c r="O57" s="14">
        <f>N57*VLOOKUP('Données projet'!$B$9,Paramètres!$A$1:$I$89,3,0)*VLOOKUP('Données projet'!$B$9,Paramètres!$A$1:$I$89,5,0)</f>
        <v>-1.0197709343628959E-13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207.99520960626666</v>
      </c>
      <c r="T57" s="62">
        <f t="shared" si="34"/>
        <v>306.39565990874775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79.700655870697332</v>
      </c>
      <c r="AA57" s="23">
        <f>EXP(-LN(2)/25)*AA56+(1-EXP(-LN(2)/25))/(LN(2)/25)*Calculateur!V57*Calculateur!X57*VLOOKUP('Données projet'!$B$9,Paramètres!$A$1:$I$89,3,0)*0.475*44/12</f>
        <v>4.1300353261628207</v>
      </c>
      <c r="AB57" s="23">
        <f>EXP(-LN(2)/2)*AB56+(1-EXP(-LN(2)/2))/(LN(2)/2)*V57*Y57*VLOOKUP('Données projet'!$B$9,Paramètres!$A$1:$I$89,3,0)*0.475*44/12</f>
        <v>15.039021839346601</v>
      </c>
      <c r="AC57" s="24">
        <f t="shared" si="3"/>
        <v>98.869713036206761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289</v>
      </c>
      <c r="AJ57" s="14">
        <f>AI57*VLOOKUP('Données projet'!$B$10,Paramètres!$A$1:$I$89,3,0)*VLOOKUP('Données projet'!$B$10,Paramètres!$A$1:$I$89,5,0)</f>
        <v>135.25199999999998</v>
      </c>
      <c r="AK57" s="14">
        <f t="shared" si="35"/>
        <v>35.207130861518152</v>
      </c>
      <c r="AL57" s="22">
        <f t="shared" si="4"/>
        <v>296.88298625047742</v>
      </c>
      <c r="AM57" s="62">
        <f t="shared" si="5"/>
        <v>590.21631958381067</v>
      </c>
      <c r="AN57" s="62">
        <f ca="1">AVERAGE(OFFSET($AM$3,0,0,'Données projet'!$E$10+1,1))-AVERAGE(OFFSET($H$3,0,0,'Données projet'!$E$10+1,1))</f>
        <v>259.74478933784656</v>
      </c>
      <c r="AO57" s="62">
        <f t="shared" si="36"/>
        <v>223.74038909289646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12.6</v>
      </c>
      <c r="BD57" s="13">
        <f>IF('Données projet'!$A$88&gt;35,BD56+BC57-BL56,IF(A57&lt;'Données projet'!$A$88,$BA$205^A57,IF(A57='Données projet'!$A$88,'Données projet'!$B$88,BD56+BC57-BL56)))</f>
        <v>552.40000000000032</v>
      </c>
      <c r="BE57" s="14">
        <f>BD57*VLOOKUP('Données projet'!$B$11,Paramètres!$A$1:$I$89,3,0)*VLOOKUP('Données projet'!$B$11,Paramètres!$A$1:$I$89,5,0)</f>
        <v>308.79160000000019</v>
      </c>
      <c r="BF57" s="14">
        <f t="shared" si="37"/>
        <v>73.016410820210879</v>
      </c>
      <c r="BG57" s="22">
        <f t="shared" si="7"/>
        <v>664.98228551186753</v>
      </c>
      <c r="BH57" s="62">
        <f t="shared" si="8"/>
        <v>958.31561884520079</v>
      </c>
      <c r="BI57" s="62">
        <f ca="1">AVERAGE(OFFSET($BH$3,0,0,'Données projet'!$E$11+1,1))-AVERAGE(OFFSET($H$3,0,0,'Données projet'!$E$11+1,1))</f>
        <v>365.70510182727895</v>
      </c>
      <c r="BJ57" s="62">
        <f t="shared" si="38"/>
        <v>436.23833844962525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4.531141614015934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4.5052371223161299E-3</v>
      </c>
      <c r="BS57" s="24">
        <f t="shared" si="9"/>
        <v>4.5356468511382504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-1.7053025658242404E-13</v>
      </c>
      <c r="O58" s="14">
        <f>N58*VLOOKUP('Données projet'!$B$9,Paramètres!$A$1:$I$89,3,0)*VLOOKUP('Données projet'!$B$9,Paramètres!$A$1:$I$89,5,0)</f>
        <v>-1.0197709343628959E-13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207.99520960626666</v>
      </c>
      <c r="T58" s="62">
        <f t="shared" si="34"/>
        <v>306.39565990874775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78.137774621672946</v>
      </c>
      <c r="AA58" s="23">
        <f>EXP(-LN(2)/25)*AA57+(1-EXP(-LN(2)/25))/(LN(2)/25)*Calculateur!V58*Calculateur!X58*VLOOKUP('Données projet'!$B$9,Paramètres!$A$1:$I$89,3,0)*0.475*44/12</f>
        <v>4.01709929297978</v>
      </c>
      <c r="AB58" s="23">
        <f>EXP(-LN(2)/2)*AB57+(1-EXP(-LN(2)/2))/(LN(2)/2)*V58*Y58*VLOOKUP('Données projet'!$B$9,Paramètres!$A$1:$I$89,3,0)*0.475*44/12</f>
        <v>10.634194325014567</v>
      </c>
      <c r="AC58" s="24">
        <f t="shared" si="3"/>
        <v>92.789068239667287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297</v>
      </c>
      <c r="AJ58" s="14">
        <f>AI58*VLOOKUP('Données projet'!$B$10,Paramètres!$A$1:$I$89,3,0)*VLOOKUP('Données projet'!$B$10,Paramètres!$A$1:$I$89,5,0)</f>
        <v>138.99600000000001</v>
      </c>
      <c r="AK58" s="14">
        <f t="shared" si="35"/>
        <v>36.066906938767758</v>
      </c>
      <c r="AL58" s="22">
        <f t="shared" si="4"/>
        <v>304.90122958502047</v>
      </c>
      <c r="AM58" s="62">
        <f t="shared" si="5"/>
        <v>598.23456291835373</v>
      </c>
      <c r="AN58" s="62">
        <f ca="1">AVERAGE(OFFSET($AM$3,0,0,'Données projet'!$E$10+1,1))-AVERAGE(OFFSET($H$3,0,0,'Données projet'!$E$10+1,1))</f>
        <v>259.74478933784656</v>
      </c>
      <c r="AO58" s="62">
        <f t="shared" si="36"/>
        <v>223.74038909289646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565</v>
      </c>
      <c r="BB58" s="13">
        <f>VLOOKUP(A58,'Données projet'!$A$87:$I$107,9,0)</f>
        <v>12.6</v>
      </c>
      <c r="BC58" s="13">
        <f t="array" ref="BC58">INDEX(BB:BB,MIN(IF(ISNUMBER(BB58:BB254),ROW(BB58:BB254),"")))</f>
        <v>12.6</v>
      </c>
      <c r="BD58" s="13">
        <f>IF('Données projet'!$A$88&gt;35,BD57+BC58-BL57,IF(A58&lt;'Données projet'!$A$88,$BA$205^A58,IF(A58='Données projet'!$A$88,'Données projet'!$B$88,BD57+BC58-BL57)))</f>
        <v>565.00000000000034</v>
      </c>
      <c r="BE58" s="14">
        <f>BD58*VLOOKUP('Données projet'!$B$11,Paramètres!$A$1:$I$89,3,0)*VLOOKUP('Données projet'!$B$11,Paramètres!$A$1:$I$89,5,0)</f>
        <v>315.83500000000021</v>
      </c>
      <c r="BF58" s="14">
        <f t="shared" si="37"/>
        <v>74.486084746410782</v>
      </c>
      <c r="BG58" s="22">
        <f t="shared" si="7"/>
        <v>679.80922259999909</v>
      </c>
      <c r="BH58" s="62">
        <f t="shared" si="8"/>
        <v>973.14255593333246</v>
      </c>
      <c r="BI58" s="62">
        <f ca="1">AVERAGE(OFFSET($BH$3,0,0,'Données projet'!$E$11+1,1))-AVERAGE(OFFSET($H$3,0,0,'Données projet'!$E$11+1,1))</f>
        <v>365.70510182727895</v>
      </c>
      <c r="BJ58" s="62">
        <f t="shared" si="38"/>
        <v>436.23833844962525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37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4.4422886906885708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3.1856837200431028E-3</v>
      </c>
      <c r="BS58" s="24">
        <f t="shared" si="9"/>
        <v>4.4454743744086143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-1.7053025658242404E-13</v>
      </c>
      <c r="O59" s="14">
        <f>N59*VLOOKUP('Données projet'!$B$9,Paramètres!$A$1:$I$89,3,0)*VLOOKUP('Données projet'!$B$9,Paramètres!$A$1:$I$89,5,0)</f>
        <v>-1.0197709343628959E-13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207.99520960626666</v>
      </c>
      <c r="T59" s="62">
        <f t="shared" si="34"/>
        <v>306.39565990874775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76.605540520678488</v>
      </c>
      <c r="AA59" s="23">
        <f>EXP(-LN(2)/25)*AA58+(1-EXP(-LN(2)/25))/(LN(2)/25)*Calculateur!V59*Calculateur!X59*VLOOKUP('Données projet'!$B$9,Paramètres!$A$1:$I$89,3,0)*0.475*44/12</f>
        <v>3.9072515015631772</v>
      </c>
      <c r="AB59" s="23">
        <f>EXP(-LN(2)/2)*AB58+(1-EXP(-LN(2)/2))/(LN(2)/2)*V59*Y59*VLOOKUP('Données projet'!$B$9,Paramètres!$A$1:$I$89,3,0)*0.475*44/12</f>
        <v>7.5195109196733014</v>
      </c>
      <c r="AC59" s="24">
        <f t="shared" si="3"/>
        <v>88.032302941914963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305</v>
      </c>
      <c r="AJ59" s="14">
        <f>AI59*VLOOKUP('Données projet'!$B$10,Paramètres!$A$1:$I$89,3,0)*VLOOKUP('Données projet'!$B$10,Paramètres!$A$1:$I$89,5,0)</f>
        <v>142.74</v>
      </c>
      <c r="AK59" s="14">
        <f t="shared" si="35"/>
        <v>36.923991191656064</v>
      </c>
      <c r="AL59" s="22">
        <f t="shared" si="4"/>
        <v>312.91478465880101</v>
      </c>
      <c r="AM59" s="62">
        <f t="shared" si="5"/>
        <v>606.24811799213433</v>
      </c>
      <c r="AN59" s="62">
        <f ca="1">AVERAGE(OFFSET($AM$3,0,0,'Données projet'!$E$10+1,1))-AVERAGE(OFFSET($H$3,0,0,'Données projet'!$E$10+1,1))</f>
        <v>259.74478933784656</v>
      </c>
      <c r="AO59" s="62">
        <f t="shared" si="36"/>
        <v>223.74038909289646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7.8</v>
      </c>
      <c r="BD59" s="13">
        <f>IF('Données projet'!$A$88&gt;35,BD58+BC59-BL58,IF(A59&lt;'Données projet'!$A$88,$BA$205^A59,IF(A59='Données projet'!$A$88,'Données projet'!$B$88,BD58+BC59-BL58)))</f>
        <v>535.8000000000003</v>
      </c>
      <c r="BE59" s="14">
        <f>BD59*VLOOKUP('Données projet'!$B$11,Paramètres!$A$1:$I$89,3,0)*VLOOKUP('Données projet'!$B$11,Paramètres!$A$1:$I$89,5,0)</f>
        <v>299.51220000000018</v>
      </c>
      <c r="BF59" s="14">
        <f t="shared" si="37"/>
        <v>71.074192175878977</v>
      </c>
      <c r="BG59" s="22">
        <f t="shared" si="7"/>
        <v>645.43796637298954</v>
      </c>
      <c r="BH59" s="62">
        <f t="shared" si="8"/>
        <v>938.77129970632291</v>
      </c>
      <c r="BI59" s="62">
        <f ca="1">AVERAGE(OFFSET($BH$3,0,0,'Données projet'!$E$11+1,1))-AVERAGE(OFFSET($H$3,0,0,'Données projet'!$E$11+1,1))</f>
        <v>365.70510182727895</v>
      </c>
      <c r="BJ59" s="62">
        <f t="shared" si="38"/>
        <v>436.23833844962525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4.3551781189927254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2.252618561158065E-3</v>
      </c>
      <c r="BS59" s="24">
        <f t="shared" si="9"/>
        <v>4.3574307375538837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-1.7053025658242404E-13</v>
      </c>
      <c r="O60" s="14">
        <f>N60*VLOOKUP('Données projet'!$B$9,Paramètres!$A$1:$I$89,3,0)*VLOOKUP('Données projet'!$B$9,Paramètres!$A$1:$I$89,5,0)</f>
        <v>-1.0197709343628959E-13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207.99520960626666</v>
      </c>
      <c r="T60" s="62">
        <f t="shared" si="34"/>
        <v>306.39565990874775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75.103352595834011</v>
      </c>
      <c r="AA60" s="23">
        <f>EXP(-LN(2)/25)*AA59+(1-EXP(-LN(2)/25))/(LN(2)/25)*Calculateur!V60*Calculateur!X60*VLOOKUP('Données projet'!$B$9,Paramètres!$A$1:$I$89,3,0)*0.475*44/12</f>
        <v>3.800407503779506</v>
      </c>
      <c r="AB60" s="23">
        <f>EXP(-LN(2)/2)*AB59+(1-EXP(-LN(2)/2))/(LN(2)/2)*V60*Y60*VLOOKUP('Données projet'!$B$9,Paramètres!$A$1:$I$89,3,0)*0.475*44/12</f>
        <v>5.3170971625072845</v>
      </c>
      <c r="AC60" s="24">
        <f t="shared" si="3"/>
        <v>84.220857262120802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313</v>
      </c>
      <c r="AJ60" s="14">
        <f>AI60*VLOOKUP('Données projet'!$B$10,Paramètres!$A$1:$I$89,3,0)*VLOOKUP('Données projet'!$B$10,Paramètres!$A$1:$I$89,5,0)</f>
        <v>146.48400000000001</v>
      </c>
      <c r="AK60" s="14">
        <f t="shared" si="35"/>
        <v>37.778462341926023</v>
      </c>
      <c r="AL60" s="22">
        <f t="shared" si="4"/>
        <v>320.9237885788545</v>
      </c>
      <c r="AM60" s="62">
        <f t="shared" si="5"/>
        <v>614.25712191218781</v>
      </c>
      <c r="AN60" s="62">
        <f ca="1">AVERAGE(OFFSET($AM$3,0,0,'Données projet'!$E$10+1,1))-AVERAGE(OFFSET($H$3,0,0,'Données projet'!$E$10+1,1))</f>
        <v>259.74478933784656</v>
      </c>
      <c r="AO60" s="62">
        <f t="shared" si="36"/>
        <v>223.74038909289646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7.8</v>
      </c>
      <c r="BD60" s="13">
        <f>IF('Données projet'!$A$88&gt;35,BD59+BC60-BL59,IF(A60&lt;'Données projet'!$A$88,$BA$205^A60,IF(A60='Données projet'!$A$88,'Données projet'!$B$88,BD59+BC60-BL59)))</f>
        <v>543.60000000000025</v>
      </c>
      <c r="BE60" s="14">
        <f>BD60*VLOOKUP('Données projet'!$B$11,Paramètres!$A$1:$I$89,3,0)*VLOOKUP('Données projet'!$B$11,Paramètres!$A$1:$I$89,5,0)</f>
        <v>303.87240000000014</v>
      </c>
      <c r="BF60" s="14">
        <f t="shared" si="37"/>
        <v>71.987660301827333</v>
      </c>
      <c r="BG60" s="22">
        <f t="shared" si="7"/>
        <v>654.62293835901619</v>
      </c>
      <c r="BH60" s="62">
        <f t="shared" si="8"/>
        <v>947.95627169234945</v>
      </c>
      <c r="BI60" s="62">
        <f ca="1">AVERAGE(OFFSET($BH$3,0,0,'Données projet'!$E$11+1,1))-AVERAGE(OFFSET($H$3,0,0,'Données projet'!$E$11+1,1))</f>
        <v>365.70510182727895</v>
      </c>
      <c r="BJ60" s="62">
        <f t="shared" si="38"/>
        <v>436.23833844962525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4.2697757324756331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1.5928418600215514E-3</v>
      </c>
      <c r="BS60" s="24">
        <f t="shared" si="9"/>
        <v>4.2713685743356544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-1.7053025658242404E-13</v>
      </c>
      <c r="O61" s="14">
        <f>N61*VLOOKUP('Données projet'!$B$9,Paramètres!$A$1:$I$89,3,0)*VLOOKUP('Données projet'!$B$9,Paramètres!$A$1:$I$89,5,0)</f>
        <v>-1.0197709343628959E-13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207.99520960626666</v>
      </c>
      <c r="T61" s="62">
        <f t="shared" si="34"/>
        <v>306.39565990874775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73.630621659951572</v>
      </c>
      <c r="AA61" s="23">
        <f>EXP(-LN(2)/25)*AA60+(1-EXP(-LN(2)/25))/(LN(2)/25)*Calculateur!V61*Calculateur!X61*VLOOKUP('Données projet'!$B$9,Paramètres!$A$1:$I$89,3,0)*0.475*44/12</f>
        <v>3.6964851607339106</v>
      </c>
      <c r="AB61" s="23">
        <f>EXP(-LN(2)/2)*AB60+(1-EXP(-LN(2)/2))/(LN(2)/2)*V61*Y61*VLOOKUP('Données projet'!$B$9,Paramètres!$A$1:$I$89,3,0)*0.475*44/12</f>
        <v>3.7597554598366516</v>
      </c>
      <c r="AC61" s="24">
        <f t="shared" si="3"/>
        <v>81.086862280522141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321</v>
      </c>
      <c r="AJ61" s="14">
        <f>AI61*VLOOKUP('Données projet'!$B$10,Paramètres!$A$1:$I$89,3,0)*VLOOKUP('Données projet'!$B$10,Paramètres!$A$1:$I$89,5,0)</f>
        <v>150.22800000000001</v>
      </c>
      <c r="AK61" s="14">
        <f t="shared" si="35"/>
        <v>38.630394857933659</v>
      </c>
      <c r="AL61" s="22">
        <f t="shared" si="4"/>
        <v>328.92837104423444</v>
      </c>
      <c r="AM61" s="62">
        <f t="shared" si="5"/>
        <v>622.26170437756775</v>
      </c>
      <c r="AN61" s="62">
        <f ca="1">AVERAGE(OFFSET($AM$3,0,0,'Données projet'!$E$10+1,1))-AVERAGE(OFFSET($H$3,0,0,'Données projet'!$E$10+1,1))</f>
        <v>259.74478933784656</v>
      </c>
      <c r="AO61" s="62">
        <f t="shared" si="36"/>
        <v>223.74038909289646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7.8</v>
      </c>
      <c r="BD61" s="13">
        <f>IF('Données projet'!$A$88&gt;35,BD60+BC61-BL60,IF(A61&lt;'Données projet'!$A$88,$BA$205^A61,IF(A61='Données projet'!$A$88,'Données projet'!$B$88,BD60+BC61-BL60)))</f>
        <v>551.4000000000002</v>
      </c>
      <c r="BE61" s="14">
        <f>BD61*VLOOKUP('Données projet'!$B$11,Paramètres!$A$1:$I$89,3,0)*VLOOKUP('Données projet'!$B$11,Paramètres!$A$1:$I$89,5,0)</f>
        <v>308.2326000000001</v>
      </c>
      <c r="BF61" s="14">
        <f t="shared" si="37"/>
        <v>72.899603972589205</v>
      </c>
      <c r="BG61" s="22">
        <f t="shared" si="7"/>
        <v>663.80525525225971</v>
      </c>
      <c r="BH61" s="62">
        <f t="shared" si="8"/>
        <v>957.13858858559297</v>
      </c>
      <c r="BI61" s="62">
        <f ca="1">AVERAGE(OFFSET($BH$3,0,0,'Données projet'!$E$11+1,1))-AVERAGE(OFFSET($H$3,0,0,'Données projet'!$E$11+1,1))</f>
        <v>365.70510182727895</v>
      </c>
      <c r="BJ61" s="62">
        <f t="shared" si="38"/>
        <v>436.23833844962525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4.186048034667829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1.1263092805790325E-3</v>
      </c>
      <c r="BS61" s="24">
        <f t="shared" si="9"/>
        <v>4.1871743439484082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-1.7053025658242404E-13</v>
      </c>
      <c r="O62" s="14">
        <f>N62*VLOOKUP('Données projet'!$B$9,Paramètres!$A$1:$I$89,3,0)*VLOOKUP('Données projet'!$B$9,Paramètres!$A$1:$I$89,5,0)</f>
        <v>-1.0197709343628959E-13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207.99520960626666</v>
      </c>
      <c r="T62" s="62">
        <f t="shared" si="34"/>
        <v>306.39565990874775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72.186770079444614</v>
      </c>
      <c r="AA62" s="23">
        <f>EXP(-LN(2)/25)*AA61+(1-EXP(-LN(2)/25))/(LN(2)/25)*Calculateur!V62*Calculateur!X62*VLOOKUP('Données projet'!$B$9,Paramètres!$A$1:$I$89,3,0)*0.475*44/12</f>
        <v>3.5954045796239358</v>
      </c>
      <c r="AB62" s="23">
        <f>EXP(-LN(2)/2)*AB61+(1-EXP(-LN(2)/2))/(LN(2)/2)*V62*Y62*VLOOKUP('Données projet'!$B$9,Paramètres!$A$1:$I$89,3,0)*0.475*44/12</f>
        <v>2.6585485812536427</v>
      </c>
      <c r="AC62" s="24">
        <f t="shared" si="3"/>
        <v>78.440723240322185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329</v>
      </c>
      <c r="AJ62" s="14">
        <f>AI62*VLOOKUP('Données projet'!$B$10,Paramètres!$A$1:$I$89,3,0)*VLOOKUP('Données projet'!$B$10,Paramètres!$A$1:$I$89,5,0)</f>
        <v>153.97200000000001</v>
      </c>
      <c r="AK62" s="14">
        <f t="shared" si="35"/>
        <v>39.479859284656378</v>
      </c>
      <c r="AL62" s="22">
        <f t="shared" si="4"/>
        <v>336.92865492077652</v>
      </c>
      <c r="AM62" s="62">
        <f t="shared" si="5"/>
        <v>630.26198825410984</v>
      </c>
      <c r="AN62" s="62">
        <f ca="1">AVERAGE(OFFSET($AM$3,0,0,'Données projet'!$E$10+1,1))-AVERAGE(OFFSET($H$3,0,0,'Données projet'!$E$10+1,1))</f>
        <v>259.74478933784656</v>
      </c>
      <c r="AO62" s="62">
        <f t="shared" si="36"/>
        <v>223.74038909289646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7.8</v>
      </c>
      <c r="BD62" s="13">
        <f>IF('Données projet'!$A$88&gt;35,BD61+BC62-BL61,IF(A62&lt;'Données projet'!$A$88,$BA$205^A62,IF(A62='Données projet'!$A$88,'Données projet'!$B$88,BD61+BC62-BL61)))</f>
        <v>559.20000000000016</v>
      </c>
      <c r="BE62" s="14">
        <f>BD62*VLOOKUP('Données projet'!$B$11,Paramètres!$A$1:$I$89,3,0)*VLOOKUP('Données projet'!$B$11,Paramètres!$A$1:$I$89,5,0)</f>
        <v>312.59280000000012</v>
      </c>
      <c r="BF62" s="14">
        <f t="shared" si="37"/>
        <v>73.810047244750066</v>
      </c>
      <c r="BG62" s="22">
        <f t="shared" si="7"/>
        <v>672.98495895127326</v>
      </c>
      <c r="BH62" s="62">
        <f t="shared" si="8"/>
        <v>966.31829228460651</v>
      </c>
      <c r="BI62" s="62">
        <f ca="1">AVERAGE(OFFSET($BH$3,0,0,'Données projet'!$E$11+1,1))-AVERAGE(OFFSET($H$3,0,0,'Données projet'!$E$11+1,1))</f>
        <v>365.70510182727895</v>
      </c>
      <c r="BJ62" s="62">
        <f t="shared" si="38"/>
        <v>436.23833844962525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4.1039621859451829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7.9642093001077569E-4</v>
      </c>
      <c r="BS62" s="24">
        <f t="shared" si="9"/>
        <v>4.104758606875194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-1.7053025658242404E-13</v>
      </c>
      <c r="O63" s="14">
        <f>N63*VLOOKUP('Données projet'!$B$9,Paramètres!$A$1:$I$89,3,0)*VLOOKUP('Données projet'!$B$9,Paramètres!$A$1:$I$89,5,0)</f>
        <v>-1.0197709343628959E-13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207.99520960626666</v>
      </c>
      <c r="T63" s="62">
        <f t="shared" si="34"/>
        <v>306.39565990874775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70.771231547768892</v>
      </c>
      <c r="AA63" s="23">
        <f>EXP(-LN(2)/25)*AA62+(1-EXP(-LN(2)/25))/(LN(2)/25)*Calculateur!V63*Calculateur!X63*VLOOKUP('Données projet'!$B$9,Paramètres!$A$1:$I$89,3,0)*0.475*44/12</f>
        <v>3.4970880523200099</v>
      </c>
      <c r="AB63" s="23">
        <f>EXP(-LN(2)/2)*AB62+(1-EXP(-LN(2)/2))/(LN(2)/2)*V63*Y63*VLOOKUP('Données projet'!$B$9,Paramètres!$A$1:$I$89,3,0)*0.475*44/12</f>
        <v>1.879877729918326</v>
      </c>
      <c r="AC63" s="24">
        <f t="shared" si="3"/>
        <v>76.148197330007221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337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337</v>
      </c>
      <c r="AJ63" s="14">
        <f>AI63*VLOOKUP('Données projet'!$B$10,Paramètres!$A$1:$I$89,3,0)*VLOOKUP('Données projet'!$B$10,Paramètres!$A$1:$I$89,5,0)</f>
        <v>157.71600000000001</v>
      </c>
      <c r="AK63" s="14">
        <f t="shared" si="35"/>
        <v>40.326922540698838</v>
      </c>
      <c r="AL63" s="22">
        <f t="shared" si="4"/>
        <v>344.92475675838381</v>
      </c>
      <c r="AM63" s="62">
        <f t="shared" si="5"/>
        <v>638.25809009171712</v>
      </c>
      <c r="AN63" s="62">
        <f ca="1">AVERAGE(OFFSET($AM$3,0,0,'Données projet'!$E$10+1,1))-AVERAGE(OFFSET($H$3,0,0,'Données projet'!$E$10+1,1))</f>
        <v>259.74478933784656</v>
      </c>
      <c r="AO63" s="62">
        <f t="shared" si="36"/>
        <v>223.74038909289646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567</v>
      </c>
      <c r="BB63" s="13">
        <f>VLOOKUP(A63,'Données projet'!$A$87:$I$107,9,0)</f>
        <v>7.8</v>
      </c>
      <c r="BC63" s="13">
        <f t="array" ref="BC63">INDEX(BB:BB,MIN(IF(ISNUMBER(BB63:BB259),ROW(BB63:BB259),"")))</f>
        <v>7.8</v>
      </c>
      <c r="BD63" s="13">
        <f>IF('Données projet'!$A$88&gt;35,BD62+BC63-BL62,IF(A63&lt;'Données projet'!$A$88,$BA$205^A63,IF(A63='Données projet'!$A$88,'Données projet'!$B$88,BD62+BC63-BL62)))</f>
        <v>567.00000000000011</v>
      </c>
      <c r="BE63" s="14">
        <f>BD63*VLOOKUP('Données projet'!$B$11,Paramètres!$A$1:$I$89,3,0)*VLOOKUP('Données projet'!$B$11,Paramètres!$A$1:$I$89,5,0)</f>
        <v>316.95300000000009</v>
      </c>
      <c r="BF63" s="14">
        <f t="shared" si="37"/>
        <v>74.719013465238191</v>
      </c>
      <c r="BG63" s="22">
        <f t="shared" si="7"/>
        <v>682.16209011862327</v>
      </c>
      <c r="BH63" s="62">
        <f t="shared" si="8"/>
        <v>975.49542345195664</v>
      </c>
      <c r="BI63" s="62">
        <f ca="1">AVERAGE(OFFSET($BH$3,0,0,'Données projet'!$E$11+1,1))-AVERAGE(OFFSET($H$3,0,0,'Données projet'!$E$11+1,1))</f>
        <v>365.70510182727895</v>
      </c>
      <c r="BJ63" s="62">
        <f t="shared" si="38"/>
        <v>436.23833844962525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567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4.023485990648564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5.6315464028951624E-4</v>
      </c>
      <c r="BS63" s="24">
        <f t="shared" si="9"/>
        <v>4.0240491452888536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-1.7053025658242404E-13</v>
      </c>
      <c r="O64" s="14">
        <f>N64*VLOOKUP('Données projet'!$B$9,Paramètres!$A$1:$I$89,3,0)*VLOOKUP('Données projet'!$B$9,Paramètres!$A$1:$I$89,5,0)</f>
        <v>-1.0197709343628959E-13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207.99520960626666</v>
      </c>
      <c r="T64" s="62">
        <f t="shared" si="34"/>
        <v>306.39565990874775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69.383450863306081</v>
      </c>
      <c r="AA64" s="23">
        <f>EXP(-LN(2)/25)*AA63+(1-EXP(-LN(2)/25))/(LN(2)/25)*Calculateur!V64*Calculateur!X64*VLOOKUP('Données projet'!$B$9,Paramètres!$A$1:$I$89,3,0)*0.475*44/12</f>
        <v>3.4014599956254514</v>
      </c>
      <c r="AB64" s="23">
        <f>EXP(-LN(2)/2)*AB63+(1-EXP(-LN(2)/2))/(LN(2)/2)*V64*Y64*VLOOKUP('Données projet'!$B$9,Paramètres!$A$1:$I$89,3,0)*0.475*44/12</f>
        <v>1.3292742906268216</v>
      </c>
      <c r="AC64" s="24">
        <f t="shared" si="3"/>
        <v>74.114185149558367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277.5</v>
      </c>
      <c r="AJ64" s="14">
        <f>AI64*VLOOKUP('Données projet'!$B$10,Paramètres!$A$1:$I$89,3,0)*VLOOKUP('Données projet'!$B$10,Paramètres!$A$1:$I$89,5,0)</f>
        <v>129.87</v>
      </c>
      <c r="AK64" s="14">
        <f t="shared" si="35"/>
        <v>33.966318400312318</v>
      </c>
      <c r="AL64" s="22">
        <f t="shared" si="4"/>
        <v>285.34825454721067</v>
      </c>
      <c r="AM64" s="62">
        <f t="shared" si="5"/>
        <v>578.68158788054393</v>
      </c>
      <c r="AN64" s="62">
        <f ca="1">AVERAGE(OFFSET($AM$3,0,0,'Données projet'!$E$10+1,1))-AVERAGE(OFFSET($H$3,0,0,'Données projet'!$E$10+1,1))</f>
        <v>259.74478933784656</v>
      </c>
      <c r="AO64" s="62">
        <f t="shared" si="36"/>
        <v>223.74038909289646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6.3550942286383367E-14</v>
      </c>
      <c r="BF64" s="14">
        <f t="shared" si="37"/>
        <v>1.0064464192543978E-12</v>
      </c>
      <c r="BG64" s="22">
        <f t="shared" si="7"/>
        <v>1.8635787380168604E-12</v>
      </c>
      <c r="BH64" s="62">
        <f t="shared" si="8"/>
        <v>293.33333333333519</v>
      </c>
      <c r="BI64" s="62">
        <f ca="1">AVERAGE(OFFSET($BH$3,0,0,'Données projet'!$E$11+1,1))-AVERAGE(OFFSET($H$3,0,0,'Données projet'!$E$11+1,1))</f>
        <v>365.70510182727895</v>
      </c>
      <c r="BJ64" s="62">
        <f t="shared" si="38"/>
        <v>436.23833844962525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3.9445878844560793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3.9821046500538784E-4</v>
      </c>
      <c r="BS64" s="24">
        <f t="shared" si="9"/>
        <v>3.9449860949210849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-1.7053025658242404E-13</v>
      </c>
      <c r="O65" s="14">
        <f>N65*VLOOKUP('Données projet'!$B$9,Paramètres!$A$1:$I$89,3,0)*VLOOKUP('Données projet'!$B$9,Paramètres!$A$1:$I$89,5,0)</f>
        <v>-1.0197709343628959E-13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207.99520960626666</v>
      </c>
      <c r="T65" s="62">
        <f t="shared" si="34"/>
        <v>306.39565990874775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68.022883711602944</v>
      </c>
      <c r="AA65" s="23">
        <f>EXP(-LN(2)/25)*AA64+(1-EXP(-LN(2)/25))/(LN(2)/25)*Calculateur!V65*Calculateur!X65*VLOOKUP('Données projet'!$B$9,Paramètres!$A$1:$I$89,3,0)*0.475*44/12</f>
        <v>3.3084468931700663</v>
      </c>
      <c r="AB65" s="23">
        <f>EXP(-LN(2)/2)*AB64+(1-EXP(-LN(2)/2))/(LN(2)/2)*V65*Y65*VLOOKUP('Données projet'!$B$9,Paramètres!$A$1:$I$89,3,0)*0.475*44/12</f>
        <v>0.93993886495916312</v>
      </c>
      <c r="AC65" s="24">
        <f t="shared" si="3"/>
        <v>72.271269469732175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285</v>
      </c>
      <c r="AJ65" s="14">
        <f>AI65*VLOOKUP('Données projet'!$B$10,Paramètres!$A$1:$I$89,3,0)*VLOOKUP('Données projet'!$B$10,Paramètres!$A$1:$I$89,5,0)</f>
        <v>133.38</v>
      </c>
      <c r="AK65" s="14">
        <f t="shared" si="35"/>
        <v>34.776207535548991</v>
      </c>
      <c r="AL65" s="22">
        <f t="shared" si="4"/>
        <v>292.8720614577478</v>
      </c>
      <c r="AM65" s="62">
        <f t="shared" si="5"/>
        <v>586.20539479108106</v>
      </c>
      <c r="AN65" s="62">
        <f ca="1">AVERAGE(OFFSET($AM$3,0,0,'Données projet'!$E$10+1,1))-AVERAGE(OFFSET($H$3,0,0,'Données projet'!$E$10+1,1))</f>
        <v>259.74478933784656</v>
      </c>
      <c r="AO65" s="62">
        <f t="shared" si="36"/>
        <v>223.74038909289646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6.3550942286383367E-14</v>
      </c>
      <c r="BF65" s="14">
        <f t="shared" si="37"/>
        <v>1.0064464192543978E-12</v>
      </c>
      <c r="BG65" s="22">
        <f t="shared" si="7"/>
        <v>1.8635787380168604E-12</v>
      </c>
      <c r="BH65" s="62">
        <f t="shared" si="8"/>
        <v>293.33333333333519</v>
      </c>
      <c r="BI65" s="62">
        <f ca="1">AVERAGE(OFFSET($BH$3,0,0,'Données projet'!$E$11+1,1))-AVERAGE(OFFSET($H$3,0,0,'Données projet'!$E$11+1,1))</f>
        <v>365.70510182727895</v>
      </c>
      <c r="BJ65" s="62">
        <f t="shared" si="38"/>
        <v>436.23833844962525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3.8672369220029363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2.8157732014475812E-4</v>
      </c>
      <c r="BS65" s="24">
        <f t="shared" si="9"/>
        <v>3.8675184993230811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-1.7053025658242404E-13</v>
      </c>
      <c r="O66" s="14">
        <f>N66*VLOOKUP('Données projet'!$B$9,Paramètres!$A$1:$I$89,3,0)*VLOOKUP('Données projet'!$B$9,Paramètres!$A$1:$I$89,5,0)</f>
        <v>-1.0197709343628959E-13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207.99520960626666</v>
      </c>
      <c r="T66" s="62">
        <f t="shared" si="34"/>
        <v>306.39565990874775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66.688996451880698</v>
      </c>
      <c r="AA66" s="23">
        <f>EXP(-LN(2)/25)*AA65+(1-EXP(-LN(2)/25))/(LN(2)/25)*Calculateur!V66*Calculateur!X66*VLOOKUP('Données projet'!$B$9,Paramètres!$A$1:$I$89,3,0)*0.475*44/12</f>
        <v>3.2179772388926704</v>
      </c>
      <c r="AB66" s="23">
        <f>EXP(-LN(2)/2)*AB65+(1-EXP(-LN(2)/2))/(LN(2)/2)*V66*Y66*VLOOKUP('Données projet'!$B$9,Paramètres!$A$1:$I$89,3,0)*0.475*44/12</f>
        <v>0.66463714531341089</v>
      </c>
      <c r="AC66" s="24">
        <f t="shared" si="3"/>
        <v>70.571610836086776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292.5</v>
      </c>
      <c r="AJ66" s="14">
        <f>AI66*VLOOKUP('Données projet'!$B$10,Paramètres!$A$1:$I$89,3,0)*VLOOKUP('Données projet'!$B$10,Paramètres!$A$1:$I$89,5,0)</f>
        <v>136.89000000000001</v>
      </c>
      <c r="AK66" s="14">
        <f t="shared" si="35"/>
        <v>35.583619346017713</v>
      </c>
      <c r="AL66" s="22">
        <f t="shared" si="4"/>
        <v>300.39155369431421</v>
      </c>
      <c r="AM66" s="62">
        <f t="shared" si="5"/>
        <v>593.72488702764758</v>
      </c>
      <c r="AN66" s="62">
        <f ca="1">AVERAGE(OFFSET($AM$3,0,0,'Données projet'!$E$10+1,1))-AVERAGE(OFFSET($H$3,0,0,'Données projet'!$E$10+1,1))</f>
        <v>259.74478933784656</v>
      </c>
      <c r="AO66" s="62">
        <f t="shared" si="36"/>
        <v>223.74038909289646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6.3550942286383367E-14</v>
      </c>
      <c r="BF66" s="14">
        <f t="shared" si="37"/>
        <v>1.0064464192543978E-12</v>
      </c>
      <c r="BG66" s="22">
        <f t="shared" si="7"/>
        <v>1.8635787380168604E-12</v>
      </c>
      <c r="BH66" s="62">
        <f t="shared" si="8"/>
        <v>293.33333333333519</v>
      </c>
      <c r="BI66" s="62">
        <f ca="1">AVERAGE(OFFSET($BH$3,0,0,'Données projet'!$E$11+1,1))-AVERAGE(OFFSET($H$3,0,0,'Données projet'!$E$11+1,1))</f>
        <v>365.70510182727895</v>
      </c>
      <c r="BJ66" s="62">
        <f t="shared" si="38"/>
        <v>436.23833844962525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3.7914027647440709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1.9910523250269392E-4</v>
      </c>
      <c r="BS66" s="24">
        <f t="shared" si="9"/>
        <v>3.7916018699765734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-1.7053025658242404E-13</v>
      </c>
      <c r="O67" s="14">
        <f>N67*VLOOKUP('Données projet'!$B$9,Paramètres!$A$1:$I$89,3,0)*VLOOKUP('Données projet'!$B$9,Paramètres!$A$1:$I$89,5,0)</f>
        <v>-1.0197709343628959E-13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207.99520960626666</v>
      </c>
      <c r="T67" s="62">
        <f t="shared" si="34"/>
        <v>306.39565990874775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65.381265907730707</v>
      </c>
      <c r="AA67" s="23">
        <f>EXP(-LN(2)/25)*AA66+(1-EXP(-LN(2)/25))/(LN(2)/25)*Calculateur!V67*Calculateur!X67*VLOOKUP('Données projet'!$B$9,Paramètres!$A$1:$I$89,3,0)*0.475*44/12</f>
        <v>3.1299814820690823</v>
      </c>
      <c r="AB67" s="23">
        <f>EXP(-LN(2)/2)*AB66+(1-EXP(-LN(2)/2))/(LN(2)/2)*V67*Y67*VLOOKUP('Données projet'!$B$9,Paramètres!$A$1:$I$89,3,0)*0.475*44/12</f>
        <v>0.46996943247958167</v>
      </c>
      <c r="AC67" s="24">
        <f t="shared" si="3"/>
        <v>68.981216822279379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300</v>
      </c>
      <c r="AJ67" s="14">
        <f>AI67*VLOOKUP('Données projet'!$B$10,Paramètres!$A$1:$I$89,3,0)*VLOOKUP('Données projet'!$B$10,Paramètres!$A$1:$I$89,5,0)</f>
        <v>140.4</v>
      </c>
      <c r="AK67" s="14">
        <f t="shared" si="35"/>
        <v>36.388624656711201</v>
      </c>
      <c r="AL67" s="22">
        <f t="shared" si="4"/>
        <v>307.90685461043864</v>
      </c>
      <c r="AM67" s="62">
        <f t="shared" si="5"/>
        <v>601.24018794377196</v>
      </c>
      <c r="AN67" s="62">
        <f ca="1">AVERAGE(OFFSET($AM$3,0,0,'Données projet'!$E$10+1,1))-AVERAGE(OFFSET($H$3,0,0,'Données projet'!$E$10+1,1))</f>
        <v>259.74478933784656</v>
      </c>
      <c r="AO67" s="62">
        <f t="shared" si="36"/>
        <v>223.74038909289646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6.3550942286383367E-14</v>
      </c>
      <c r="BF67" s="14">
        <f t="shared" si="37"/>
        <v>1.0064464192543978E-12</v>
      </c>
      <c r="BG67" s="22">
        <f t="shared" si="7"/>
        <v>1.8635787380168604E-12</v>
      </c>
      <c r="BH67" s="62">
        <f t="shared" si="8"/>
        <v>293.33333333333519</v>
      </c>
      <c r="BI67" s="62">
        <f ca="1">AVERAGE(OFFSET($BH$3,0,0,'Données projet'!$E$11+1,1))-AVERAGE(OFFSET($H$3,0,0,'Données projet'!$E$11+1,1))</f>
        <v>365.70510182727895</v>
      </c>
      <c r="BJ67" s="62">
        <f t="shared" si="38"/>
        <v>436.23833844962525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3.7170556690547829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1.4078866007237906E-4</v>
      </c>
      <c r="BS67" s="24">
        <f t="shared" si="9"/>
        <v>3.7171964577148553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-1.7053025658242404E-13</v>
      </c>
      <c r="O68" s="14">
        <f>N68*VLOOKUP('Données projet'!$B$9,Paramètres!$A$1:$I$89,3,0)*VLOOKUP('Données projet'!$B$9,Paramètres!$A$1:$I$89,5,0)</f>
        <v>-1.0197709343628959E-13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207.99520960626666</v>
      </c>
      <c r="T68" s="62">
        <f t="shared" si="34"/>
        <v>306.39565990874775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64.09917916191462</v>
      </c>
      <c r="AA68" s="23">
        <f>EXP(-LN(2)/25)*AA67+(1-EXP(-LN(2)/25))/(LN(2)/25)*Calculateur!V68*Calculateur!X68*VLOOKUP('Données projet'!$B$9,Paramètres!$A$1:$I$89,3,0)*0.475*44/12</f>
        <v>3.0443919738433309</v>
      </c>
      <c r="AB68" s="23">
        <f>EXP(-LN(2)/2)*AB67+(1-EXP(-LN(2)/2))/(LN(2)/2)*V68*Y68*VLOOKUP('Données projet'!$B$9,Paramètres!$A$1:$I$89,3,0)*0.475*44/12</f>
        <v>0.3323185726567055</v>
      </c>
      <c r="AC68" s="24">
        <f t="shared" ref="AC68:AC131" si="57">SUM(Z68:AB68)</f>
        <v>67.475889708414655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307.5</v>
      </c>
      <c r="AJ68" s="14">
        <f>AI68*VLOOKUP('Données projet'!$B$10,Paramètres!$A$1:$I$89,3,0)*VLOOKUP('Données projet'!$B$10,Paramètres!$A$1:$I$89,5,0)</f>
        <v>143.91</v>
      </c>
      <c r="AK68" s="14">
        <f t="shared" si="35"/>
        <v>37.191290549543432</v>
      </c>
      <c r="AL68" s="22">
        <f t="shared" ref="AL68:AL131" si="58">(AJ68+AK68)*0.475*44/12</f>
        <v>315.41808104045475</v>
      </c>
      <c r="AM68" s="62">
        <f t="shared" ref="AM68:AM131" si="59">AL68+(AD68+AE68)*44/12</f>
        <v>608.75141437378807</v>
      </c>
      <c r="AN68" s="62">
        <f ca="1">AVERAGE(OFFSET($AM$3,0,0,'Données projet'!$E$10+1,1))-AVERAGE(OFFSET($H$3,0,0,'Données projet'!$E$10+1,1))</f>
        <v>259.74478933784656</v>
      </c>
      <c r="AO68" s="62">
        <f t="shared" si="36"/>
        <v>223.74038909289646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6.3550942286383367E-14</v>
      </c>
      <c r="BF68" s="14">
        <f t="shared" si="37"/>
        <v>1.0064464192543978E-12</v>
      </c>
      <c r="BG68" s="22">
        <f t="shared" ref="BG68:BG131" si="61">(BE68+BF68)*0.475*44/12</f>
        <v>1.8635787380168604E-12</v>
      </c>
      <c r="BH68" s="62">
        <f t="shared" ref="BH68:BH131" si="62">BG68+(AY68+AZ68)*44/12</f>
        <v>293.33333333333519</v>
      </c>
      <c r="BI68" s="62">
        <f ca="1">AVERAGE(OFFSET($BH$3,0,0,'Données projet'!$E$11+1,1))-AVERAGE(OFFSET($H$3,0,0,'Données projet'!$E$11+1,1))</f>
        <v>365.70510182727895</v>
      </c>
      <c r="BJ68" s="62">
        <f t="shared" si="38"/>
        <v>436.23833844962525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3.6441664745647113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9.9552616251346961E-5</v>
      </c>
      <c r="BS68" s="24">
        <f t="shared" ref="BS68:BS131" si="63">SUM(BP68:BR68)</f>
        <v>3.6442660271809628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-1.7053025658242404E-13</v>
      </c>
      <c r="O69" s="14">
        <f>N69*VLOOKUP('Données projet'!$B$9,Paramètres!$A$1:$I$89,3,0)*VLOOKUP('Données projet'!$B$9,Paramètres!$A$1:$I$89,5,0)</f>
        <v>-1.0197709343628959E-13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207.99520960626666</v>
      </c>
      <c r="T69" s="62">
        <f t="shared" ref="T69:T132" si="88">$T$3</f>
        <v>306.39565990874775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62.842233355188291</v>
      </c>
      <c r="AA69" s="23">
        <f>EXP(-LN(2)/25)*AA68+(1-EXP(-LN(2)/25))/(LN(2)/25)*Calculateur!V69*Calculateur!X69*VLOOKUP('Données projet'!$B$9,Paramètres!$A$1:$I$89,3,0)*0.475*44/12</f>
        <v>2.9611429152209694</v>
      </c>
      <c r="AB69" s="23">
        <f>EXP(-LN(2)/2)*AB68+(1-EXP(-LN(2)/2))/(LN(2)/2)*V69*Y69*VLOOKUP('Données projet'!$B$9,Paramètres!$A$1:$I$89,3,0)*0.475*44/12</f>
        <v>0.23498471623979086</v>
      </c>
      <c r="AC69" s="24">
        <f t="shared" si="57"/>
        <v>66.038360986649053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315</v>
      </c>
      <c r="AJ69" s="14">
        <f>AI69*VLOOKUP('Données projet'!$B$10,Paramètres!$A$1:$I$89,3,0)*VLOOKUP('Données projet'!$B$10,Paramètres!$A$1:$I$89,5,0)</f>
        <v>147.41999999999999</v>
      </c>
      <c r="AK69" s="14">
        <f t="shared" ref="AK69:AK132" si="89">EXP(-1.0587+0.8836*LN(AJ69)+0.284)</f>
        <v>37.991680647570291</v>
      </c>
      <c r="AL69" s="22">
        <f t="shared" si="58"/>
        <v>322.92534379451826</v>
      </c>
      <c r="AM69" s="62">
        <f t="shared" si="59"/>
        <v>616.25867712785157</v>
      </c>
      <c r="AN69" s="62">
        <f ca="1">AVERAGE(OFFSET($AM$3,0,0,'Données projet'!$E$10+1,1))-AVERAGE(OFFSET($H$3,0,0,'Données projet'!$E$10+1,1))</f>
        <v>259.74478933784656</v>
      </c>
      <c r="AO69" s="62">
        <f t="shared" ref="AO69:AO132" si="90">$AO$3</f>
        <v>223.74038909289646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6.3550942286383367E-14</v>
      </c>
      <c r="BF69" s="14">
        <f t="shared" ref="BF69:BF132" si="91">EXP(-1.0587+0.8836*LN(BE69)+0.284)</f>
        <v>1.0064464192543978E-12</v>
      </c>
      <c r="BG69" s="22">
        <f t="shared" si="61"/>
        <v>1.8635787380168604E-12</v>
      </c>
      <c r="BH69" s="62">
        <f t="shared" si="62"/>
        <v>293.33333333333519</v>
      </c>
      <c r="BI69" s="62">
        <f ca="1">AVERAGE(OFFSET($BH$3,0,0,'Données projet'!$E$11+1,1))-AVERAGE(OFFSET($H$3,0,0,'Données projet'!$E$11+1,1))</f>
        <v>365.70510182727895</v>
      </c>
      <c r="BJ69" s="62">
        <f t="shared" ref="BJ69:BJ132" si="92">$BJ$3</f>
        <v>436.23833844962525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3.5727065927205715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7.039433003618953E-5</v>
      </c>
      <c r="BS69" s="24">
        <f t="shared" si="63"/>
        <v>3.5727769870506076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-1.7053025658242404E-13</v>
      </c>
      <c r="O70" s="14">
        <f>N70*VLOOKUP('Données projet'!$B$9,Paramètres!$A$1:$I$89,3,0)*VLOOKUP('Données projet'!$B$9,Paramètres!$A$1:$I$89,5,0)</f>
        <v>-1.0197709343628959E-13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207.99520960626666</v>
      </c>
      <c r="T70" s="62">
        <f t="shared" si="88"/>
        <v>306.39565990874775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61.609935489070622</v>
      </c>
      <c r="AA70" s="23">
        <f>EXP(-LN(2)/25)*AA69+(1-EXP(-LN(2)/25))/(LN(2)/25)*Calculateur!V70*Calculateur!X70*VLOOKUP('Données projet'!$B$9,Paramètres!$A$1:$I$89,3,0)*0.475*44/12</f>
        <v>2.8801703064845139</v>
      </c>
      <c r="AB70" s="23">
        <f>EXP(-LN(2)/2)*AB69+(1-EXP(-LN(2)/2))/(LN(2)/2)*V70*Y70*VLOOKUP('Données projet'!$B$9,Paramètres!$A$1:$I$89,3,0)*0.475*44/12</f>
        <v>0.16615928632835278</v>
      </c>
      <c r="AC70" s="24">
        <f t="shared" si="57"/>
        <v>64.65626508188349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322.5</v>
      </c>
      <c r="AJ70" s="14">
        <f>AI70*VLOOKUP('Données projet'!$B$10,Paramètres!$A$1:$I$89,3,0)*VLOOKUP('Données projet'!$B$10,Paramètres!$A$1:$I$89,5,0)</f>
        <v>150.93</v>
      </c>
      <c r="AK70" s="14">
        <f t="shared" si="89"/>
        <v>38.789855371379076</v>
      </c>
      <c r="AL70" s="22">
        <f t="shared" si="58"/>
        <v>330.4287481051519</v>
      </c>
      <c r="AM70" s="62">
        <f t="shared" si="59"/>
        <v>623.76208143848521</v>
      </c>
      <c r="AN70" s="62">
        <f ca="1">AVERAGE(OFFSET($AM$3,0,0,'Données projet'!$E$10+1,1))-AVERAGE(OFFSET($H$3,0,0,'Données projet'!$E$10+1,1))</f>
        <v>259.74478933784656</v>
      </c>
      <c r="AO70" s="62">
        <f t="shared" si="90"/>
        <v>223.74038909289646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6.3550942286383367E-14</v>
      </c>
      <c r="BF70" s="14">
        <f t="shared" si="91"/>
        <v>1.0064464192543978E-12</v>
      </c>
      <c r="BG70" s="22">
        <f t="shared" si="61"/>
        <v>1.8635787380168604E-12</v>
      </c>
      <c r="BH70" s="62">
        <f t="shared" si="62"/>
        <v>293.33333333333519</v>
      </c>
      <c r="BI70" s="62">
        <f ca="1">AVERAGE(OFFSET($BH$3,0,0,'Données projet'!$E$11+1,1))-AVERAGE(OFFSET($H$3,0,0,'Données projet'!$E$11+1,1))</f>
        <v>365.70510182727895</v>
      </c>
      <c r="BJ70" s="62">
        <f t="shared" si="92"/>
        <v>436.23833844962525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3.5026479955731706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4.977630812567348E-5</v>
      </c>
      <c r="BS70" s="24">
        <f t="shared" si="63"/>
        <v>3.5026977718812962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-1.7053025658242404E-13</v>
      </c>
      <c r="O71" s="14">
        <f>N71*VLOOKUP('Données projet'!$B$9,Paramètres!$A$1:$I$89,3,0)*VLOOKUP('Données projet'!$B$9,Paramètres!$A$1:$I$89,5,0)</f>
        <v>-1.0197709343628959E-13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207.99520960626666</v>
      </c>
      <c r="T71" s="62">
        <f t="shared" si="88"/>
        <v>306.39565990874775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60.401802232480044</v>
      </c>
      <c r="AA71" s="23">
        <f>EXP(-LN(2)/25)*AA70+(1-EXP(-LN(2)/25))/(LN(2)/25)*Calculateur!V71*Calculateur!X71*VLOOKUP('Données projet'!$B$9,Paramètres!$A$1:$I$89,3,0)*0.475*44/12</f>
        <v>2.801411897992121</v>
      </c>
      <c r="AB71" s="23">
        <f>EXP(-LN(2)/2)*AB70+(1-EXP(-LN(2)/2))/(LN(2)/2)*V71*Y71*VLOOKUP('Données projet'!$B$9,Paramètres!$A$1:$I$89,3,0)*0.475*44/12</f>
        <v>0.11749235811989546</v>
      </c>
      <c r="AC71" s="24">
        <f t="shared" si="57"/>
        <v>63.320706488592059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330</v>
      </c>
      <c r="AJ71" s="14">
        <f>AI71*VLOOKUP('Données projet'!$B$10,Paramètres!$A$1:$I$89,3,0)*VLOOKUP('Données projet'!$B$10,Paramètres!$A$1:$I$89,5,0)</f>
        <v>154.44</v>
      </c>
      <c r="AK71" s="14">
        <f t="shared" si="89"/>
        <v>39.58587217095549</v>
      </c>
      <c r="AL71" s="22">
        <f t="shared" si="58"/>
        <v>337.92839403108081</v>
      </c>
      <c r="AM71" s="62">
        <f t="shared" si="59"/>
        <v>631.26172736441413</v>
      </c>
      <c r="AN71" s="62">
        <f ca="1">AVERAGE(OFFSET($AM$3,0,0,'Données projet'!$E$10+1,1))-AVERAGE(OFFSET($H$3,0,0,'Données projet'!$E$10+1,1))</f>
        <v>259.74478933784656</v>
      </c>
      <c r="AO71" s="62">
        <f t="shared" si="90"/>
        <v>223.74038909289646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6.3550942286383367E-14</v>
      </c>
      <c r="BF71" s="14">
        <f t="shared" si="91"/>
        <v>1.0064464192543978E-12</v>
      </c>
      <c r="BG71" s="22">
        <f t="shared" si="61"/>
        <v>1.8635787380168604E-12</v>
      </c>
      <c r="BH71" s="62">
        <f t="shared" si="62"/>
        <v>293.33333333333519</v>
      </c>
      <c r="BI71" s="62">
        <f ca="1">AVERAGE(OFFSET($BH$3,0,0,'Données projet'!$E$11+1,1))-AVERAGE(OFFSET($H$3,0,0,'Données projet'!$E$11+1,1))</f>
        <v>365.70510182727895</v>
      </c>
      <c r="BJ71" s="62">
        <f t="shared" si="92"/>
        <v>436.23833844962525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3.4339632047843058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3.5197165018094765E-5</v>
      </c>
      <c r="BS71" s="24">
        <f t="shared" si="63"/>
        <v>3.4339984019493239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-1.7053025658242404E-13</v>
      </c>
      <c r="O72" s="14">
        <f>N72*VLOOKUP('Données projet'!$B$9,Paramètres!$A$1:$I$89,3,0)*VLOOKUP('Données projet'!$B$9,Paramètres!$A$1:$I$89,5,0)</f>
        <v>-1.0197709343628959E-13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207.99520960626666</v>
      </c>
      <c r="T72" s="62">
        <f t="shared" si="88"/>
        <v>306.39565990874775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59.217359732162677</v>
      </c>
      <c r="AA72" s="23">
        <f>EXP(-LN(2)/25)*AA71+(1-EXP(-LN(2)/25))/(LN(2)/25)*Calculateur!V72*Calculateur!X72*VLOOKUP('Données projet'!$B$9,Paramètres!$A$1:$I$89,3,0)*0.475*44/12</f>
        <v>2.7248071423216773</v>
      </c>
      <c r="AB72" s="23">
        <f>EXP(-LN(2)/2)*AB71+(1-EXP(-LN(2)/2))/(LN(2)/2)*V72*Y72*VLOOKUP('Données projet'!$B$9,Paramètres!$A$1:$I$89,3,0)*0.475*44/12</f>
        <v>8.3079643164176403E-2</v>
      </c>
      <c r="AC72" s="24">
        <f t="shared" si="57"/>
        <v>62.025246517648533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337.5</v>
      </c>
      <c r="AJ72" s="14">
        <f>AI72*VLOOKUP('Données projet'!$B$10,Paramètres!$A$1:$I$89,3,0)*VLOOKUP('Données projet'!$B$10,Paramètres!$A$1:$I$89,5,0)</f>
        <v>157.95000000000002</v>
      </c>
      <c r="AK72" s="14">
        <f t="shared" si="89"/>
        <v>40.379785735878301</v>
      </c>
      <c r="AL72" s="22">
        <f t="shared" si="58"/>
        <v>345.42437682332138</v>
      </c>
      <c r="AM72" s="62">
        <f t="shared" si="59"/>
        <v>638.75771015665464</v>
      </c>
      <c r="AN72" s="62">
        <f ca="1">AVERAGE(OFFSET($AM$3,0,0,'Données projet'!$E$10+1,1))-AVERAGE(OFFSET($H$3,0,0,'Données projet'!$E$10+1,1))</f>
        <v>259.74478933784656</v>
      </c>
      <c r="AO72" s="62">
        <f t="shared" si="90"/>
        <v>223.74038909289646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6.3550942286383367E-14</v>
      </c>
      <c r="BF72" s="14">
        <f t="shared" si="91"/>
        <v>1.0064464192543978E-12</v>
      </c>
      <c r="BG72" s="22">
        <f t="shared" si="61"/>
        <v>1.8635787380168604E-12</v>
      </c>
      <c r="BH72" s="62">
        <f t="shared" si="62"/>
        <v>293.33333333333519</v>
      </c>
      <c r="BI72" s="62">
        <f ca="1">AVERAGE(OFFSET($BH$3,0,0,'Données projet'!$E$11+1,1))-AVERAGE(OFFSET($H$3,0,0,'Données projet'!$E$11+1,1))</f>
        <v>365.70510182727895</v>
      </c>
      <c r="BJ72" s="62">
        <f t="shared" si="92"/>
        <v>436.23833844962525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3.3666252808492247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2.488815406283674E-5</v>
      </c>
      <c r="BS72" s="24">
        <f t="shared" si="63"/>
        <v>3.3666501690032877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-1.7053025658242404E-13</v>
      </c>
      <c r="O73" s="14">
        <f>N73*VLOOKUP('Données projet'!$B$9,Paramètres!$A$1:$I$89,3,0)*VLOOKUP('Données projet'!$B$9,Paramètres!$A$1:$I$89,5,0)</f>
        <v>-1.0197709343628959E-13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207.99520960626666</v>
      </c>
      <c r="T73" s="62">
        <f t="shared" si="88"/>
        <v>306.39565990874775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58.056143426837949</v>
      </c>
      <c r="AA73" s="23">
        <f>EXP(-LN(2)/25)*AA72+(1-EXP(-LN(2)/25))/(LN(2)/25)*Calculateur!V73*Calculateur!X73*VLOOKUP('Données projet'!$B$9,Paramètres!$A$1:$I$89,3,0)*0.475*44/12</f>
        <v>2.6502971477235109</v>
      </c>
      <c r="AB73" s="23">
        <f>EXP(-LN(2)/2)*AB72+(1-EXP(-LN(2)/2))/(LN(2)/2)*V73*Y73*VLOOKUP('Données projet'!$B$9,Paramètres!$A$1:$I$89,3,0)*0.475*44/12</f>
        <v>5.8746179059947737E-2</v>
      </c>
      <c r="AC73" s="24">
        <f t="shared" si="57"/>
        <v>60.765186753621407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345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345</v>
      </c>
      <c r="AJ73" s="14">
        <f>AI73*VLOOKUP('Données projet'!$B$10,Paramètres!$A$1:$I$89,3,0)*VLOOKUP('Données projet'!$B$10,Paramètres!$A$1:$I$89,5,0)</f>
        <v>161.45999999999998</v>
      </c>
      <c r="AK73" s="14">
        <f t="shared" si="89"/>
        <v>41.171648186302534</v>
      </c>
      <c r="AL73" s="22">
        <f t="shared" si="58"/>
        <v>352.9167872578102</v>
      </c>
      <c r="AM73" s="62">
        <f t="shared" si="59"/>
        <v>646.25012059114351</v>
      </c>
      <c r="AN73" s="62">
        <f ca="1">AVERAGE(OFFSET($AM$3,0,0,'Données projet'!$E$10+1,1))-AVERAGE(OFFSET($H$3,0,0,'Données projet'!$E$10+1,1))</f>
        <v>259.74478933784656</v>
      </c>
      <c r="AO73" s="62">
        <f t="shared" si="90"/>
        <v>223.74038909289646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6.3550942286383367E-14</v>
      </c>
      <c r="BF73" s="14">
        <f t="shared" si="91"/>
        <v>1.0064464192543978E-12</v>
      </c>
      <c r="BG73" s="22">
        <f t="shared" si="61"/>
        <v>1.8635787380168604E-12</v>
      </c>
      <c r="BH73" s="62">
        <f t="shared" si="62"/>
        <v>293.33333333333519</v>
      </c>
      <c r="BI73" s="62">
        <f ca="1">AVERAGE(OFFSET($BH$3,0,0,'Données projet'!$E$11+1,1))-AVERAGE(OFFSET($H$3,0,0,'Données projet'!$E$11+1,1))</f>
        <v>365.70510182727895</v>
      </c>
      <c r="BJ73" s="62">
        <f t="shared" si="92"/>
        <v>436.23833844962525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3.3006078125304326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1.7598582509047383E-5</v>
      </c>
      <c r="BS73" s="24">
        <f t="shared" si="63"/>
        <v>3.3006254111129416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-1.7053025658242404E-13</v>
      </c>
      <c r="O74" s="14">
        <f>N74*VLOOKUP('Données projet'!$B$9,Paramètres!$A$1:$I$89,3,0)*VLOOKUP('Données projet'!$B$9,Paramètres!$A$1:$I$89,5,0)</f>
        <v>-1.0197709343628959E-13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207.99520960626666</v>
      </c>
      <c r="T74" s="62">
        <f t="shared" si="88"/>
        <v>306.39565990874775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56.917697864988625</v>
      </c>
      <c r="AA74" s="23">
        <f>EXP(-LN(2)/25)*AA73+(1-EXP(-LN(2)/25))/(LN(2)/25)*Calculateur!V74*Calculateur!X74*VLOOKUP('Données projet'!$B$9,Paramètres!$A$1:$I$89,3,0)*0.475*44/12</f>
        <v>2.577824632845942</v>
      </c>
      <c r="AB74" s="23">
        <f>EXP(-LN(2)/2)*AB73+(1-EXP(-LN(2)/2))/(LN(2)/2)*V74*Y74*VLOOKUP('Données projet'!$B$9,Paramètres!$A$1:$I$89,3,0)*0.475*44/12</f>
        <v>4.1539821582088209E-2</v>
      </c>
      <c r="AC74" s="24">
        <f t="shared" si="57"/>
        <v>59.537062319416655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283.7</v>
      </c>
      <c r="AJ74" s="14">
        <f>AI74*VLOOKUP('Données projet'!$B$10,Paramètres!$A$1:$I$89,3,0)*VLOOKUP('Données projet'!$B$10,Paramètres!$A$1:$I$89,5,0)</f>
        <v>132.77160000000001</v>
      </c>
      <c r="AK74" s="14">
        <f t="shared" si="89"/>
        <v>34.63600628318656</v>
      </c>
      <c r="AL74" s="22">
        <f t="shared" si="58"/>
        <v>291.56824760988326</v>
      </c>
      <c r="AM74" s="62">
        <f t="shared" si="59"/>
        <v>584.90158094321657</v>
      </c>
      <c r="AN74" s="62">
        <f ca="1">AVERAGE(OFFSET($AM$3,0,0,'Données projet'!$E$10+1,1))-AVERAGE(OFFSET($H$3,0,0,'Données projet'!$E$10+1,1))</f>
        <v>259.74478933784656</v>
      </c>
      <c r="AO74" s="62">
        <f t="shared" si="90"/>
        <v>223.74038909289646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6.3550942286383367E-14</v>
      </c>
      <c r="BF74" s="14">
        <f t="shared" si="91"/>
        <v>1.0064464192543978E-12</v>
      </c>
      <c r="BG74" s="22">
        <f t="shared" si="61"/>
        <v>1.8635787380168604E-12</v>
      </c>
      <c r="BH74" s="62">
        <f t="shared" si="62"/>
        <v>293.33333333333519</v>
      </c>
      <c r="BI74" s="62">
        <f ca="1">AVERAGE(OFFSET($BH$3,0,0,'Données projet'!$E$11+1,1))-AVERAGE(OFFSET($H$3,0,0,'Données projet'!$E$11+1,1))</f>
        <v>365.70510182727895</v>
      </c>
      <c r="BJ74" s="62">
        <f t="shared" si="92"/>
        <v>436.23833844962525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3.2358849064986921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1.244407703141837E-5</v>
      </c>
      <c r="BS74" s="24">
        <f t="shared" si="63"/>
        <v>3.2358973505757236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-1.7053025658242404E-13</v>
      </c>
      <c r="O75" s="14">
        <f>N75*VLOOKUP('Données projet'!$B$9,Paramètres!$A$1:$I$89,3,0)*VLOOKUP('Données projet'!$B$9,Paramètres!$A$1:$I$89,5,0)</f>
        <v>-1.0197709343628959E-13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207.99520960626666</v>
      </c>
      <c r="T75" s="62">
        <f t="shared" si="88"/>
        <v>306.39565990874775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55.80157652622394</v>
      </c>
      <c r="AA75" s="23">
        <f>EXP(-LN(2)/25)*AA74+(1-EXP(-LN(2)/25))/(LN(2)/25)*Calculateur!V75*Calculateur!X75*VLOOKUP('Données projet'!$B$9,Paramètres!$A$1:$I$89,3,0)*0.475*44/12</f>
        <v>2.5073338826988638</v>
      </c>
      <c r="AB75" s="23">
        <f>EXP(-LN(2)/2)*AB74+(1-EXP(-LN(2)/2))/(LN(2)/2)*V75*Y75*VLOOKUP('Données projet'!$B$9,Paramètres!$A$1:$I$89,3,0)*0.475*44/12</f>
        <v>2.9373089529973872E-2</v>
      </c>
      <c r="AC75" s="24">
        <f t="shared" si="57"/>
        <v>58.338283498452782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291.39999999999998</v>
      </c>
      <c r="AJ75" s="14">
        <f>AI75*VLOOKUP('Données projet'!$B$10,Paramètres!$A$1:$I$89,3,0)*VLOOKUP('Données projet'!$B$10,Paramètres!$A$1:$I$89,5,0)</f>
        <v>136.37519999999998</v>
      </c>
      <c r="AK75" s="14">
        <f t="shared" si="89"/>
        <v>35.465351191683979</v>
      </c>
      <c r="AL75" s="22">
        <f t="shared" si="58"/>
        <v>299.28895999218292</v>
      </c>
      <c r="AM75" s="62">
        <f t="shared" si="59"/>
        <v>592.62229332551624</v>
      </c>
      <c r="AN75" s="62">
        <f ca="1">AVERAGE(OFFSET($AM$3,0,0,'Données projet'!$E$10+1,1))-AVERAGE(OFFSET($H$3,0,0,'Données projet'!$E$10+1,1))</f>
        <v>259.74478933784656</v>
      </c>
      <c r="AO75" s="62">
        <f t="shared" si="90"/>
        <v>223.74038909289646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6.3550942286383367E-14</v>
      </c>
      <c r="BF75" s="14">
        <f t="shared" si="91"/>
        <v>1.0064464192543978E-12</v>
      </c>
      <c r="BG75" s="22">
        <f t="shared" si="61"/>
        <v>1.8635787380168604E-12</v>
      </c>
      <c r="BH75" s="62">
        <f t="shared" si="62"/>
        <v>293.33333333333519</v>
      </c>
      <c r="BI75" s="62">
        <f ca="1">AVERAGE(OFFSET($BH$3,0,0,'Données projet'!$E$11+1,1))-AVERAGE(OFFSET($H$3,0,0,'Données projet'!$E$11+1,1))</f>
        <v>365.70510182727895</v>
      </c>
      <c r="BJ75" s="62">
        <f t="shared" si="92"/>
        <v>436.23833844962525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3.1724311771771596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8.7992912545236913E-6</v>
      </c>
      <c r="BS75" s="24">
        <f t="shared" si="63"/>
        <v>3.1724399764684139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-1.7053025658242404E-13</v>
      </c>
      <c r="O76" s="14">
        <f>N76*VLOOKUP('Données projet'!$B$9,Paramètres!$A$1:$I$89,3,0)*VLOOKUP('Données projet'!$B$9,Paramètres!$A$1:$I$89,5,0)</f>
        <v>-1.0197709343628959E-13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207.99520960626666</v>
      </c>
      <c r="T76" s="62">
        <f t="shared" si="88"/>
        <v>306.39565990874775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54.707341646145636</v>
      </c>
      <c r="AA76" s="23">
        <f>EXP(-LN(2)/25)*AA75+(1-EXP(-LN(2)/25))/(LN(2)/25)*Calculateur!V76*Calculateur!X76*VLOOKUP('Données projet'!$B$9,Paramètres!$A$1:$I$89,3,0)*0.475*44/12</f>
        <v>2.4387707058215051</v>
      </c>
      <c r="AB76" s="23">
        <f>EXP(-LN(2)/2)*AB75+(1-EXP(-LN(2)/2))/(LN(2)/2)*V76*Y76*VLOOKUP('Données projet'!$B$9,Paramètres!$A$1:$I$89,3,0)*0.475*44/12</f>
        <v>2.0769910791044108E-2</v>
      </c>
      <c r="AC76" s="24">
        <f t="shared" si="57"/>
        <v>57.166882262758186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299.09999999999997</v>
      </c>
      <c r="AJ76" s="14">
        <f>AI76*VLOOKUP('Données projet'!$B$10,Paramètres!$A$1:$I$89,3,0)*VLOOKUP('Données projet'!$B$10,Paramètres!$A$1:$I$89,5,0)</f>
        <v>139.97879999999998</v>
      </c>
      <c r="AK76" s="14">
        <f t="shared" si="89"/>
        <v>36.292148829903653</v>
      </c>
      <c r="AL76" s="22">
        <f t="shared" si="58"/>
        <v>307.00523587874881</v>
      </c>
      <c r="AM76" s="62">
        <f t="shared" si="59"/>
        <v>600.33856921208212</v>
      </c>
      <c r="AN76" s="62">
        <f ca="1">AVERAGE(OFFSET($AM$3,0,0,'Données projet'!$E$10+1,1))-AVERAGE(OFFSET($H$3,0,0,'Données projet'!$E$10+1,1))</f>
        <v>259.74478933784656</v>
      </c>
      <c r="AO76" s="62">
        <f t="shared" si="90"/>
        <v>223.74038909289646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6.3550942286383367E-14</v>
      </c>
      <c r="BF76" s="14">
        <f t="shared" si="91"/>
        <v>1.0064464192543978E-12</v>
      </c>
      <c r="BG76" s="22">
        <f t="shared" si="61"/>
        <v>1.8635787380168604E-12</v>
      </c>
      <c r="BH76" s="62">
        <f t="shared" si="62"/>
        <v>293.33333333333519</v>
      </c>
      <c r="BI76" s="62">
        <f ca="1">AVERAGE(OFFSET($BH$3,0,0,'Données projet'!$E$11+1,1))-AVERAGE(OFFSET($H$3,0,0,'Données projet'!$E$11+1,1))</f>
        <v>365.70510182727895</v>
      </c>
      <c r="BJ76" s="62">
        <f t="shared" si="92"/>
        <v>436.23833844962525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3.110221736784669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6.2220385157091851E-6</v>
      </c>
      <c r="BS76" s="24">
        <f t="shared" si="63"/>
        <v>3.1102279588231845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-1.7053025658242404E-13</v>
      </c>
      <c r="O77" s="14">
        <f>N77*VLOOKUP('Données projet'!$B$9,Paramètres!$A$1:$I$89,3,0)*VLOOKUP('Données projet'!$B$9,Paramètres!$A$1:$I$89,5,0)</f>
        <v>-1.0197709343628959E-13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207.99520960626666</v>
      </c>
      <c r="T77" s="62">
        <f t="shared" si="88"/>
        <v>306.39565990874775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53.634564044648293</v>
      </c>
      <c r="AA77" s="23">
        <f>EXP(-LN(2)/25)*AA76+(1-EXP(-LN(2)/25))/(LN(2)/25)*Calculateur!V77*Calculateur!X77*VLOOKUP('Données projet'!$B$9,Paramètres!$A$1:$I$89,3,0)*0.475*44/12</f>
        <v>2.3720823926214387</v>
      </c>
      <c r="AB77" s="23">
        <f>EXP(-LN(2)/2)*AB76+(1-EXP(-LN(2)/2))/(LN(2)/2)*V77*Y77*VLOOKUP('Données projet'!$B$9,Paramètres!$A$1:$I$89,3,0)*0.475*44/12</f>
        <v>1.4686544764986939E-2</v>
      </c>
      <c r="AC77" s="24">
        <f t="shared" si="57"/>
        <v>56.021332982034714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306.79999999999995</v>
      </c>
      <c r="AJ77" s="14">
        <f>AI77*VLOOKUP('Données projet'!$B$10,Paramètres!$A$1:$I$89,3,0)*VLOOKUP('Données projet'!$B$10,Paramètres!$A$1:$I$89,5,0)</f>
        <v>143.58239999999998</v>
      </c>
      <c r="AK77" s="14">
        <f t="shared" si="89"/>
        <v>37.116472314400653</v>
      </c>
      <c r="AL77" s="22">
        <f t="shared" si="58"/>
        <v>314.71720261424775</v>
      </c>
      <c r="AM77" s="62">
        <f t="shared" si="59"/>
        <v>608.05053594758101</v>
      </c>
      <c r="AN77" s="62">
        <f ca="1">AVERAGE(OFFSET($AM$3,0,0,'Données projet'!$E$10+1,1))-AVERAGE(OFFSET($H$3,0,0,'Données projet'!$E$10+1,1))</f>
        <v>259.74478933784656</v>
      </c>
      <c r="AO77" s="62">
        <f t="shared" si="90"/>
        <v>223.74038909289646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6.3550942286383367E-14</v>
      </c>
      <c r="BF77" s="14">
        <f t="shared" si="91"/>
        <v>1.0064464192543978E-12</v>
      </c>
      <c r="BG77" s="22">
        <f t="shared" si="61"/>
        <v>1.8635787380168604E-12</v>
      </c>
      <c r="BH77" s="62">
        <f t="shared" si="62"/>
        <v>293.33333333333519</v>
      </c>
      <c r="BI77" s="62">
        <f ca="1">AVERAGE(OFFSET($BH$3,0,0,'Données projet'!$E$11+1,1))-AVERAGE(OFFSET($H$3,0,0,'Données projet'!$E$11+1,1))</f>
        <v>365.70510182727895</v>
      </c>
      <c r="BJ77" s="62">
        <f t="shared" si="92"/>
        <v>436.23833844962525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3.049232185574263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4.3996456272618456E-6</v>
      </c>
      <c r="BS77" s="24">
        <f t="shared" si="63"/>
        <v>3.0492365852198904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-1.7053025658242404E-13</v>
      </c>
      <c r="O78" s="14">
        <f>N78*VLOOKUP('Données projet'!$B$9,Paramètres!$A$1:$I$89,3,0)*VLOOKUP('Données projet'!$B$9,Paramètres!$A$1:$I$89,5,0)</f>
        <v>-1.0197709343628959E-13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207.99520960626666</v>
      </c>
      <c r="T78" s="62">
        <f t="shared" si="88"/>
        <v>306.39565990874775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52.582822957586579</v>
      </c>
      <c r="AA78" s="23">
        <f>EXP(-LN(2)/25)*AA77+(1-EXP(-LN(2)/25))/(LN(2)/25)*Calculateur!V78*Calculateur!X78*VLOOKUP('Données projet'!$B$9,Paramètres!$A$1:$I$89,3,0)*0.475*44/12</f>
        <v>2.3072176748528137</v>
      </c>
      <c r="AB78" s="23">
        <f>EXP(-LN(2)/2)*AB77+(1-EXP(-LN(2)/2))/(LN(2)/2)*V78*Y78*VLOOKUP('Données projet'!$B$9,Paramètres!$A$1:$I$89,3,0)*0.475*44/12</f>
        <v>1.0384955395522056E-2</v>
      </c>
      <c r="AC78" s="24">
        <f t="shared" si="57"/>
        <v>54.900425587834917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314.49999999999994</v>
      </c>
      <c r="AJ78" s="14">
        <f>AI78*VLOOKUP('Données projet'!$B$10,Paramètres!$A$1:$I$89,3,0)*VLOOKUP('Données projet'!$B$10,Paramètres!$A$1:$I$89,5,0)</f>
        <v>147.18599999999998</v>
      </c>
      <c r="AK78" s="14">
        <f t="shared" si="89"/>
        <v>37.938390882441361</v>
      </c>
      <c r="AL78" s="22">
        <f t="shared" si="58"/>
        <v>322.42498078691864</v>
      </c>
      <c r="AM78" s="62">
        <f t="shared" si="59"/>
        <v>615.75831412025195</v>
      </c>
      <c r="AN78" s="62">
        <f ca="1">AVERAGE(OFFSET($AM$3,0,0,'Données projet'!$E$10+1,1))-AVERAGE(OFFSET($H$3,0,0,'Données projet'!$E$10+1,1))</f>
        <v>259.74478933784656</v>
      </c>
      <c r="AO78" s="62">
        <f t="shared" si="90"/>
        <v>223.74038909289646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6.3550942286383367E-14</v>
      </c>
      <c r="BF78" s="14">
        <f t="shared" si="91"/>
        <v>1.0064464192543978E-12</v>
      </c>
      <c r="BG78" s="22">
        <f t="shared" si="61"/>
        <v>1.8635787380168604E-12</v>
      </c>
      <c r="BH78" s="62">
        <f t="shared" si="62"/>
        <v>293.33333333333519</v>
      </c>
      <c r="BI78" s="62">
        <f ca="1">AVERAGE(OFFSET($BH$3,0,0,'Données projet'!$E$11+1,1))-AVERAGE(OFFSET($H$3,0,0,'Données projet'!$E$11+1,1))</f>
        <v>365.70510182727895</v>
      </c>
      <c r="BJ78" s="62">
        <f t="shared" si="92"/>
        <v>436.23833844962525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2.9894386022631401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3.1110192578545925E-6</v>
      </c>
      <c r="BS78" s="24">
        <f t="shared" si="63"/>
        <v>2.9894417132823978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-1.7053025658242404E-13</v>
      </c>
      <c r="O79" s="14">
        <f>N79*VLOOKUP('Données projet'!$B$9,Paramètres!$A$1:$I$89,3,0)*VLOOKUP('Données projet'!$B$9,Paramètres!$A$1:$I$89,5,0)</f>
        <v>-1.0197709343628959E-13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207.99520960626666</v>
      </c>
      <c r="T79" s="62">
        <f t="shared" si="88"/>
        <v>306.39565990874775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51.55170587174343</v>
      </c>
      <c r="AA79" s="23">
        <f>EXP(-LN(2)/25)*AA78+(1-EXP(-LN(2)/25))/(LN(2)/25)*Calculateur!V79*Calculateur!X79*VLOOKUP('Données projet'!$B$9,Paramètres!$A$1:$I$89,3,0)*0.475*44/12</f>
        <v>2.2441266862026592</v>
      </c>
      <c r="AB79" s="23">
        <f>EXP(-LN(2)/2)*AB78+(1-EXP(-LN(2)/2))/(LN(2)/2)*V79*Y79*VLOOKUP('Données projet'!$B$9,Paramètres!$A$1:$I$89,3,0)*0.475*44/12</f>
        <v>7.3432723824934706E-3</v>
      </c>
      <c r="AC79" s="24">
        <f t="shared" si="57"/>
        <v>53.803175830328584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322.19999999999993</v>
      </c>
      <c r="AJ79" s="14">
        <f>AI79*VLOOKUP('Données projet'!$B$10,Paramètres!$A$1:$I$89,3,0)*VLOOKUP('Données projet'!$B$10,Paramètres!$A$1:$I$89,5,0)</f>
        <v>150.78959999999998</v>
      </c>
      <c r="AK79" s="14">
        <f t="shared" si="89"/>
        <v>38.757970187689722</v>
      </c>
      <c r="AL79" s="22">
        <f t="shared" si="58"/>
        <v>330.12868474355952</v>
      </c>
      <c r="AM79" s="62">
        <f t="shared" si="59"/>
        <v>623.46201807689283</v>
      </c>
      <c r="AN79" s="62">
        <f ca="1">AVERAGE(OFFSET($AM$3,0,0,'Données projet'!$E$10+1,1))-AVERAGE(OFFSET($H$3,0,0,'Données projet'!$E$10+1,1))</f>
        <v>259.74478933784656</v>
      </c>
      <c r="AO79" s="62">
        <f t="shared" si="90"/>
        <v>223.74038909289646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6.3550942286383367E-14</v>
      </c>
      <c r="BF79" s="14">
        <f t="shared" si="91"/>
        <v>1.0064464192543978E-12</v>
      </c>
      <c r="BG79" s="22">
        <f t="shared" si="61"/>
        <v>1.8635787380168604E-12</v>
      </c>
      <c r="BH79" s="62">
        <f t="shared" si="62"/>
        <v>293.33333333333519</v>
      </c>
      <c r="BI79" s="62">
        <f ca="1">AVERAGE(OFFSET($BH$3,0,0,'Données projet'!$E$11+1,1))-AVERAGE(OFFSET($H$3,0,0,'Données projet'!$E$11+1,1))</f>
        <v>365.70510182727895</v>
      </c>
      <c r="BJ79" s="62">
        <f t="shared" si="92"/>
        <v>436.23833844962525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2.9308175346502638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2.1998228136309228E-6</v>
      </c>
      <c r="BS79" s="24">
        <f t="shared" si="63"/>
        <v>2.9308197344730775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-1.7053025658242404E-13</v>
      </c>
      <c r="O80" s="14">
        <f>N80*VLOOKUP('Données projet'!$B$9,Paramètres!$A$1:$I$89,3,0)*VLOOKUP('Données projet'!$B$9,Paramètres!$A$1:$I$89,5,0)</f>
        <v>-1.0197709343628959E-13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207.99520960626666</v>
      </c>
      <c r="T80" s="62">
        <f t="shared" si="88"/>
        <v>306.39565990874775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50.540808363034344</v>
      </c>
      <c r="AA80" s="23">
        <f>EXP(-LN(2)/25)*AA79+(1-EXP(-LN(2)/25))/(LN(2)/25)*Calculateur!V80*Calculateur!X80*VLOOKUP('Données projet'!$B$9,Paramètres!$A$1:$I$89,3,0)*0.475*44/12</f>
        <v>2.1827609239549539</v>
      </c>
      <c r="AB80" s="23">
        <f>EXP(-LN(2)/2)*AB79+(1-EXP(-LN(2)/2))/(LN(2)/2)*V80*Y80*VLOOKUP('Données projet'!$B$9,Paramètres!$A$1:$I$89,3,0)*0.475*44/12</f>
        <v>5.1924776977610287E-3</v>
      </c>
      <c r="AC80" s="24">
        <f t="shared" si="57"/>
        <v>52.728761764687057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329.89999999999992</v>
      </c>
      <c r="AJ80" s="14">
        <f>AI80*VLOOKUP('Données projet'!$B$10,Paramètres!$A$1:$I$89,3,0)*VLOOKUP('Données projet'!$B$10,Paramètres!$A$1:$I$89,5,0)</f>
        <v>154.39319999999995</v>
      </c>
      <c r="AK80" s="14">
        <f t="shared" si="89"/>
        <v>39.575272566832489</v>
      </c>
      <c r="AL80" s="22">
        <f t="shared" si="58"/>
        <v>337.82842305389983</v>
      </c>
      <c r="AM80" s="62">
        <f t="shared" si="59"/>
        <v>631.16175638723314</v>
      </c>
      <c r="AN80" s="62">
        <f ca="1">AVERAGE(OFFSET($AM$3,0,0,'Données projet'!$E$10+1,1))-AVERAGE(OFFSET($H$3,0,0,'Données projet'!$E$10+1,1))</f>
        <v>259.74478933784656</v>
      </c>
      <c r="AO80" s="62">
        <f t="shared" si="90"/>
        <v>223.74038909289646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6.3550942286383367E-14</v>
      </c>
      <c r="BF80" s="14">
        <f t="shared" si="91"/>
        <v>1.0064464192543978E-12</v>
      </c>
      <c r="BG80" s="22">
        <f t="shared" si="61"/>
        <v>1.8635787380168604E-12</v>
      </c>
      <c r="BH80" s="62">
        <f t="shared" si="62"/>
        <v>293.33333333333519</v>
      </c>
      <c r="BI80" s="62">
        <f ca="1">AVERAGE(OFFSET($BH$3,0,0,'Données projet'!$E$11+1,1))-AVERAGE(OFFSET($H$3,0,0,'Données projet'!$E$11+1,1))</f>
        <v>365.70510182727895</v>
      </c>
      <c r="BJ80" s="62">
        <f t="shared" si="92"/>
        <v>436.23833844962525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2.8733459904179552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1.5555096289272963E-6</v>
      </c>
      <c r="BS80" s="24">
        <f t="shared" si="63"/>
        <v>2.8733475459275843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-1.7053025658242404E-13</v>
      </c>
      <c r="O81" s="14">
        <f>N81*VLOOKUP('Données projet'!$B$9,Paramètres!$A$1:$I$89,3,0)*VLOOKUP('Données projet'!$B$9,Paramètres!$A$1:$I$89,5,0)</f>
        <v>-1.0197709343628959E-13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207.99520960626666</v>
      </c>
      <c r="T81" s="62">
        <f t="shared" si="88"/>
        <v>306.39565990874775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49.54973393788444</v>
      </c>
      <c r="AA81" s="23">
        <f>EXP(-LN(2)/25)*AA80+(1-EXP(-LN(2)/25))/(LN(2)/25)*Calculateur!V81*Calculateur!X81*VLOOKUP('Données projet'!$B$9,Paramètres!$A$1:$I$89,3,0)*0.475*44/12</f>
        <v>2.1230732117029976</v>
      </c>
      <c r="AB81" s="23">
        <f>EXP(-LN(2)/2)*AB80+(1-EXP(-LN(2)/2))/(LN(2)/2)*V81*Y81*VLOOKUP('Données projet'!$B$9,Paramètres!$A$1:$I$89,3,0)*0.475*44/12</f>
        <v>3.6716361912467362E-3</v>
      </c>
      <c r="AC81" s="24">
        <f t="shared" si="57"/>
        <v>51.676478785778684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337.59999999999991</v>
      </c>
      <c r="AJ81" s="14">
        <f>AI81*VLOOKUP('Données projet'!$B$10,Paramètres!$A$1:$I$89,3,0)*VLOOKUP('Données projet'!$B$10,Paramètres!$A$1:$I$89,5,0)</f>
        <v>157.99679999999995</v>
      </c>
      <c r="AK81" s="14">
        <f t="shared" si="89"/>
        <v>40.390357280610026</v>
      </c>
      <c r="AL81" s="22">
        <f t="shared" si="58"/>
        <v>345.52429893039567</v>
      </c>
      <c r="AM81" s="62">
        <f t="shared" si="59"/>
        <v>638.85763226372899</v>
      </c>
      <c r="AN81" s="62">
        <f ca="1">AVERAGE(OFFSET($AM$3,0,0,'Données projet'!$E$10+1,1))-AVERAGE(OFFSET($H$3,0,0,'Données projet'!$E$10+1,1))</f>
        <v>259.74478933784656</v>
      </c>
      <c r="AO81" s="62">
        <f t="shared" si="90"/>
        <v>223.74038909289646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6.3550942286383367E-14</v>
      </c>
      <c r="BF81" s="14">
        <f t="shared" si="91"/>
        <v>1.0064464192543978E-12</v>
      </c>
      <c r="BG81" s="22">
        <f t="shared" si="61"/>
        <v>1.8635787380168604E-12</v>
      </c>
      <c r="BH81" s="62">
        <f t="shared" si="62"/>
        <v>293.33333333333519</v>
      </c>
      <c r="BI81" s="62">
        <f ca="1">AVERAGE(OFFSET($BH$3,0,0,'Données projet'!$E$11+1,1))-AVERAGE(OFFSET($H$3,0,0,'Données projet'!$E$11+1,1))</f>
        <v>365.70510182727895</v>
      </c>
      <c r="BJ81" s="62">
        <f t="shared" si="92"/>
        <v>436.23833844962525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2.8170014281138616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1.0999114068154614E-6</v>
      </c>
      <c r="BS81" s="24">
        <f t="shared" si="63"/>
        <v>2.8170025280252684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-1.7053025658242404E-13</v>
      </c>
      <c r="O82" s="14">
        <f>N82*VLOOKUP('Données projet'!$B$9,Paramètres!$A$1:$I$89,3,0)*VLOOKUP('Données projet'!$B$9,Paramètres!$A$1:$I$89,5,0)</f>
        <v>-1.0197709343628959E-13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207.99520960626666</v>
      </c>
      <c r="T82" s="62">
        <f t="shared" si="88"/>
        <v>306.39565990874775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48.578093877716022</v>
      </c>
      <c r="AA82" s="23">
        <f>EXP(-LN(2)/25)*AA81+(1-EXP(-LN(2)/25))/(LN(2)/25)*Calculateur!V82*Calculateur!X82*VLOOKUP('Données projet'!$B$9,Paramètres!$A$1:$I$89,3,0)*0.475*44/12</f>
        <v>2.0650176630814112</v>
      </c>
      <c r="AB82" s="23">
        <f>EXP(-LN(2)/2)*AB81+(1-EXP(-LN(2)/2))/(LN(2)/2)*V82*Y82*VLOOKUP('Données projet'!$B$9,Paramètres!$A$1:$I$89,3,0)*0.475*44/12</f>
        <v>2.5962388488805148E-3</v>
      </c>
      <c r="AC82" s="24">
        <f t="shared" si="57"/>
        <v>50.645707779646315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345.2999999999999</v>
      </c>
      <c r="AJ82" s="14">
        <f>AI82*VLOOKUP('Données projet'!$B$10,Paramètres!$A$1:$I$89,3,0)*VLOOKUP('Données projet'!$B$10,Paramètres!$A$1:$I$89,5,0)</f>
        <v>161.60039999999995</v>
      </c>
      <c r="AK82" s="14">
        <f t="shared" si="89"/>
        <v>41.203280732237822</v>
      </c>
      <c r="AL82" s="22">
        <f t="shared" si="58"/>
        <v>353.21641060864749</v>
      </c>
      <c r="AM82" s="62">
        <f t="shared" si="59"/>
        <v>646.54974394198075</v>
      </c>
      <c r="AN82" s="62">
        <f ca="1">AVERAGE(OFFSET($AM$3,0,0,'Données projet'!$E$10+1,1))-AVERAGE(OFFSET($H$3,0,0,'Données projet'!$E$10+1,1))</f>
        <v>259.74478933784656</v>
      </c>
      <c r="AO82" s="62">
        <f t="shared" si="90"/>
        <v>223.74038909289646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6.3550942286383367E-14</v>
      </c>
      <c r="BF82" s="14">
        <f t="shared" si="91"/>
        <v>1.0064464192543978E-12</v>
      </c>
      <c r="BG82" s="22">
        <f t="shared" si="61"/>
        <v>1.8635787380168604E-12</v>
      </c>
      <c r="BH82" s="62">
        <f t="shared" si="62"/>
        <v>293.33333333333519</v>
      </c>
      <c r="BI82" s="62">
        <f ca="1">AVERAGE(OFFSET($BH$3,0,0,'Données projet'!$E$11+1,1))-AVERAGE(OFFSET($H$3,0,0,'Données projet'!$E$11+1,1))</f>
        <v>365.70510182727895</v>
      </c>
      <c r="BJ82" s="62">
        <f t="shared" si="92"/>
        <v>436.23833844962525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2.7617617483097616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7.7775481446364813E-7</v>
      </c>
      <c r="BS82" s="24">
        <f t="shared" si="63"/>
        <v>2.761762526064576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-1.7053025658242404E-13</v>
      </c>
      <c r="O83" s="14">
        <f>N83*VLOOKUP('Données projet'!$B$9,Paramètres!$A$1:$I$89,3,0)*VLOOKUP('Données projet'!$B$9,Paramètres!$A$1:$I$89,5,0)</f>
        <v>-1.0197709343628959E-13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207.99520960626666</v>
      </c>
      <c r="T83" s="62">
        <f t="shared" si="88"/>
        <v>306.39565990874775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47.625507086485584</v>
      </c>
      <c r="AA83" s="23">
        <f>EXP(-LN(2)/25)*AA82+(1-EXP(-LN(2)/25))/(LN(2)/25)*Calculateur!V83*Calculateur!X83*VLOOKUP('Données projet'!$B$9,Paramètres!$A$1:$I$89,3,0)*0.475*44/12</f>
        <v>2.0085496464898909</v>
      </c>
      <c r="AB83" s="23">
        <f>EXP(-LN(2)/2)*AB82+(1-EXP(-LN(2)/2))/(LN(2)/2)*V83*Y83*VLOOKUP('Données projet'!$B$9,Paramètres!$A$1:$I$89,3,0)*0.475*44/12</f>
        <v>1.8358180956233683E-3</v>
      </c>
      <c r="AC83" s="24">
        <f t="shared" si="57"/>
        <v>49.635892551071095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353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352.99999999999989</v>
      </c>
      <c r="AJ83" s="14">
        <f>AI83*VLOOKUP('Données projet'!$B$10,Paramètres!$A$1:$I$89,3,0)*VLOOKUP('Données projet'!$B$10,Paramètres!$A$1:$I$89,5,0)</f>
        <v>165.20399999999995</v>
      </c>
      <c r="AK83" s="14">
        <f t="shared" si="89"/>
        <v>42.014096665795854</v>
      </c>
      <c r="AL83" s="22">
        <f t="shared" si="58"/>
        <v>360.90485169292765</v>
      </c>
      <c r="AM83" s="62">
        <f t="shared" si="59"/>
        <v>654.23818502626091</v>
      </c>
      <c r="AN83" s="62">
        <f ca="1">AVERAGE(OFFSET($AM$3,0,0,'Données projet'!$E$10+1,1))-AVERAGE(OFFSET($H$3,0,0,'Données projet'!$E$10+1,1))</f>
        <v>259.74478933784656</v>
      </c>
      <c r="AO83" s="62">
        <f t="shared" si="90"/>
        <v>223.74038909289646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71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6.3550942286383367E-14</v>
      </c>
      <c r="BF83" s="14">
        <f t="shared" si="91"/>
        <v>1.0064464192543978E-12</v>
      </c>
      <c r="BG83" s="22">
        <f t="shared" si="61"/>
        <v>1.8635787380168604E-12</v>
      </c>
      <c r="BH83" s="62">
        <f t="shared" si="62"/>
        <v>293.33333333333519</v>
      </c>
      <c r="BI83" s="62">
        <f ca="1">AVERAGE(OFFSET($BH$3,0,0,'Données projet'!$E$11+1,1))-AVERAGE(OFFSET($H$3,0,0,'Données projet'!$E$11+1,1))</f>
        <v>365.70510182727895</v>
      </c>
      <c r="BJ83" s="62">
        <f t="shared" si="92"/>
        <v>436.23833844962525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2.7076052849337424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5.499557034077307E-7</v>
      </c>
      <c r="BS83" s="24">
        <f t="shared" si="63"/>
        <v>2.7076058348894456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-1.7053025658242404E-13</v>
      </c>
      <c r="O84" s="14">
        <f>N84*VLOOKUP('Données projet'!$B$9,Paramètres!$A$1:$I$89,3,0)*VLOOKUP('Données projet'!$B$9,Paramètres!$A$1:$I$89,5,0)</f>
        <v>-1.0197709343628959E-13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207.99520960626666</v>
      </c>
      <c r="T84" s="62">
        <f t="shared" si="88"/>
        <v>306.39565990874775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46.691599941210605</v>
      </c>
      <c r="AA84" s="23">
        <f>EXP(-LN(2)/25)*AA83+(1-EXP(-LN(2)/25))/(LN(2)/25)*Calculateur!V84*Calculateur!X84*VLOOKUP('Données projet'!$B$9,Paramètres!$A$1:$I$89,3,0)*0.475*44/12</f>
        <v>1.9536257507815895</v>
      </c>
      <c r="AB84" s="23">
        <f>EXP(-LN(2)/2)*AB83+(1-EXP(-LN(2)/2))/(LN(2)/2)*V84*Y84*VLOOKUP('Données projet'!$B$9,Paramètres!$A$1:$I$89,3,0)*0.475*44/12</f>
        <v>1.2981194244402576E-3</v>
      </c>
      <c r="AC84" s="24">
        <f t="shared" si="57"/>
        <v>48.646523811416635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290.2999999999999</v>
      </c>
      <c r="AJ84" s="14">
        <f>AI84*VLOOKUP('Données projet'!$B$10,Paramètres!$A$1:$I$89,3,0)*VLOOKUP('Données projet'!$B$10,Paramètres!$A$1:$I$89,5,0)</f>
        <v>135.86039999999994</v>
      </c>
      <c r="AK84" s="14">
        <f t="shared" si="89"/>
        <v>35.347031059244749</v>
      </c>
      <c r="AL84" s="22">
        <f t="shared" si="58"/>
        <v>298.18627576151783</v>
      </c>
      <c r="AM84" s="62">
        <f t="shared" si="59"/>
        <v>591.51960909485115</v>
      </c>
      <c r="AN84" s="62">
        <f ca="1">AVERAGE(OFFSET($AM$3,0,0,'Données projet'!$E$10+1,1))-AVERAGE(OFFSET($H$3,0,0,'Données projet'!$E$10+1,1))</f>
        <v>259.74478933784656</v>
      </c>
      <c r="AO84" s="62">
        <f t="shared" si="90"/>
        <v>223.74038909289646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6.3550942286383367E-14</v>
      </c>
      <c r="BF84" s="14">
        <f t="shared" si="91"/>
        <v>1.0064464192543978E-12</v>
      </c>
      <c r="BG84" s="22">
        <f t="shared" si="61"/>
        <v>1.8635787380168604E-12</v>
      </c>
      <c r="BH84" s="62">
        <f t="shared" si="62"/>
        <v>293.33333333333519</v>
      </c>
      <c r="BI84" s="62">
        <f ca="1">AVERAGE(OFFSET($BH$3,0,0,'Données projet'!$E$11+1,1))-AVERAGE(OFFSET($H$3,0,0,'Données projet'!$E$11+1,1))</f>
        <v>365.70510182727895</v>
      </c>
      <c r="BJ84" s="62">
        <f t="shared" si="92"/>
        <v>436.23833844962525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2.654510796772346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3.8887740723182407E-7</v>
      </c>
      <c r="BS84" s="24">
        <f t="shared" si="63"/>
        <v>2.6545111856497532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-1.7053025658242404E-13</v>
      </c>
      <c r="O85" s="14">
        <f>N85*VLOOKUP('Données projet'!$B$9,Paramètres!$A$1:$I$89,3,0)*VLOOKUP('Données projet'!$B$9,Paramètres!$A$1:$I$89,5,0)</f>
        <v>-1.0197709343628959E-13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207.99520960626666</v>
      </c>
      <c r="T85" s="62">
        <f t="shared" si="88"/>
        <v>306.39565990874775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45.776006145427353</v>
      </c>
      <c r="AA85" s="23">
        <f>EXP(-LN(2)/25)*AA84+(1-EXP(-LN(2)/25))/(LN(2)/25)*Calculateur!V85*Calculateur!X85*VLOOKUP('Données projet'!$B$9,Paramètres!$A$1:$I$89,3,0)*0.475*44/12</f>
        <v>1.9002037518897539</v>
      </c>
      <c r="AB85" s="23">
        <f>EXP(-LN(2)/2)*AB84+(1-EXP(-LN(2)/2))/(LN(2)/2)*V85*Y85*VLOOKUP('Données projet'!$B$9,Paramètres!$A$1:$I$89,3,0)*0.475*44/12</f>
        <v>9.1790904781168426E-4</v>
      </c>
      <c r="AC85" s="24">
        <f t="shared" si="57"/>
        <v>47.677127806364922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298.59999999999991</v>
      </c>
      <c r="AJ85" s="14">
        <f>AI85*VLOOKUP('Données projet'!$B$10,Paramètres!$A$1:$I$89,3,0)*VLOOKUP('Données projet'!$B$10,Paramètres!$A$1:$I$89,5,0)</f>
        <v>139.74479999999997</v>
      </c>
      <c r="AK85" s="14">
        <f t="shared" si="89"/>
        <v>36.238536552104364</v>
      </c>
      <c r="AL85" s="22">
        <f t="shared" si="58"/>
        <v>306.50431116158171</v>
      </c>
      <c r="AM85" s="62">
        <f t="shared" si="59"/>
        <v>599.83764449491503</v>
      </c>
      <c r="AN85" s="62">
        <f ca="1">AVERAGE(OFFSET($AM$3,0,0,'Données projet'!$E$10+1,1))-AVERAGE(OFFSET($H$3,0,0,'Données projet'!$E$10+1,1))</f>
        <v>259.74478933784656</v>
      </c>
      <c r="AO85" s="62">
        <f t="shared" si="90"/>
        <v>223.74038909289646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6.3550942286383367E-14</v>
      </c>
      <c r="BF85" s="14">
        <f t="shared" si="91"/>
        <v>1.0064464192543978E-12</v>
      </c>
      <c r="BG85" s="22">
        <f t="shared" si="61"/>
        <v>1.8635787380168604E-12</v>
      </c>
      <c r="BH85" s="62">
        <f t="shared" si="62"/>
        <v>293.33333333333519</v>
      </c>
      <c r="BI85" s="62">
        <f ca="1">AVERAGE(OFFSET($BH$3,0,0,'Données projet'!$E$11+1,1))-AVERAGE(OFFSET($H$3,0,0,'Données projet'!$E$11+1,1))</f>
        <v>365.70510182727895</v>
      </c>
      <c r="BJ85" s="62">
        <f t="shared" si="92"/>
        <v>436.23833844962525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2.6024574591393543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2.7497785170386535E-7</v>
      </c>
      <c r="BS85" s="24">
        <f t="shared" si="63"/>
        <v>2.6024577341172059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-1.7053025658242404E-13</v>
      </c>
      <c r="O86" s="14">
        <f>N86*VLOOKUP('Données projet'!$B$9,Paramètres!$A$1:$I$89,3,0)*VLOOKUP('Données projet'!$B$9,Paramètres!$A$1:$I$89,5,0)</f>
        <v>-1.0197709343628959E-13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207.99520960626666</v>
      </c>
      <c r="T86" s="62">
        <f t="shared" si="88"/>
        <v>306.39565990874775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44.878366585522343</v>
      </c>
      <c r="AA86" s="23">
        <f>EXP(-LN(2)/25)*AA85+(1-EXP(-LN(2)/25))/(LN(2)/25)*Calculateur!V86*Calculateur!X86*VLOOKUP('Données projet'!$B$9,Paramètres!$A$1:$I$89,3,0)*0.475*44/12</f>
        <v>1.8482425803669562</v>
      </c>
      <c r="AB86" s="23">
        <f>EXP(-LN(2)/2)*AB85+(1-EXP(-LN(2)/2))/(LN(2)/2)*V86*Y86*VLOOKUP('Données projet'!$B$9,Paramètres!$A$1:$I$89,3,0)*0.475*44/12</f>
        <v>6.490597122201288E-4</v>
      </c>
      <c r="AC86" s="24">
        <f t="shared" si="57"/>
        <v>46.727258225601517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306.89999999999992</v>
      </c>
      <c r="AJ86" s="14">
        <f>AI86*VLOOKUP('Données projet'!$B$10,Paramètres!$A$1:$I$89,3,0)*VLOOKUP('Données projet'!$B$10,Paramètres!$A$1:$I$89,5,0)</f>
        <v>143.62919999999997</v>
      </c>
      <c r="AK86" s="14">
        <f t="shared" si="89"/>
        <v>37.127161849234348</v>
      </c>
      <c r="AL86" s="22">
        <f t="shared" si="58"/>
        <v>314.81733022074974</v>
      </c>
      <c r="AM86" s="62">
        <f t="shared" si="59"/>
        <v>608.15066355408305</v>
      </c>
      <c r="AN86" s="62">
        <f ca="1">AVERAGE(OFFSET($AM$3,0,0,'Données projet'!$E$10+1,1))-AVERAGE(OFFSET($H$3,0,0,'Données projet'!$E$10+1,1))</f>
        <v>259.74478933784656</v>
      </c>
      <c r="AO86" s="62">
        <f t="shared" si="90"/>
        <v>223.74038909289646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6.3550942286383367E-14</v>
      </c>
      <c r="BF86" s="14">
        <f t="shared" si="91"/>
        <v>1.0064464192543978E-12</v>
      </c>
      <c r="BG86" s="22">
        <f t="shared" si="61"/>
        <v>1.8635787380168604E-12</v>
      </c>
      <c r="BH86" s="62">
        <f t="shared" si="62"/>
        <v>293.33333333333519</v>
      </c>
      <c r="BI86" s="62">
        <f ca="1">AVERAGE(OFFSET($BH$3,0,0,'Données projet'!$E$11+1,1))-AVERAGE(OFFSET($H$3,0,0,'Données projet'!$E$11+1,1))</f>
        <v>365.70510182727895</v>
      </c>
      <c r="BJ86" s="62">
        <f t="shared" si="92"/>
        <v>436.23833844962525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2.5514248557079444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1.9443870361591203E-7</v>
      </c>
      <c r="BS86" s="24">
        <f t="shared" si="63"/>
        <v>2.5514250501466482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-1.7053025658242404E-13</v>
      </c>
      <c r="O87" s="14">
        <f>N87*VLOOKUP('Données projet'!$B$9,Paramètres!$A$1:$I$89,3,0)*VLOOKUP('Données projet'!$B$9,Paramètres!$A$1:$I$89,5,0)</f>
        <v>-1.0197709343628959E-13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207.99520960626666</v>
      </c>
      <c r="T87" s="62">
        <f t="shared" si="88"/>
        <v>306.39565990874775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43.998329189880998</v>
      </c>
      <c r="AA87" s="23">
        <f>EXP(-LN(2)/25)*AA86+(1-EXP(-LN(2)/25))/(LN(2)/25)*Calculateur!V87*Calculateur!X87*VLOOKUP('Données projet'!$B$9,Paramètres!$A$1:$I$89,3,0)*0.475*44/12</f>
        <v>1.7977022898119688</v>
      </c>
      <c r="AB87" s="23">
        <f>EXP(-LN(2)/2)*AB86+(1-EXP(-LN(2)/2))/(LN(2)/2)*V87*Y87*VLOOKUP('Données projet'!$B$9,Paramètres!$A$1:$I$89,3,0)*0.475*44/12</f>
        <v>4.5895452390584213E-4</v>
      </c>
      <c r="AC87" s="24">
        <f t="shared" si="57"/>
        <v>45.796490434216871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315.19999999999993</v>
      </c>
      <c r="AJ87" s="14">
        <f>AI87*VLOOKUP('Données projet'!$B$10,Paramètres!$A$1:$I$89,3,0)*VLOOKUP('Données projet'!$B$10,Paramètres!$A$1:$I$89,5,0)</f>
        <v>147.51359999999997</v>
      </c>
      <c r="AK87" s="14">
        <f t="shared" si="89"/>
        <v>38.012993796041464</v>
      </c>
      <c r="AL87" s="22">
        <f t="shared" si="58"/>
        <v>323.12548419477213</v>
      </c>
      <c r="AM87" s="62">
        <f t="shared" si="59"/>
        <v>616.45881752810544</v>
      </c>
      <c r="AN87" s="62">
        <f ca="1">AVERAGE(OFFSET($AM$3,0,0,'Données projet'!$E$10+1,1))-AVERAGE(OFFSET($H$3,0,0,'Données projet'!$E$10+1,1))</f>
        <v>259.74478933784656</v>
      </c>
      <c r="AO87" s="62">
        <f t="shared" si="90"/>
        <v>223.74038909289646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6.3550942286383367E-14</v>
      </c>
      <c r="BF87" s="14">
        <f t="shared" si="91"/>
        <v>1.0064464192543978E-12</v>
      </c>
      <c r="BG87" s="22">
        <f t="shared" si="61"/>
        <v>1.8635787380168604E-12</v>
      </c>
      <c r="BH87" s="62">
        <f t="shared" si="62"/>
        <v>293.33333333333519</v>
      </c>
      <c r="BI87" s="62">
        <f ca="1">AVERAGE(OFFSET($BH$3,0,0,'Données projet'!$E$11+1,1))-AVERAGE(OFFSET($H$3,0,0,'Données projet'!$E$11+1,1))</f>
        <v>365.70510182727895</v>
      </c>
      <c r="BJ87" s="62">
        <f t="shared" si="92"/>
        <v>436.23833844962525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2.50139297050301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1.3748892585193268E-7</v>
      </c>
      <c r="BS87" s="24">
        <f t="shared" si="63"/>
        <v>2.501393107991936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-1.7053025658242404E-13</v>
      </c>
      <c r="O88" s="14">
        <f>N88*VLOOKUP('Données projet'!$B$9,Paramètres!$A$1:$I$89,3,0)*VLOOKUP('Données projet'!$B$9,Paramètres!$A$1:$I$89,5,0)</f>
        <v>-1.0197709343628959E-13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207.99520960626666</v>
      </c>
      <c r="T88" s="62">
        <f t="shared" si="88"/>
        <v>306.39565990874775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43.135548790798367</v>
      </c>
      <c r="AA88" s="23">
        <f>EXP(-LN(2)/25)*AA87+(1-EXP(-LN(2)/25))/(LN(2)/25)*Calculateur!V88*Calculateur!X88*VLOOKUP('Données projet'!$B$9,Paramètres!$A$1:$I$89,3,0)*0.475*44/12</f>
        <v>1.7485440261600058</v>
      </c>
      <c r="AB88" s="23">
        <f>EXP(-LN(2)/2)*AB87+(1-EXP(-LN(2)/2))/(LN(2)/2)*V88*Y88*VLOOKUP('Données projet'!$B$9,Paramètres!$A$1:$I$89,3,0)*0.475*44/12</f>
        <v>3.245298561100644E-4</v>
      </c>
      <c r="AC88" s="24">
        <f t="shared" si="57"/>
        <v>44.88441734681448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323.49999999999994</v>
      </c>
      <c r="AJ88" s="14">
        <f>AI88*VLOOKUP('Données projet'!$B$10,Paramètres!$A$1:$I$89,3,0)*VLOOKUP('Données projet'!$B$10,Paramètres!$A$1:$I$89,5,0)</f>
        <v>151.39799999999997</v>
      </c>
      <c r="AK88" s="14">
        <f t="shared" si="89"/>
        <v>38.896114403754709</v>
      </c>
      <c r="AL88" s="22">
        <f t="shared" si="58"/>
        <v>331.42891591987274</v>
      </c>
      <c r="AM88" s="62">
        <f t="shared" si="59"/>
        <v>624.76224925320605</v>
      </c>
      <c r="AN88" s="62">
        <f ca="1">AVERAGE(OFFSET($AM$3,0,0,'Données projet'!$E$10+1,1))-AVERAGE(OFFSET($H$3,0,0,'Données projet'!$E$10+1,1))</f>
        <v>259.74478933784656</v>
      </c>
      <c r="AO88" s="62">
        <f t="shared" si="90"/>
        <v>223.74038909289646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6.3550942286383367E-14</v>
      </c>
      <c r="BF88" s="14">
        <f t="shared" si="91"/>
        <v>1.0064464192543978E-12</v>
      </c>
      <c r="BG88" s="22">
        <f t="shared" si="61"/>
        <v>1.8635787380168604E-12</v>
      </c>
      <c r="BH88" s="62">
        <f t="shared" si="62"/>
        <v>293.33333333333519</v>
      </c>
      <c r="BI88" s="62">
        <f ca="1">AVERAGE(OFFSET($BH$3,0,0,'Données projet'!$E$11+1,1))-AVERAGE(OFFSET($H$3,0,0,'Données projet'!$E$11+1,1))</f>
        <v>365.70510182727895</v>
      </c>
      <c r="BJ88" s="62">
        <f t="shared" si="92"/>
        <v>436.23833844962525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2.4523421800505076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9.7219351807956017E-8</v>
      </c>
      <c r="BS88" s="24">
        <f t="shared" si="63"/>
        <v>2.4523422772698593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-1.7053025658242404E-13</v>
      </c>
      <c r="O89" s="14">
        <f>N89*VLOOKUP('Données projet'!$B$9,Paramètres!$A$1:$I$89,3,0)*VLOOKUP('Données projet'!$B$9,Paramètres!$A$1:$I$89,5,0)</f>
        <v>-1.0197709343628959E-13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207.99520960626666</v>
      </c>
      <c r="T89" s="62">
        <f t="shared" si="88"/>
        <v>306.39565990874775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42.289686989097667</v>
      </c>
      <c r="AA89" s="23">
        <f>EXP(-LN(2)/25)*AA88+(1-EXP(-LN(2)/25))/(LN(2)/25)*Calculateur!V89*Calculateur!X89*VLOOKUP('Données projet'!$B$9,Paramètres!$A$1:$I$89,3,0)*0.475*44/12</f>
        <v>1.7007299978127264</v>
      </c>
      <c r="AB89" s="23">
        <f>EXP(-LN(2)/2)*AB88+(1-EXP(-LN(2)/2))/(LN(2)/2)*V89*Y89*VLOOKUP('Données projet'!$B$9,Paramètres!$A$1:$I$89,3,0)*0.475*44/12</f>
        <v>2.2947726195292106E-4</v>
      </c>
      <c r="AC89" s="24">
        <f t="shared" si="57"/>
        <v>43.99064646417235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331.79999999999995</v>
      </c>
      <c r="AJ89" s="14">
        <f>AI89*VLOOKUP('Données projet'!$B$10,Paramètres!$A$1:$I$89,3,0)*VLOOKUP('Données projet'!$B$10,Paramètres!$A$1:$I$89,5,0)</f>
        <v>155.28239999999997</v>
      </c>
      <c r="AK89" s="14">
        <f t="shared" si="89"/>
        <v>39.776601235546408</v>
      </c>
      <c r="AL89" s="22">
        <f t="shared" si="58"/>
        <v>339.72776048524321</v>
      </c>
      <c r="AM89" s="62">
        <f t="shared" si="59"/>
        <v>633.06109381857652</v>
      </c>
      <c r="AN89" s="62">
        <f ca="1">AVERAGE(OFFSET($AM$3,0,0,'Données projet'!$E$10+1,1))-AVERAGE(OFFSET($H$3,0,0,'Données projet'!$E$10+1,1))</f>
        <v>259.74478933784656</v>
      </c>
      <c r="AO89" s="62">
        <f t="shared" si="90"/>
        <v>223.74038909289646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6.3550942286383367E-14</v>
      </c>
      <c r="BF89" s="14">
        <f t="shared" si="91"/>
        <v>1.0064464192543978E-12</v>
      </c>
      <c r="BG89" s="22">
        <f t="shared" si="61"/>
        <v>1.8635787380168604E-12</v>
      </c>
      <c r="BH89" s="62">
        <f t="shared" si="62"/>
        <v>293.33333333333519</v>
      </c>
      <c r="BI89" s="62">
        <f ca="1">AVERAGE(OFFSET($BH$3,0,0,'Données projet'!$E$11+1,1))-AVERAGE(OFFSET($H$3,0,0,'Données projet'!$E$11+1,1))</f>
        <v>365.70510182727895</v>
      </c>
      <c r="BJ89" s="62">
        <f t="shared" si="92"/>
        <v>436.23833844962525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2.404253245680751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6.8744462925966338E-8</v>
      </c>
      <c r="BS89" s="24">
        <f t="shared" si="63"/>
        <v>2.4042533144252141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-1.7053025658242404E-13</v>
      </c>
      <c r="O90" s="14">
        <f>N90*VLOOKUP('Données projet'!$B$9,Paramètres!$A$1:$I$89,3,0)*VLOOKUP('Données projet'!$B$9,Paramètres!$A$1:$I$89,5,0)</f>
        <v>-1.0197709343628959E-13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207.99520960626666</v>
      </c>
      <c r="T90" s="62">
        <f t="shared" si="88"/>
        <v>306.39565990874775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41.460412021403563</v>
      </c>
      <c r="AA90" s="23">
        <f>EXP(-LN(2)/25)*AA89+(1-EXP(-LN(2)/25))/(LN(2)/25)*Calculateur!V90*Calculateur!X90*VLOOKUP('Données projet'!$B$9,Paramètres!$A$1:$I$89,3,0)*0.475*44/12</f>
        <v>1.6542234465850338</v>
      </c>
      <c r="AB90" s="23">
        <f>EXP(-LN(2)/2)*AB89+(1-EXP(-LN(2)/2))/(LN(2)/2)*V90*Y90*VLOOKUP('Données projet'!$B$9,Paramètres!$A$1:$I$89,3,0)*0.475*44/12</f>
        <v>1.622649280550322E-4</v>
      </c>
      <c r="AC90" s="24">
        <f t="shared" si="57"/>
        <v>43.114797732916657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340.09999999999997</v>
      </c>
      <c r="AJ90" s="14">
        <f>AI90*VLOOKUP('Données projet'!$B$10,Paramètres!$A$1:$I$89,3,0)*VLOOKUP('Données projet'!$B$10,Paramètres!$A$1:$I$89,5,0)</f>
        <v>159.16679999999997</v>
      </c>
      <c r="AK90" s="14">
        <f t="shared" si="89"/>
        <v>40.654527752930747</v>
      </c>
      <c r="AL90" s="22">
        <f t="shared" si="58"/>
        <v>348.02214583635424</v>
      </c>
      <c r="AM90" s="62">
        <f t="shared" si="59"/>
        <v>641.35547916968756</v>
      </c>
      <c r="AN90" s="62">
        <f ca="1">AVERAGE(OFFSET($AM$3,0,0,'Données projet'!$E$10+1,1))-AVERAGE(OFFSET($H$3,0,0,'Données projet'!$E$10+1,1))</f>
        <v>259.74478933784656</v>
      </c>
      <c r="AO90" s="62">
        <f t="shared" si="90"/>
        <v>223.74038909289646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6.3550942286383367E-14</v>
      </c>
      <c r="BF90" s="14">
        <f t="shared" si="91"/>
        <v>1.0064464192543978E-12</v>
      </c>
      <c r="BG90" s="22">
        <f t="shared" si="61"/>
        <v>1.8635787380168604E-12</v>
      </c>
      <c r="BH90" s="62">
        <f t="shared" si="62"/>
        <v>293.33333333333519</v>
      </c>
      <c r="BI90" s="62">
        <f ca="1">AVERAGE(OFFSET($BH$3,0,0,'Données projet'!$E$11+1,1))-AVERAGE(OFFSET($H$3,0,0,'Données projet'!$E$11+1,1))</f>
        <v>365.70510182727895</v>
      </c>
      <c r="BJ90" s="62">
        <f t="shared" si="92"/>
        <v>436.23833844962525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2.3571073059826313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4.8609675903978008E-8</v>
      </c>
      <c r="BS90" s="24">
        <f t="shared" si="63"/>
        <v>2.3571073545923071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-1.7053025658242404E-13</v>
      </c>
      <c r="O91" s="14">
        <f>N91*VLOOKUP('Données projet'!$B$9,Paramètres!$A$1:$I$89,3,0)*VLOOKUP('Données projet'!$B$9,Paramètres!$A$1:$I$89,5,0)</f>
        <v>-1.0197709343628959E-13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207.99520960626666</v>
      </c>
      <c r="T91" s="62">
        <f t="shared" si="88"/>
        <v>306.39565990874775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40.647398630018152</v>
      </c>
      <c r="AA91" s="23">
        <f>EXP(-LN(2)/25)*AA90+(1-EXP(-LN(2)/25))/(LN(2)/25)*Calculateur!V91*Calculateur!X91*VLOOKUP('Données projet'!$B$9,Paramètres!$A$1:$I$89,3,0)*0.475*44/12</f>
        <v>1.6089886194463359</v>
      </c>
      <c r="AB91" s="23">
        <f>EXP(-LN(2)/2)*AB90+(1-EXP(-LN(2)/2))/(LN(2)/2)*V91*Y91*VLOOKUP('Données projet'!$B$9,Paramètres!$A$1:$I$89,3,0)*0.475*44/12</f>
        <v>1.1473863097646053E-4</v>
      </c>
      <c r="AC91" s="24">
        <f t="shared" si="57"/>
        <v>42.256501988095465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348.4</v>
      </c>
      <c r="AJ91" s="14">
        <f>AI91*VLOOKUP('Données projet'!$B$10,Paramètres!$A$1:$I$89,3,0)*VLOOKUP('Données projet'!$B$10,Paramètres!$A$1:$I$89,5,0)</f>
        <v>163.05119999999999</v>
      </c>
      <c r="AK91" s="14">
        <f t="shared" si="89"/>
        <v>41.529963627394977</v>
      </c>
      <c r="AL91" s="22">
        <f t="shared" si="58"/>
        <v>356.31219331771285</v>
      </c>
      <c r="AM91" s="62">
        <f t="shared" si="59"/>
        <v>649.64552665104611</v>
      </c>
      <c r="AN91" s="62">
        <f ca="1">AVERAGE(OFFSET($AM$3,0,0,'Données projet'!$E$10+1,1))-AVERAGE(OFFSET($H$3,0,0,'Données projet'!$E$10+1,1))</f>
        <v>259.74478933784656</v>
      </c>
      <c r="AO91" s="62">
        <f t="shared" si="90"/>
        <v>223.74038909289646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6.3550942286383367E-14</v>
      </c>
      <c r="BF91" s="14">
        <f t="shared" si="91"/>
        <v>1.0064464192543978E-12</v>
      </c>
      <c r="BG91" s="22">
        <f t="shared" si="61"/>
        <v>1.8635787380168604E-12</v>
      </c>
      <c r="BH91" s="62">
        <f t="shared" si="62"/>
        <v>293.33333333333519</v>
      </c>
      <c r="BI91" s="62">
        <f ca="1">AVERAGE(OFFSET($BH$3,0,0,'Données projet'!$E$11+1,1))-AVERAGE(OFFSET($H$3,0,0,'Données projet'!$E$11+1,1))</f>
        <v>365.70510182727895</v>
      </c>
      <c r="BJ91" s="62">
        <f t="shared" si="92"/>
        <v>436.23833844962525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2.3108858694058081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3.4372231462983169E-8</v>
      </c>
      <c r="BS91" s="24">
        <f t="shared" si="63"/>
        <v>2.3108859037780394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-1.7053025658242404E-13</v>
      </c>
      <c r="O92" s="14">
        <f>N92*VLOOKUP('Données projet'!$B$9,Paramètres!$A$1:$I$89,3,0)*VLOOKUP('Données projet'!$B$9,Paramètres!$A$1:$I$89,5,0)</f>
        <v>-1.0197709343628959E-13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207.99520960626666</v>
      </c>
      <c r="T92" s="62">
        <f t="shared" si="88"/>
        <v>306.39565990874775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39.850327935348609</v>
      </c>
      <c r="AA92" s="23">
        <f>EXP(-LN(2)/25)*AA91+(1-EXP(-LN(2)/25))/(LN(2)/25)*Calculateur!V92*Calculateur!X92*VLOOKUP('Données projet'!$B$9,Paramètres!$A$1:$I$89,3,0)*0.475*44/12</f>
        <v>1.5649907410345416</v>
      </c>
      <c r="AB92" s="23">
        <f>EXP(-LN(2)/2)*AB91+(1-EXP(-LN(2)/2))/(LN(2)/2)*V92*Y92*VLOOKUP('Données projet'!$B$9,Paramètres!$A$1:$I$89,3,0)*0.475*44/12</f>
        <v>8.11324640275161E-5</v>
      </c>
      <c r="AC92" s="24">
        <f t="shared" si="57"/>
        <v>41.415399808847177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356.7</v>
      </c>
      <c r="AJ92" s="14">
        <f>AI92*VLOOKUP('Données projet'!$B$10,Paramètres!$A$1:$I$89,3,0)*VLOOKUP('Données projet'!$B$10,Paramètres!$A$1:$I$89,5,0)</f>
        <v>166.93559999999997</v>
      </c>
      <c r="AK92" s="14">
        <f t="shared" si="89"/>
        <v>42.402975021498193</v>
      </c>
      <c r="AL92" s="22">
        <f t="shared" si="58"/>
        <v>364.59801816244266</v>
      </c>
      <c r="AM92" s="62">
        <f t="shared" si="59"/>
        <v>657.93135149577597</v>
      </c>
      <c r="AN92" s="62">
        <f ca="1">AVERAGE(OFFSET($AM$3,0,0,'Données projet'!$E$10+1,1))-AVERAGE(OFFSET($H$3,0,0,'Données projet'!$E$10+1,1))</f>
        <v>259.74478933784656</v>
      </c>
      <c r="AO92" s="62">
        <f t="shared" si="90"/>
        <v>223.74038909289646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6.3550942286383367E-14</v>
      </c>
      <c r="BF92" s="14">
        <f t="shared" si="91"/>
        <v>1.0064464192543978E-12</v>
      </c>
      <c r="BG92" s="22">
        <f t="shared" si="61"/>
        <v>1.8635787380168604E-12</v>
      </c>
      <c r="BH92" s="62">
        <f t="shared" si="62"/>
        <v>293.33333333333519</v>
      </c>
      <c r="BI92" s="62">
        <f ca="1">AVERAGE(OFFSET($BH$3,0,0,'Données projet'!$E$11+1,1))-AVERAGE(OFFSET($H$3,0,0,'Données projet'!$E$11+1,1))</f>
        <v>365.70510182727895</v>
      </c>
      <c r="BJ92" s="62">
        <f t="shared" si="92"/>
        <v>436.23833844962525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2.2655708070079639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2.4304837951989004E-8</v>
      </c>
      <c r="BS92" s="24">
        <f t="shared" si="63"/>
        <v>2.265570831312802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-1.7053025658242404E-13</v>
      </c>
      <c r="O93" s="14">
        <f>N93*VLOOKUP('Données projet'!$B$9,Paramètres!$A$1:$I$89,3,0)*VLOOKUP('Données projet'!$B$9,Paramètres!$A$1:$I$89,5,0)</f>
        <v>-1.0197709343628959E-13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207.99520960626666</v>
      </c>
      <c r="T93" s="62">
        <f t="shared" si="88"/>
        <v>306.39565990874775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39.068887310836416</v>
      </c>
      <c r="AA93" s="23">
        <f>EXP(-LN(2)/25)*AA92+(1-EXP(-LN(2)/25))/(LN(2)/25)*Calculateur!V93*Calculateur!X93*VLOOKUP('Données projet'!$B$9,Paramètres!$A$1:$I$89,3,0)*0.475*44/12</f>
        <v>1.5221959869216659</v>
      </c>
      <c r="AB93" s="23">
        <f>EXP(-LN(2)/2)*AB92+(1-EXP(-LN(2)/2))/(LN(2)/2)*V93*Y93*VLOOKUP('Données projet'!$B$9,Paramètres!$A$1:$I$89,3,0)*0.475*44/12</f>
        <v>5.7369315488230266E-5</v>
      </c>
      <c r="AC93" s="24">
        <f t="shared" si="57"/>
        <v>40.591140667073567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365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365</v>
      </c>
      <c r="AJ93" s="14">
        <f>AI93*VLOOKUP('Données projet'!$B$10,Paramètres!$A$1:$I$89,3,0)*VLOOKUP('Données projet'!$B$10,Paramètres!$A$1:$I$89,5,0)</f>
        <v>170.82000000000002</v>
      </c>
      <c r="AK93" s="14">
        <f t="shared" si="89"/>
        <v>43.273624843069463</v>
      </c>
      <c r="AL93" s="22">
        <f t="shared" si="58"/>
        <v>372.87972993501268</v>
      </c>
      <c r="AM93" s="62">
        <f t="shared" si="59"/>
        <v>666.21306326834599</v>
      </c>
      <c r="AN93" s="62">
        <f ca="1">AVERAGE(OFFSET($AM$3,0,0,'Données projet'!$E$10+1,1))-AVERAGE(OFFSET($H$3,0,0,'Données projet'!$E$10+1,1))</f>
        <v>259.74478933784656</v>
      </c>
      <c r="AO93" s="62">
        <f t="shared" si="90"/>
        <v>223.74038909289646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6.3550942286383367E-14</v>
      </c>
      <c r="BF93" s="14">
        <f t="shared" si="91"/>
        <v>1.0064464192543978E-12</v>
      </c>
      <c r="BG93" s="22">
        <f t="shared" si="61"/>
        <v>1.8635787380168604E-12</v>
      </c>
      <c r="BH93" s="62">
        <f t="shared" si="62"/>
        <v>293.33333333333519</v>
      </c>
      <c r="BI93" s="62">
        <f ca="1">AVERAGE(OFFSET($BH$3,0,0,'Données projet'!$E$11+1,1))-AVERAGE(OFFSET($H$3,0,0,'Données projet'!$E$11+1,1))</f>
        <v>365.70510182727895</v>
      </c>
      <c r="BJ93" s="62">
        <f t="shared" si="92"/>
        <v>436.23833844962525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2.2211443453442823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1.7186115731491584E-8</v>
      </c>
      <c r="BS93" s="24">
        <f t="shared" si="63"/>
        <v>2.2211443625303979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-1.7053025658242404E-13</v>
      </c>
      <c r="O94" s="14">
        <f>N94*VLOOKUP('Données projet'!$B$9,Paramètres!$A$1:$I$89,3,0)*VLOOKUP('Données projet'!$B$9,Paramètres!$A$1:$I$89,5,0)</f>
        <v>-1.0197709343628959E-13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207.99520960626666</v>
      </c>
      <c r="T94" s="62">
        <f t="shared" si="88"/>
        <v>306.39565990874775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38.302770260339187</v>
      </c>
      <c r="AA94" s="23">
        <f>EXP(-LN(2)/25)*AA93+(1-EXP(-LN(2)/25))/(LN(2)/25)*Calculateur!V94*Calculateur!X94*VLOOKUP('Données projet'!$B$9,Paramètres!$A$1:$I$89,3,0)*0.475*44/12</f>
        <v>1.4805714576104849</v>
      </c>
      <c r="AB94" s="23">
        <f>EXP(-LN(2)/2)*AB93+(1-EXP(-LN(2)/2))/(LN(2)/2)*V94*Y94*VLOOKUP('Données projet'!$B$9,Paramètres!$A$1:$I$89,3,0)*0.475*44/12</f>
        <v>4.056623201375805E-5</v>
      </c>
      <c r="AC94" s="24">
        <f t="shared" si="57"/>
        <v>39.783382284181691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300.3</v>
      </c>
      <c r="AJ94" s="14">
        <f>AI94*VLOOKUP('Données projet'!$B$10,Paramètres!$A$1:$I$89,3,0)*VLOOKUP('Données projet'!$B$10,Paramètres!$A$1:$I$89,5,0)</f>
        <v>140.54040000000001</v>
      </c>
      <c r="AK94" s="14">
        <f t="shared" si="89"/>
        <v>36.420775774849901</v>
      </c>
      <c r="AL94" s="22">
        <f t="shared" si="58"/>
        <v>308.20738114119689</v>
      </c>
      <c r="AM94" s="62">
        <f t="shared" si="59"/>
        <v>601.5407144745302</v>
      </c>
      <c r="AN94" s="62">
        <f ca="1">AVERAGE(OFFSET($AM$3,0,0,'Données projet'!$E$10+1,1))-AVERAGE(OFFSET($H$3,0,0,'Données projet'!$E$10+1,1))</f>
        <v>259.74478933784656</v>
      </c>
      <c r="AO94" s="62">
        <f t="shared" si="90"/>
        <v>223.74038909289646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6.3550942286383367E-14</v>
      </c>
      <c r="BF94" s="14">
        <f t="shared" si="91"/>
        <v>1.0064464192543978E-12</v>
      </c>
      <c r="BG94" s="22">
        <f t="shared" si="61"/>
        <v>1.8635787380168604E-12</v>
      </c>
      <c r="BH94" s="62">
        <f t="shared" si="62"/>
        <v>293.33333333333519</v>
      </c>
      <c r="BI94" s="62">
        <f ca="1">AVERAGE(OFFSET($BH$3,0,0,'Données projet'!$E$11+1,1))-AVERAGE(OFFSET($H$3,0,0,'Données projet'!$E$11+1,1))</f>
        <v>365.70510182727895</v>
      </c>
      <c r="BJ94" s="62">
        <f t="shared" si="92"/>
        <v>436.23833844962525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2.1775890594963596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1.2152418975994502E-8</v>
      </c>
      <c r="BS94" s="24">
        <f t="shared" si="63"/>
        <v>2.1775890716487787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-1.7053025658242404E-13</v>
      </c>
      <c r="O95" s="14">
        <f>N95*VLOOKUP('Données projet'!$B$9,Paramètres!$A$1:$I$89,3,0)*VLOOKUP('Données projet'!$B$9,Paramètres!$A$1:$I$89,5,0)</f>
        <v>-1.0197709343628959E-13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207.99520960626666</v>
      </c>
      <c r="T95" s="62">
        <f t="shared" si="88"/>
        <v>306.39565990874775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37.551676297916948</v>
      </c>
      <c r="AA95" s="23">
        <f>EXP(-LN(2)/25)*AA94+(1-EXP(-LN(2)/25))/(LN(2)/25)*Calculateur!V95*Calculateur!X95*VLOOKUP('Données projet'!$B$9,Paramètres!$A$1:$I$89,3,0)*0.475*44/12</f>
        <v>1.4400851532422572</v>
      </c>
      <c r="AB95" s="23">
        <f>EXP(-LN(2)/2)*AB94+(1-EXP(-LN(2)/2))/(LN(2)/2)*V95*Y95*VLOOKUP('Données projet'!$B$9,Paramètres!$A$1:$I$89,3,0)*0.475*44/12</f>
        <v>2.8684657744115133E-5</v>
      </c>
      <c r="AC95" s="24">
        <f t="shared" si="57"/>
        <v>38.991790135816949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308.60000000000002</v>
      </c>
      <c r="AJ95" s="14">
        <f>AI95*VLOOKUP('Données projet'!$B$10,Paramètres!$A$1:$I$89,3,0)*VLOOKUP('Données projet'!$B$10,Paramètres!$A$1:$I$89,5,0)</f>
        <v>144.4248</v>
      </c>
      <c r="AK95" s="14">
        <f t="shared" si="89"/>
        <v>37.308822031923654</v>
      </c>
      <c r="AL95" s="22">
        <f t="shared" si="58"/>
        <v>316.51939170560036</v>
      </c>
      <c r="AM95" s="62">
        <f t="shared" si="59"/>
        <v>609.85272503893361</v>
      </c>
      <c r="AN95" s="62">
        <f ca="1">AVERAGE(OFFSET($AM$3,0,0,'Données projet'!$E$10+1,1))-AVERAGE(OFFSET($H$3,0,0,'Données projet'!$E$10+1,1))</f>
        <v>259.74478933784656</v>
      </c>
      <c r="AO95" s="62">
        <f t="shared" si="90"/>
        <v>223.74038909289646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6.3550942286383367E-14</v>
      </c>
      <c r="BF95" s="14">
        <f t="shared" si="91"/>
        <v>1.0064464192543978E-12</v>
      </c>
      <c r="BG95" s="22">
        <f t="shared" si="61"/>
        <v>1.8635787380168604E-12</v>
      </c>
      <c r="BH95" s="62">
        <f t="shared" si="62"/>
        <v>293.33333333333519</v>
      </c>
      <c r="BI95" s="62">
        <f ca="1">AVERAGE(OFFSET($BH$3,0,0,'Données projet'!$E$11+1,1))-AVERAGE(OFFSET($H$3,0,0,'Données projet'!$E$11+1,1))</f>
        <v>365.70510182727895</v>
      </c>
      <c r="BJ95" s="62">
        <f t="shared" si="92"/>
        <v>436.23833844962525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2.1348878662378135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8.5930578657457922E-9</v>
      </c>
      <c r="BS95" s="24">
        <f t="shared" si="63"/>
        <v>2.1348878748308713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-1.7053025658242404E-13</v>
      </c>
      <c r="O96" s="14">
        <f>N96*VLOOKUP('Données projet'!$B$9,Paramètres!$A$1:$I$89,3,0)*VLOOKUP('Données projet'!$B$9,Paramètres!$A$1:$I$89,5,0)</f>
        <v>-1.0197709343628959E-13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207.99520960626666</v>
      </c>
      <c r="T96" s="62">
        <f t="shared" si="88"/>
        <v>306.39565990874775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36.815310829975729</v>
      </c>
      <c r="AA96" s="23">
        <f>EXP(-LN(2)/25)*AA95+(1-EXP(-LN(2)/25))/(LN(2)/25)*Calculateur!V96*Calculateur!X96*VLOOKUP('Données projet'!$B$9,Paramètres!$A$1:$I$89,3,0)*0.475*44/12</f>
        <v>1.4007059489960607</v>
      </c>
      <c r="AB96" s="23">
        <f>EXP(-LN(2)/2)*AB95+(1-EXP(-LN(2)/2))/(LN(2)/2)*V96*Y96*VLOOKUP('Données projet'!$B$9,Paramètres!$A$1:$I$89,3,0)*0.475*44/12</f>
        <v>2.0283116006879025E-5</v>
      </c>
      <c r="AC96" s="24">
        <f t="shared" si="57"/>
        <v>38.2160370620878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316.90000000000003</v>
      </c>
      <c r="AJ96" s="14">
        <f>AI96*VLOOKUP('Données projet'!$B$10,Paramètres!$A$1:$I$89,3,0)*VLOOKUP('Données projet'!$B$10,Paramètres!$A$1:$I$89,5,0)</f>
        <v>148.3092</v>
      </c>
      <c r="AK96" s="14">
        <f t="shared" si="89"/>
        <v>38.194092116566551</v>
      </c>
      <c r="AL96" s="22">
        <f t="shared" si="58"/>
        <v>324.82656710302007</v>
      </c>
      <c r="AM96" s="62">
        <f t="shared" si="59"/>
        <v>618.15990043635338</v>
      </c>
      <c r="AN96" s="62">
        <f ca="1">AVERAGE(OFFSET($AM$3,0,0,'Données projet'!$E$10+1,1))-AVERAGE(OFFSET($H$3,0,0,'Données projet'!$E$10+1,1))</f>
        <v>259.74478933784656</v>
      </c>
      <c r="AO96" s="62">
        <f t="shared" si="90"/>
        <v>223.74038909289646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6.3550942286383367E-14</v>
      </c>
      <c r="BF96" s="14">
        <f t="shared" si="91"/>
        <v>1.0064464192543978E-12</v>
      </c>
      <c r="BG96" s="22">
        <f t="shared" si="61"/>
        <v>1.8635787380168604E-12</v>
      </c>
      <c r="BH96" s="62">
        <f t="shared" si="62"/>
        <v>293.33333333333519</v>
      </c>
      <c r="BI96" s="62">
        <f ca="1">AVERAGE(OFFSET($BH$3,0,0,'Données projet'!$E$11+1,1))-AVERAGE(OFFSET($H$3,0,0,'Données projet'!$E$11+1,1))</f>
        <v>365.70510182727895</v>
      </c>
      <c r="BJ96" s="62">
        <f t="shared" si="92"/>
        <v>436.23833844962525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2.0930240173339114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6.076209487997251E-9</v>
      </c>
      <c r="BS96" s="24">
        <f t="shared" si="63"/>
        <v>2.0930240234101207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-1.7053025658242404E-13</v>
      </c>
      <c r="O97" s="14">
        <f>N97*VLOOKUP('Données projet'!$B$9,Paramètres!$A$1:$I$89,3,0)*VLOOKUP('Données projet'!$B$9,Paramètres!$A$1:$I$89,5,0)</f>
        <v>-1.0197709343628959E-13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207.99520960626666</v>
      </c>
      <c r="T97" s="62">
        <f t="shared" si="88"/>
        <v>306.39565990874775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36.09338503972225</v>
      </c>
      <c r="AA97" s="23">
        <f>EXP(-LN(2)/25)*AA96+(1-EXP(-LN(2)/25))/(LN(2)/25)*Calculateur!V97*Calculateur!X97*VLOOKUP('Données projet'!$B$9,Paramètres!$A$1:$I$89,3,0)*0.475*44/12</f>
        <v>1.3624035711608389</v>
      </c>
      <c r="AB97" s="23">
        <f>EXP(-LN(2)/2)*AB96+(1-EXP(-LN(2)/2))/(LN(2)/2)*V97*Y97*VLOOKUP('Données projet'!$B$9,Paramètres!$A$1:$I$89,3,0)*0.475*44/12</f>
        <v>1.4342328872057566E-5</v>
      </c>
      <c r="AC97" s="24">
        <f t="shared" si="57"/>
        <v>37.455802953211965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325.20000000000005</v>
      </c>
      <c r="AJ97" s="14">
        <f>AI97*VLOOKUP('Données projet'!$B$10,Paramètres!$A$1:$I$89,3,0)*VLOOKUP('Données projet'!$B$10,Paramètres!$A$1:$I$89,5,0)</f>
        <v>152.19360000000003</v>
      </c>
      <c r="AK97" s="14">
        <f t="shared" si="89"/>
        <v>39.076667098894909</v>
      </c>
      <c r="AL97" s="22">
        <f t="shared" si="58"/>
        <v>333.1290485305754</v>
      </c>
      <c r="AM97" s="62">
        <f t="shared" si="59"/>
        <v>626.46238186390872</v>
      </c>
      <c r="AN97" s="62">
        <f ca="1">AVERAGE(OFFSET($AM$3,0,0,'Données projet'!$E$10+1,1))-AVERAGE(OFFSET($H$3,0,0,'Données projet'!$E$10+1,1))</f>
        <v>259.74478933784656</v>
      </c>
      <c r="AO97" s="62">
        <f t="shared" si="90"/>
        <v>223.74038909289646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6.3550942286383367E-14</v>
      </c>
      <c r="BF97" s="14">
        <f t="shared" si="91"/>
        <v>1.0064464192543978E-12</v>
      </c>
      <c r="BG97" s="22">
        <f t="shared" si="61"/>
        <v>1.8635787380168604E-12</v>
      </c>
      <c r="BH97" s="62">
        <f t="shared" si="62"/>
        <v>293.33333333333519</v>
      </c>
      <c r="BI97" s="62">
        <f ca="1">AVERAGE(OFFSET($BH$3,0,0,'Données projet'!$E$11+1,1))-AVERAGE(OFFSET($H$3,0,0,'Données projet'!$E$11+1,1))</f>
        <v>365.70510182727895</v>
      </c>
      <c r="BJ97" s="62">
        <f t="shared" si="92"/>
        <v>436.23833844962525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2.0519810929725883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4.2965289328728961E-9</v>
      </c>
      <c r="BS97" s="24">
        <f t="shared" si="63"/>
        <v>2.0519810972691173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-1.7053025658242404E-13</v>
      </c>
      <c r="O98" s="14">
        <f>N98*VLOOKUP('Données projet'!$B$9,Paramètres!$A$1:$I$89,3,0)*VLOOKUP('Données projet'!$B$9,Paramètres!$A$1:$I$89,5,0)</f>
        <v>-1.0197709343628959E-13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207.99520960626666</v>
      </c>
      <c r="T98" s="62">
        <f t="shared" si="88"/>
        <v>306.39565990874775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35.385615773884389</v>
      </c>
      <c r="AA98" s="23">
        <f>EXP(-LN(2)/25)*AA97+(1-EXP(-LN(2)/25))/(LN(2)/25)*Calculateur!V98*Calculateur!X98*VLOOKUP('Données projet'!$B$9,Paramètres!$A$1:$I$89,3,0)*0.475*44/12</f>
        <v>1.3251485738617557</v>
      </c>
      <c r="AB98" s="23">
        <f>EXP(-LN(2)/2)*AB97+(1-EXP(-LN(2)/2))/(LN(2)/2)*V98*Y98*VLOOKUP('Données projet'!$B$9,Paramètres!$A$1:$I$89,3,0)*0.475*44/12</f>
        <v>1.0141558003439513E-5</v>
      </c>
      <c r="AC98" s="24">
        <f t="shared" si="57"/>
        <v>36.710774489304143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333.50000000000006</v>
      </c>
      <c r="AJ98" s="14">
        <f>AI98*VLOOKUP('Données projet'!$B$10,Paramètres!$A$1:$I$89,3,0)*VLOOKUP('Données projet'!$B$10,Paramètres!$A$1:$I$89,5,0)</f>
        <v>156.07800000000003</v>
      </c>
      <c r="AK98" s="14">
        <f t="shared" si="89"/>
        <v>39.956623674978466</v>
      </c>
      <c r="AL98" s="22">
        <f t="shared" si="58"/>
        <v>341.42696956725422</v>
      </c>
      <c r="AM98" s="62">
        <f t="shared" si="59"/>
        <v>634.76030290058748</v>
      </c>
      <c r="AN98" s="62">
        <f ca="1">AVERAGE(OFFSET($AM$3,0,0,'Données projet'!$E$10+1,1))-AVERAGE(OFFSET($H$3,0,0,'Données projet'!$E$10+1,1))</f>
        <v>259.74478933784656</v>
      </c>
      <c r="AO98" s="62">
        <f t="shared" si="90"/>
        <v>223.74038909289646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6.3550942286383367E-14</v>
      </c>
      <c r="BF98" s="14">
        <f t="shared" si="91"/>
        <v>1.0064464192543978E-12</v>
      </c>
      <c r="BG98" s="22">
        <f t="shared" si="61"/>
        <v>1.8635787380168604E-12</v>
      </c>
      <c r="BH98" s="62">
        <f t="shared" si="62"/>
        <v>293.33333333333519</v>
      </c>
      <c r="BI98" s="62">
        <f ca="1">AVERAGE(OFFSET($BH$3,0,0,'Données projet'!$E$11+1,1))-AVERAGE(OFFSET($H$3,0,0,'Données projet'!$E$11+1,1))</f>
        <v>365.70510182727895</v>
      </c>
      <c r="BJ98" s="62">
        <f t="shared" si="92"/>
        <v>436.23833844962525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2.0117429953242789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3.0381047439986255E-9</v>
      </c>
      <c r="BS98" s="24">
        <f t="shared" si="63"/>
        <v>2.0117429983623838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-1.7053025658242404E-13</v>
      </c>
      <c r="O99" s="14">
        <f>N99*VLOOKUP('Données projet'!$B$9,Paramètres!$A$1:$I$89,3,0)*VLOOKUP('Données projet'!$B$9,Paramètres!$A$1:$I$89,5,0)</f>
        <v>-1.0197709343628959E-13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207.99520960626666</v>
      </c>
      <c r="T99" s="62">
        <f t="shared" si="88"/>
        <v>306.39565990874775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34.691725431652984</v>
      </c>
      <c r="AA99" s="23">
        <f>EXP(-LN(2)/25)*AA98+(1-EXP(-LN(2)/25))/(LN(2)/25)*Calculateur!V99*Calculateur!X99*VLOOKUP('Données projet'!$B$9,Paramètres!$A$1:$I$89,3,0)*0.475*44/12</f>
        <v>1.2889123164229712</v>
      </c>
      <c r="AB99" s="23">
        <f>EXP(-LN(2)/2)*AB98+(1-EXP(-LN(2)/2))/(LN(2)/2)*V99*Y99*VLOOKUP('Données projet'!$B$9,Paramètres!$A$1:$I$89,3,0)*0.475*44/12</f>
        <v>7.1711644360287832E-6</v>
      </c>
      <c r="AC99" s="24">
        <f t="shared" si="57"/>
        <v>35.98064491924039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341.80000000000007</v>
      </c>
      <c r="AJ99" s="14">
        <f>AI99*VLOOKUP('Données projet'!$B$10,Paramètres!$A$1:$I$89,3,0)*VLOOKUP('Données projet'!$B$10,Paramètres!$A$1:$I$89,5,0)</f>
        <v>159.96240000000003</v>
      </c>
      <c r="AK99" s="14">
        <f t="shared" si="89"/>
        <v>40.834034505739851</v>
      </c>
      <c r="AL99" s="22">
        <f t="shared" si="58"/>
        <v>349.7204567641636</v>
      </c>
      <c r="AM99" s="62">
        <f t="shared" si="59"/>
        <v>643.05379009749686</v>
      </c>
      <c r="AN99" s="62">
        <f ca="1">AVERAGE(OFFSET($AM$3,0,0,'Données projet'!$E$10+1,1))-AVERAGE(OFFSET($H$3,0,0,'Données projet'!$E$10+1,1))</f>
        <v>259.74478933784656</v>
      </c>
      <c r="AO99" s="62">
        <f t="shared" si="90"/>
        <v>223.74038909289646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6.3550942286383367E-14</v>
      </c>
      <c r="BF99" s="14">
        <f t="shared" si="91"/>
        <v>1.0064464192543978E-12</v>
      </c>
      <c r="BG99" s="22">
        <f t="shared" si="61"/>
        <v>1.8635787380168604E-12</v>
      </c>
      <c r="BH99" s="62">
        <f t="shared" si="62"/>
        <v>293.33333333333519</v>
      </c>
      <c r="BI99" s="62">
        <f ca="1">AVERAGE(OFFSET($BH$3,0,0,'Données projet'!$E$11+1,1))-AVERAGE(OFFSET($H$3,0,0,'Données projet'!$E$11+1,1))</f>
        <v>365.70510182727895</v>
      </c>
      <c r="BJ99" s="62">
        <f t="shared" si="92"/>
        <v>436.23833844962525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1.9722939422280366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2.1482644664364481E-9</v>
      </c>
      <c r="BS99" s="24">
        <f t="shared" si="63"/>
        <v>1.972293944376301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-1.7053025658242404E-13</v>
      </c>
      <c r="O100" s="14">
        <f>N100*VLOOKUP('Données projet'!$B$9,Paramètres!$A$1:$I$89,3,0)*VLOOKUP('Données projet'!$B$9,Paramètres!$A$1:$I$89,5,0)</f>
        <v>-1.0197709343628959E-13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207.99520960626666</v>
      </c>
      <c r="T100" s="62">
        <f t="shared" si="88"/>
        <v>306.39565990874775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34.011441855801422</v>
      </c>
      <c r="AA100" s="23">
        <f>EXP(-LN(2)/25)*AA99+(1-EXP(-LN(2)/25))/(LN(2)/25)*Calculateur!V100*Calculateur!X100*VLOOKUP('Données projet'!$B$9,Paramètres!$A$1:$I$89,3,0)*0.475*44/12</f>
        <v>1.2536669413494321</v>
      </c>
      <c r="AB100" s="23">
        <f>EXP(-LN(2)/2)*AB99+(1-EXP(-LN(2)/2))/(LN(2)/2)*V100*Y100*VLOOKUP('Données projet'!$B$9,Paramètres!$A$1:$I$89,3,0)*0.475*44/12</f>
        <v>5.0707790017197563E-6</v>
      </c>
      <c r="AC100" s="24">
        <f t="shared" si="57"/>
        <v>35.265113867929855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350.10000000000008</v>
      </c>
      <c r="AJ100" s="14">
        <f>AI100*VLOOKUP('Données projet'!$B$10,Paramètres!$A$1:$I$89,3,0)*VLOOKUP('Données projet'!$B$10,Paramètres!$A$1:$I$89,5,0)</f>
        <v>163.84680000000003</v>
      </c>
      <c r="AK100" s="14">
        <f t="shared" si="89"/>
        <v>41.708968522008732</v>
      </c>
      <c r="AL100" s="22">
        <f t="shared" si="58"/>
        <v>358.00963017583189</v>
      </c>
      <c r="AM100" s="62">
        <f t="shared" si="59"/>
        <v>651.3429635091652</v>
      </c>
      <c r="AN100" s="62">
        <f ca="1">AVERAGE(OFFSET($AM$3,0,0,'Données projet'!$E$10+1,1))-AVERAGE(OFFSET($H$3,0,0,'Données projet'!$E$10+1,1))</f>
        <v>259.74478933784656</v>
      </c>
      <c r="AO100" s="62">
        <f t="shared" si="90"/>
        <v>223.74038909289646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6.3550942286383367E-14</v>
      </c>
      <c r="BF100" s="14">
        <f t="shared" si="91"/>
        <v>1.0064464192543978E-12</v>
      </c>
      <c r="BG100" s="22">
        <f t="shared" si="61"/>
        <v>1.8635787380168604E-12</v>
      </c>
      <c r="BH100" s="62">
        <f t="shared" si="62"/>
        <v>293.33333333333519</v>
      </c>
      <c r="BI100" s="62">
        <f ca="1">AVERAGE(OFFSET($BH$3,0,0,'Données projet'!$E$11+1,1))-AVERAGE(OFFSET($H$3,0,0,'Données projet'!$E$11+1,1))</f>
        <v>365.70510182727895</v>
      </c>
      <c r="BJ100" s="62">
        <f t="shared" si="92"/>
        <v>436.23833844962525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1.9336184610014651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1.5190523719993128E-9</v>
      </c>
      <c r="BS100" s="24">
        <f t="shared" si="63"/>
        <v>1.9336184625205175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-1.7053025658242404E-13</v>
      </c>
      <c r="O101" s="14">
        <f>N101*VLOOKUP('Données projet'!$B$9,Paramètres!$A$1:$I$89,3,0)*VLOOKUP('Données projet'!$B$9,Paramètres!$A$1:$I$89,5,0)</f>
        <v>-1.0197709343628959E-13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207.99520960626666</v>
      </c>
      <c r="T101" s="62">
        <f t="shared" si="88"/>
        <v>306.39565990874775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33.344498225940299</v>
      </c>
      <c r="AA101" s="23">
        <f>EXP(-LN(2)/25)*AA100+(1-EXP(-LN(2)/25))/(LN(2)/25)*Calculateur!V101*Calculateur!X101*VLOOKUP('Données projet'!$B$9,Paramètres!$A$1:$I$89,3,0)*0.475*44/12</f>
        <v>1.2193853529107528</v>
      </c>
      <c r="AB101" s="23">
        <f>EXP(-LN(2)/2)*AB100+(1-EXP(-LN(2)/2))/(LN(2)/2)*V101*Y101*VLOOKUP('Données projet'!$B$9,Paramètres!$A$1:$I$89,3,0)*0.475*44/12</f>
        <v>3.5855822180143916E-6</v>
      </c>
      <c r="AC101" s="24">
        <f t="shared" si="57"/>
        <v>34.563887164433275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358.40000000000009</v>
      </c>
      <c r="AJ101" s="14">
        <f>AI101*VLOOKUP('Données projet'!$B$10,Paramètres!$A$1:$I$89,3,0)*VLOOKUP('Données projet'!$B$10,Paramètres!$A$1:$I$89,5,0)</f>
        <v>167.73120000000006</v>
      </c>
      <c r="AK101" s="14">
        <f t="shared" si="89"/>
        <v>42.581491199832655</v>
      </c>
      <c r="AL101" s="22">
        <f t="shared" si="58"/>
        <v>366.29460383970871</v>
      </c>
      <c r="AM101" s="62">
        <f t="shared" si="59"/>
        <v>659.62793717304203</v>
      </c>
      <c r="AN101" s="62">
        <f ca="1">AVERAGE(OFFSET($AM$3,0,0,'Données projet'!$E$10+1,1))-AVERAGE(OFFSET($H$3,0,0,'Données projet'!$E$10+1,1))</f>
        <v>259.74478933784656</v>
      </c>
      <c r="AO101" s="62">
        <f t="shared" si="90"/>
        <v>223.74038909289646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6.3550942286383367E-14</v>
      </c>
      <c r="BF101" s="14">
        <f t="shared" si="91"/>
        <v>1.0064464192543978E-12</v>
      </c>
      <c r="BG101" s="22">
        <f t="shared" si="61"/>
        <v>1.8635787380168604E-12</v>
      </c>
      <c r="BH101" s="62">
        <f t="shared" si="62"/>
        <v>293.33333333333519</v>
      </c>
      <c r="BI101" s="62">
        <f ca="1">AVERAGE(OFFSET($BH$3,0,0,'Données projet'!$E$11+1,1))-AVERAGE(OFFSET($H$3,0,0,'Données projet'!$E$11+1,1))</f>
        <v>365.70510182727895</v>
      </c>
      <c r="BJ101" s="62">
        <f t="shared" si="92"/>
        <v>436.23833844962525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1.8957013823720323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1.074132233218224E-9</v>
      </c>
      <c r="BS101" s="24">
        <f t="shared" si="63"/>
        <v>1.8957013834461647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-1.7053025658242404E-13</v>
      </c>
      <c r="O102" s="14">
        <f>N102*VLOOKUP('Données projet'!$B$9,Paramètres!$A$1:$I$89,3,0)*VLOOKUP('Données projet'!$B$9,Paramètres!$A$1:$I$89,5,0)</f>
        <v>-1.0197709343628959E-13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207.99520960626666</v>
      </c>
      <c r="T102" s="62">
        <f t="shared" si="88"/>
        <v>306.39565990874775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32.690632953865304</v>
      </c>
      <c r="AA102" s="23">
        <f>EXP(-LN(2)/25)*AA101+(1-EXP(-LN(2)/25))/(LN(2)/25)*Calculateur!V102*Calculateur!X102*VLOOKUP('Données projet'!$B$9,Paramètres!$A$1:$I$89,3,0)*0.475*44/12</f>
        <v>1.1860411963107196</v>
      </c>
      <c r="AB102" s="23">
        <f>EXP(-LN(2)/2)*AB101+(1-EXP(-LN(2)/2))/(LN(2)/2)*V102*Y102*VLOOKUP('Données projet'!$B$9,Paramètres!$A$1:$I$89,3,0)*0.475*44/12</f>
        <v>2.5353895008598781E-6</v>
      </c>
      <c r="AC102" s="24">
        <f t="shared" si="57"/>
        <v>33.876676685565521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366.7000000000001</v>
      </c>
      <c r="AJ102" s="14">
        <f>AI102*VLOOKUP('Données projet'!$B$10,Paramètres!$A$1:$I$89,3,0)*VLOOKUP('Données projet'!$B$10,Paramètres!$A$1:$I$89,5,0)</f>
        <v>171.61560000000006</v>
      </c>
      <c r="AK102" s="14">
        <f t="shared" si="89"/>
        <v>43.45166480956653</v>
      </c>
      <c r="AL102" s="22">
        <f t="shared" si="58"/>
        <v>374.57548620999506</v>
      </c>
      <c r="AM102" s="62">
        <f t="shared" si="59"/>
        <v>667.90881954332838</v>
      </c>
      <c r="AN102" s="62">
        <f ca="1">AVERAGE(OFFSET($AM$3,0,0,'Données projet'!$E$10+1,1))-AVERAGE(OFFSET($H$3,0,0,'Données projet'!$E$10+1,1))</f>
        <v>259.74478933784656</v>
      </c>
      <c r="AO102" s="62">
        <f t="shared" si="90"/>
        <v>223.74038909289646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6.3550942286383367E-14</v>
      </c>
      <c r="BF102" s="14">
        <f t="shared" si="91"/>
        <v>1.0064464192543978E-12</v>
      </c>
      <c r="BG102" s="22">
        <f t="shared" si="61"/>
        <v>1.8635787380168604E-12</v>
      </c>
      <c r="BH102" s="62">
        <f t="shared" si="62"/>
        <v>293.33333333333519</v>
      </c>
      <c r="BI102" s="62">
        <f ca="1">AVERAGE(OFFSET($BH$3,0,0,'Données projet'!$E$11+1,1))-AVERAGE(OFFSET($H$3,0,0,'Données projet'!$E$11+1,1))</f>
        <v>365.70510182727895</v>
      </c>
      <c r="BJ102" s="62">
        <f t="shared" si="92"/>
        <v>436.23833844962525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1.8585278345273886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7.5952618599965638E-10</v>
      </c>
      <c r="BS102" s="24">
        <f t="shared" si="63"/>
        <v>1.8585278352869148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-1.7053025658242404E-13</v>
      </c>
      <c r="O103" s="14">
        <f>N103*VLOOKUP('Données projet'!$B$9,Paramètres!$A$1:$I$89,3,0)*VLOOKUP('Données projet'!$B$9,Paramètres!$A$1:$I$89,5,0)</f>
        <v>-1.0197709343628959E-13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207.99520960626666</v>
      </c>
      <c r="T103" s="62">
        <f t="shared" si="88"/>
        <v>306.39565990874775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32.04958958095726</v>
      </c>
      <c r="AA103" s="23">
        <f>EXP(-LN(2)/25)*AA102+(1-EXP(-LN(2)/25))/(LN(2)/25)*Calculateur!V103*Calculateur!X103*VLOOKUP('Données projet'!$B$9,Paramètres!$A$1:$I$89,3,0)*0.475*44/12</f>
        <v>1.1536088374264071</v>
      </c>
      <c r="AB103" s="23">
        <f>EXP(-LN(2)/2)*AB102+(1-EXP(-LN(2)/2))/(LN(2)/2)*V103*Y103*VLOOKUP('Données projet'!$B$9,Paramètres!$A$1:$I$89,3,0)*0.475*44/12</f>
        <v>1.7927911090071958E-6</v>
      </c>
      <c r="AC103" s="24">
        <f t="shared" si="57"/>
        <v>33.203200211174774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375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375.00000000000011</v>
      </c>
      <c r="AJ103" s="14">
        <f>AI103*VLOOKUP('Données projet'!$B$10,Paramètres!$A$1:$I$89,3,0)*VLOOKUP('Données projet'!$B$10,Paramètres!$A$1:$I$89,5,0)</f>
        <v>175.50000000000006</v>
      </c>
      <c r="AK103" s="14">
        <f t="shared" si="89"/>
        <v>44.319548641773906</v>
      </c>
      <c r="AL103" s="22">
        <f t="shared" si="58"/>
        <v>382.85238055108965</v>
      </c>
      <c r="AM103" s="62">
        <f t="shared" si="59"/>
        <v>676.18571388442297</v>
      </c>
      <c r="AN103" s="62">
        <f ca="1">AVERAGE(OFFSET($AM$3,0,0,'Données projet'!$E$10+1,1))-AVERAGE(OFFSET($H$3,0,0,'Données projet'!$E$10+1,1))</f>
        <v>259.74478933784656</v>
      </c>
      <c r="AO103" s="62">
        <f t="shared" si="90"/>
        <v>223.74038909289646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375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6.3550942286383367E-14</v>
      </c>
      <c r="BF103" s="14">
        <f t="shared" si="91"/>
        <v>1.0064464192543978E-12</v>
      </c>
      <c r="BG103" s="22">
        <f t="shared" si="61"/>
        <v>1.8635787380168604E-12</v>
      </c>
      <c r="BH103" s="62">
        <f t="shared" si="62"/>
        <v>293.33333333333519</v>
      </c>
      <c r="BI103" s="62">
        <f ca="1">AVERAGE(OFFSET($BH$3,0,0,'Données projet'!$E$11+1,1))-AVERAGE(OFFSET($H$3,0,0,'Données projet'!$E$11+1,1))</f>
        <v>365.70510182727895</v>
      </c>
      <c r="BJ103" s="62">
        <f t="shared" si="92"/>
        <v>436.23833844962525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1.8220832372823528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5.3706611660911202E-10</v>
      </c>
      <c r="BS103" s="24">
        <f t="shared" si="63"/>
        <v>1.8220832378194189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-1.7053025658242404E-13</v>
      </c>
      <c r="O104" s="14">
        <f>N104*VLOOKUP('Données projet'!$B$9,Paramètres!$A$1:$I$89,3,0)*VLOOKUP('Données projet'!$B$9,Paramètres!$A$1:$I$89,5,0)</f>
        <v>-1.0197709343628959E-13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207.99520960626666</v>
      </c>
      <c r="T104" s="62">
        <f t="shared" si="88"/>
        <v>306.39565990874775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31.421116677594096</v>
      </c>
      <c r="AA104" s="23">
        <f>EXP(-LN(2)/25)*AA103+(1-EXP(-LN(2)/25))/(LN(2)/25)*Calculateur!V104*Calculateur!X104*VLOOKUP('Données projet'!$B$9,Paramètres!$A$1:$I$89,3,0)*0.475*44/12</f>
        <v>1.1220633431013298</v>
      </c>
      <c r="AB104" s="23">
        <f>EXP(-LN(2)/2)*AB103+(1-EXP(-LN(2)/2))/(LN(2)/2)*V104*Y104*VLOOKUP('Données projet'!$B$9,Paramètres!$A$1:$I$89,3,0)*0.475*44/12</f>
        <v>1.2676947504299391E-6</v>
      </c>
      <c r="AC104" s="24">
        <f t="shared" si="57"/>
        <v>32.543181288390173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5.3205440053716299E-14</v>
      </c>
      <c r="AK104" s="14">
        <f t="shared" si="89"/>
        <v>8.602146238565607E-13</v>
      </c>
      <c r="AL104" s="22">
        <f t="shared" si="58"/>
        <v>1.590873277977066E-12</v>
      </c>
      <c r="AM104" s="62">
        <f t="shared" si="59"/>
        <v>293.33333333333491</v>
      </c>
      <c r="AN104" s="62">
        <f ca="1">AVERAGE(OFFSET($AM$3,0,0,'Données projet'!$E$10+1,1))-AVERAGE(OFFSET($H$3,0,0,'Données projet'!$E$10+1,1))</f>
        <v>259.74478933784656</v>
      </c>
      <c r="AO104" s="62">
        <f t="shared" si="90"/>
        <v>223.74038909289646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6.3550942286383367E-14</v>
      </c>
      <c r="BF104" s="14">
        <f t="shared" si="91"/>
        <v>1.0064464192543978E-12</v>
      </c>
      <c r="BG104" s="22">
        <f t="shared" si="61"/>
        <v>1.8635787380168604E-12</v>
      </c>
      <c r="BH104" s="62">
        <f t="shared" si="62"/>
        <v>293.33333333333519</v>
      </c>
      <c r="BI104" s="62">
        <f ca="1">AVERAGE(OFFSET($BH$3,0,0,'Données projet'!$E$11+1,1))-AVERAGE(OFFSET($H$3,0,0,'Données projet'!$E$11+1,1))</f>
        <v>365.70510182727895</v>
      </c>
      <c r="BJ104" s="62">
        <f t="shared" si="92"/>
        <v>436.23833844962525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1.7863532963602828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3.7976309299982819E-10</v>
      </c>
      <c r="BS104" s="24">
        <f t="shared" si="63"/>
        <v>1.7863532967400459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-1.7053025658242404E-13</v>
      </c>
      <c r="O105" s="14">
        <f>N105*VLOOKUP('Données projet'!$B$9,Paramètres!$A$1:$I$89,3,0)*VLOOKUP('Données projet'!$B$9,Paramètres!$A$1:$I$89,5,0)</f>
        <v>-1.0197709343628959E-13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207.99520960626666</v>
      </c>
      <c r="T105" s="62">
        <f t="shared" si="88"/>
        <v>306.39565990874775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30.804967744535265</v>
      </c>
      <c r="AA105" s="23">
        <f>EXP(-LN(2)/25)*AA104+(1-EXP(-LN(2)/25))/(LN(2)/25)*Calculateur!V105*Calculateur!X105*VLOOKUP('Données projet'!$B$9,Paramètres!$A$1:$I$89,3,0)*0.475*44/12</f>
        <v>1.0913804619774772</v>
      </c>
      <c r="AB105" s="23">
        <f>EXP(-LN(2)/2)*AB104+(1-EXP(-LN(2)/2))/(LN(2)/2)*V105*Y105*VLOOKUP('Données projet'!$B$9,Paramètres!$A$1:$I$89,3,0)*0.475*44/12</f>
        <v>8.9639555450359791E-7</v>
      </c>
      <c r="AC105" s="24">
        <f t="shared" si="57"/>
        <v>31.896349102908296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5.3205440053716299E-14</v>
      </c>
      <c r="AK105" s="14">
        <f t="shared" si="89"/>
        <v>8.602146238565607E-13</v>
      </c>
      <c r="AL105" s="22">
        <f t="shared" si="58"/>
        <v>1.590873277977066E-12</v>
      </c>
      <c r="AM105" s="62">
        <f t="shared" si="59"/>
        <v>293.33333333333491</v>
      </c>
      <c r="AN105" s="62">
        <f ca="1">AVERAGE(OFFSET($AM$3,0,0,'Données projet'!$E$10+1,1))-AVERAGE(OFFSET($H$3,0,0,'Données projet'!$E$10+1,1))</f>
        <v>259.74478933784656</v>
      </c>
      <c r="AO105" s="62">
        <f t="shared" si="90"/>
        <v>223.74038909289646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6.3550942286383367E-14</v>
      </c>
      <c r="BF105" s="14">
        <f t="shared" si="91"/>
        <v>1.0064464192543978E-12</v>
      </c>
      <c r="BG105" s="22">
        <f t="shared" si="61"/>
        <v>1.8635787380168604E-12</v>
      </c>
      <c r="BH105" s="62">
        <f t="shared" si="62"/>
        <v>293.33333333333519</v>
      </c>
      <c r="BI105" s="62">
        <f ca="1">AVERAGE(OFFSET($BH$3,0,0,'Données projet'!$E$11+1,1))-AVERAGE(OFFSET($H$3,0,0,'Données projet'!$E$11+1,1))</f>
        <v>365.70510182727895</v>
      </c>
      <c r="BJ105" s="62">
        <f t="shared" si="92"/>
        <v>436.23833844962525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1.7513239977865827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2.6853305830455601E-10</v>
      </c>
      <c r="BS105" s="24">
        <f t="shared" si="63"/>
        <v>1.7513239980551156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-1.7053025658242404E-13</v>
      </c>
      <c r="O106" s="14">
        <f>N106*VLOOKUP('Données projet'!$B$9,Paramètres!$A$1:$I$89,3,0)*VLOOKUP('Données projet'!$B$9,Paramètres!$A$1:$I$89,5,0)</f>
        <v>-1.0197709343628959E-13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207.99520960626666</v>
      </c>
      <c r="T106" s="62">
        <f t="shared" si="88"/>
        <v>306.39565990874775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30.200901116239976</v>
      </c>
      <c r="AA106" s="23">
        <f>EXP(-LN(2)/25)*AA105+(1-EXP(-LN(2)/25))/(LN(2)/25)*Calculateur!V106*Calculateur!X106*VLOOKUP('Données projet'!$B$9,Paramètres!$A$1:$I$89,3,0)*0.475*44/12</f>
        <v>1.061536605851499</v>
      </c>
      <c r="AB106" s="23">
        <f>EXP(-LN(2)/2)*AB105+(1-EXP(-LN(2)/2))/(LN(2)/2)*V106*Y106*VLOOKUP('Données projet'!$B$9,Paramètres!$A$1:$I$89,3,0)*0.475*44/12</f>
        <v>6.3384737521496953E-7</v>
      </c>
      <c r="AC106" s="24">
        <f t="shared" si="57"/>
        <v>31.262438355938851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5.3205440053716299E-14</v>
      </c>
      <c r="AK106" s="14">
        <f t="shared" si="89"/>
        <v>8.602146238565607E-13</v>
      </c>
      <c r="AL106" s="22">
        <f t="shared" si="58"/>
        <v>1.590873277977066E-12</v>
      </c>
      <c r="AM106" s="62">
        <f t="shared" si="59"/>
        <v>293.33333333333491</v>
      </c>
      <c r="AN106" s="62">
        <f ca="1">AVERAGE(OFFSET($AM$3,0,0,'Données projet'!$E$10+1,1))-AVERAGE(OFFSET($H$3,0,0,'Données projet'!$E$10+1,1))</f>
        <v>259.74478933784656</v>
      </c>
      <c r="AO106" s="62">
        <f t="shared" si="90"/>
        <v>223.74038909289646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6.3550942286383367E-14</v>
      </c>
      <c r="BF106" s="14">
        <f t="shared" si="91"/>
        <v>1.0064464192543978E-12</v>
      </c>
      <c r="BG106" s="22">
        <f t="shared" si="61"/>
        <v>1.8635787380168604E-12</v>
      </c>
      <c r="BH106" s="62">
        <f t="shared" si="62"/>
        <v>293.33333333333519</v>
      </c>
      <c r="BI106" s="62">
        <f ca="1">AVERAGE(OFFSET($BH$3,0,0,'Données projet'!$E$11+1,1))-AVERAGE(OFFSET($H$3,0,0,'Données projet'!$E$11+1,1))</f>
        <v>365.70510182727895</v>
      </c>
      <c r="BJ106" s="62">
        <f t="shared" si="92"/>
        <v>436.23833844962525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1.7169816023921503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1.8988154649991409E-10</v>
      </c>
      <c r="BS106" s="24">
        <f t="shared" si="63"/>
        <v>1.7169816025820317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-1.7053025658242404E-13</v>
      </c>
      <c r="O107" s="14">
        <f>N107*VLOOKUP('Données projet'!$B$9,Paramètres!$A$1:$I$89,3,0)*VLOOKUP('Données projet'!$B$9,Paramètres!$A$1:$I$89,5,0)</f>
        <v>-1.0197709343628959E-13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207.99520960626666</v>
      </c>
      <c r="T107" s="62">
        <f t="shared" si="88"/>
        <v>306.39565990874775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29.608679866081296</v>
      </c>
      <c r="AA107" s="23">
        <f>EXP(-LN(2)/25)*AA106+(1-EXP(-LN(2)/25))/(LN(2)/25)*Calculateur!V107*Calculateur!X107*VLOOKUP('Données projet'!$B$9,Paramètres!$A$1:$I$89,3,0)*0.475*44/12</f>
        <v>1.0325088315407058</v>
      </c>
      <c r="AB107" s="23">
        <f>EXP(-LN(2)/2)*AB106+(1-EXP(-LN(2)/2))/(LN(2)/2)*V107*Y107*VLOOKUP('Données projet'!$B$9,Paramètres!$A$1:$I$89,3,0)*0.475*44/12</f>
        <v>4.4819777725179895E-7</v>
      </c>
      <c r="AC107" s="24">
        <f t="shared" si="57"/>
        <v>30.64118914581978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5.3205440053716299E-14</v>
      </c>
      <c r="AK107" s="14">
        <f t="shared" si="89"/>
        <v>8.602146238565607E-13</v>
      </c>
      <c r="AL107" s="22">
        <f t="shared" si="58"/>
        <v>1.590873277977066E-12</v>
      </c>
      <c r="AM107" s="62">
        <f t="shared" si="59"/>
        <v>293.33333333333491</v>
      </c>
      <c r="AN107" s="62">
        <f ca="1">AVERAGE(OFFSET($AM$3,0,0,'Données projet'!$E$10+1,1))-AVERAGE(OFFSET($H$3,0,0,'Données projet'!$E$10+1,1))</f>
        <v>259.74478933784656</v>
      </c>
      <c r="AO107" s="62">
        <f t="shared" si="90"/>
        <v>223.74038909289646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6.3550942286383367E-14</v>
      </c>
      <c r="BF107" s="14">
        <f t="shared" si="91"/>
        <v>1.0064464192543978E-12</v>
      </c>
      <c r="BG107" s="22">
        <f t="shared" si="61"/>
        <v>1.8635787380168604E-12</v>
      </c>
      <c r="BH107" s="62">
        <f t="shared" si="62"/>
        <v>293.33333333333519</v>
      </c>
      <c r="BI107" s="62">
        <f ca="1">AVERAGE(OFFSET($BH$3,0,0,'Données projet'!$E$11+1,1))-AVERAGE(OFFSET($H$3,0,0,'Données projet'!$E$11+1,1))</f>
        <v>365.70510182727895</v>
      </c>
      <c r="BJ107" s="62">
        <f t="shared" si="92"/>
        <v>436.23833844962525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1.6833126404246097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1.34266529152278E-10</v>
      </c>
      <c r="BS107" s="24">
        <f t="shared" si="63"/>
        <v>1.6833126405588763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-1.7053025658242404E-13</v>
      </c>
      <c r="O108" s="14">
        <f>N108*VLOOKUP('Données projet'!$B$9,Paramètres!$A$1:$I$89,3,0)*VLOOKUP('Données projet'!$B$9,Paramètres!$A$1:$I$89,5,0)</f>
        <v>-1.0197709343628959E-13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207.99520960626666</v>
      </c>
      <c r="T108" s="62">
        <f t="shared" si="88"/>
        <v>306.39565990874775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29.028071713418932</v>
      </c>
      <c r="AA108" s="23">
        <f>EXP(-LN(2)/25)*AA107+(1-EXP(-LN(2)/25))/(LN(2)/25)*Calculateur!V108*Calculateur!X108*VLOOKUP('Données projet'!$B$9,Paramètres!$A$1:$I$89,3,0)*0.475*44/12</f>
        <v>1.0042748232449457</v>
      </c>
      <c r="AB108" s="23">
        <f>EXP(-LN(2)/2)*AB107+(1-EXP(-LN(2)/2))/(LN(2)/2)*V108*Y108*VLOOKUP('Données projet'!$B$9,Paramètres!$A$1:$I$89,3,0)*0.475*44/12</f>
        <v>3.1692368760748477E-7</v>
      </c>
      <c r="AC108" s="24">
        <f t="shared" si="57"/>
        <v>30.032346853587566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5.3205440053716299E-14</v>
      </c>
      <c r="AK108" s="14">
        <f t="shared" si="89"/>
        <v>8.602146238565607E-13</v>
      </c>
      <c r="AL108" s="22">
        <f t="shared" si="58"/>
        <v>1.590873277977066E-12</v>
      </c>
      <c r="AM108" s="62">
        <f t="shared" si="59"/>
        <v>293.33333333333491</v>
      </c>
      <c r="AN108" s="62">
        <f ca="1">AVERAGE(OFFSET($AM$3,0,0,'Données projet'!$E$10+1,1))-AVERAGE(OFFSET($H$3,0,0,'Données projet'!$E$10+1,1))</f>
        <v>259.74478933784656</v>
      </c>
      <c r="AO108" s="62">
        <f t="shared" si="90"/>
        <v>223.74038909289646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6.3550942286383367E-14</v>
      </c>
      <c r="BF108" s="14">
        <f t="shared" si="91"/>
        <v>1.0064464192543978E-12</v>
      </c>
      <c r="BG108" s="22">
        <f t="shared" si="61"/>
        <v>1.8635787380168604E-12</v>
      </c>
      <c r="BH108" s="62">
        <f t="shared" si="62"/>
        <v>293.33333333333519</v>
      </c>
      <c r="BI108" s="62">
        <f ca="1">AVERAGE(OFFSET($BH$3,0,0,'Données projet'!$E$11+1,1))-AVERAGE(OFFSET($H$3,0,0,'Données projet'!$E$11+1,1))</f>
        <v>365.70510182727895</v>
      </c>
      <c r="BJ108" s="62">
        <f t="shared" si="92"/>
        <v>436.23833844962525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1.6503039062652136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9.4940773249957047E-11</v>
      </c>
      <c r="BS108" s="24">
        <f t="shared" si="63"/>
        <v>1.6503039063601543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-1.7053025658242404E-13</v>
      </c>
      <c r="O109" s="14">
        <f>N109*VLOOKUP('Données projet'!$B$9,Paramètres!$A$1:$I$89,3,0)*VLOOKUP('Données projet'!$B$9,Paramètres!$A$1:$I$89,5,0)</f>
        <v>-1.0197709343628959E-13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207.99520960626666</v>
      </c>
      <c r="T109" s="62">
        <f t="shared" si="88"/>
        <v>306.39565990874775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28.45884893249427</v>
      </c>
      <c r="AA109" s="23">
        <f>EXP(-LN(2)/25)*AA108+(1-EXP(-LN(2)/25))/(LN(2)/25)*Calculateur!V109*Calculateur!X109*VLOOKUP('Données projet'!$B$9,Paramètres!$A$1:$I$89,3,0)*0.475*44/12</f>
        <v>0.97681287539079498</v>
      </c>
      <c r="AB109" s="23">
        <f>EXP(-LN(2)/2)*AB108+(1-EXP(-LN(2)/2))/(LN(2)/2)*V109*Y109*VLOOKUP('Données projet'!$B$9,Paramètres!$A$1:$I$89,3,0)*0.475*44/12</f>
        <v>2.2409888862589948E-7</v>
      </c>
      <c r="AC109" s="24">
        <f t="shared" si="57"/>
        <v>29.435662031983952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5.3205440053716299E-14</v>
      </c>
      <c r="AK109" s="14">
        <f t="shared" si="89"/>
        <v>8.602146238565607E-13</v>
      </c>
      <c r="AL109" s="22">
        <f t="shared" si="58"/>
        <v>1.590873277977066E-12</v>
      </c>
      <c r="AM109" s="62">
        <f t="shared" si="59"/>
        <v>293.33333333333491</v>
      </c>
      <c r="AN109" s="62">
        <f ca="1">AVERAGE(OFFSET($AM$3,0,0,'Données projet'!$E$10+1,1))-AVERAGE(OFFSET($H$3,0,0,'Données projet'!$E$10+1,1))</f>
        <v>259.74478933784656</v>
      </c>
      <c r="AO109" s="62">
        <f t="shared" si="90"/>
        <v>223.74038909289646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6.3550942286383367E-14</v>
      </c>
      <c r="BF109" s="14">
        <f t="shared" si="91"/>
        <v>1.0064464192543978E-12</v>
      </c>
      <c r="BG109" s="22">
        <f t="shared" si="61"/>
        <v>1.8635787380168604E-12</v>
      </c>
      <c r="BH109" s="62">
        <f t="shared" si="62"/>
        <v>293.33333333333519</v>
      </c>
      <c r="BI109" s="62">
        <f ca="1">AVERAGE(OFFSET($BH$3,0,0,'Données projet'!$E$11+1,1))-AVERAGE(OFFSET($H$3,0,0,'Données projet'!$E$11+1,1))</f>
        <v>365.70510182727895</v>
      </c>
      <c r="BJ109" s="62">
        <f t="shared" si="92"/>
        <v>436.23833844962525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1.6179424532493434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6.7133264576139002E-11</v>
      </c>
      <c r="BS109" s="24">
        <f t="shared" si="63"/>
        <v>1.6179424533164766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-1.7053025658242404E-13</v>
      </c>
      <c r="O110" s="14">
        <f>N110*VLOOKUP('Données projet'!$B$9,Paramètres!$A$1:$I$89,3,0)*VLOOKUP('Données projet'!$B$9,Paramètres!$A$1:$I$89,5,0)</f>
        <v>-1.0197709343628959E-13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207.99520960626666</v>
      </c>
      <c r="T110" s="62">
        <f t="shared" si="88"/>
        <v>306.39565990874775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27.900788263111927</v>
      </c>
      <c r="AA110" s="23">
        <f>EXP(-LN(2)/25)*AA109+(1-EXP(-LN(2)/25))/(LN(2)/25)*Calculateur!V110*Calculateur!X110*VLOOKUP('Données projet'!$B$9,Paramètres!$A$1:$I$89,3,0)*0.475*44/12</f>
        <v>0.95010187594487716</v>
      </c>
      <c r="AB110" s="23">
        <f>EXP(-LN(2)/2)*AB109+(1-EXP(-LN(2)/2))/(LN(2)/2)*V110*Y110*VLOOKUP('Données projet'!$B$9,Paramètres!$A$1:$I$89,3,0)*0.475*44/12</f>
        <v>1.5846184380374238E-7</v>
      </c>
      <c r="AC110" s="24">
        <f t="shared" si="57"/>
        <v>28.850890297518649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5.3205440053716299E-14</v>
      </c>
      <c r="AK110" s="14">
        <f t="shared" si="89"/>
        <v>8.602146238565607E-13</v>
      </c>
      <c r="AL110" s="22">
        <f t="shared" si="58"/>
        <v>1.590873277977066E-12</v>
      </c>
      <c r="AM110" s="62">
        <f t="shared" si="59"/>
        <v>293.33333333333491</v>
      </c>
      <c r="AN110" s="62">
        <f ca="1">AVERAGE(OFFSET($AM$3,0,0,'Données projet'!$E$10+1,1))-AVERAGE(OFFSET($H$3,0,0,'Données projet'!$E$10+1,1))</f>
        <v>259.74478933784656</v>
      </c>
      <c r="AO110" s="62">
        <f t="shared" si="90"/>
        <v>223.74038909289646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6.3550942286383367E-14</v>
      </c>
      <c r="BF110" s="14">
        <f t="shared" si="91"/>
        <v>1.0064464192543978E-12</v>
      </c>
      <c r="BG110" s="22">
        <f t="shared" si="61"/>
        <v>1.8635787380168604E-12</v>
      </c>
      <c r="BH110" s="62">
        <f t="shared" si="62"/>
        <v>293.33333333333519</v>
      </c>
      <c r="BI110" s="62">
        <f ca="1">AVERAGE(OFFSET($BH$3,0,0,'Données projet'!$E$11+1,1))-AVERAGE(OFFSET($H$3,0,0,'Données projet'!$E$11+1,1))</f>
        <v>365.70510182727895</v>
      </c>
      <c r="BJ110" s="62">
        <f t="shared" si="92"/>
        <v>436.23833844962525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1.5862155885885771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4.7470386624978524E-11</v>
      </c>
      <c r="BS110" s="24">
        <f t="shared" si="63"/>
        <v>1.5862155886360476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-1.7053025658242404E-13</v>
      </c>
      <c r="O111" s="14">
        <f>N111*VLOOKUP('Données projet'!$B$9,Paramètres!$A$1:$I$89,3,0)*VLOOKUP('Données projet'!$B$9,Paramètres!$A$1:$I$89,5,0)</f>
        <v>-1.0197709343628959E-13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207.99520960626666</v>
      </c>
      <c r="T111" s="62">
        <f t="shared" si="88"/>
        <v>306.39565990874775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27.353670823072775</v>
      </c>
      <c r="AA111" s="23">
        <f>EXP(-LN(2)/25)*AA110+(1-EXP(-LN(2)/25))/(LN(2)/25)*Calculateur!V111*Calculateur!X111*VLOOKUP('Données projet'!$B$9,Paramètres!$A$1:$I$89,3,0)*0.475*44/12</f>
        <v>0.92412129018347833</v>
      </c>
      <c r="AB111" s="23">
        <f>EXP(-LN(2)/2)*AB110+(1-EXP(-LN(2)/2))/(LN(2)/2)*V111*Y111*VLOOKUP('Données projet'!$B$9,Paramètres!$A$1:$I$89,3,0)*0.475*44/12</f>
        <v>1.1204944431294974E-7</v>
      </c>
      <c r="AC111" s="24">
        <f t="shared" si="57"/>
        <v>28.277792225305699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5.3205440053716299E-14</v>
      </c>
      <c r="AK111" s="14">
        <f t="shared" si="89"/>
        <v>8.602146238565607E-13</v>
      </c>
      <c r="AL111" s="22">
        <f t="shared" si="58"/>
        <v>1.590873277977066E-12</v>
      </c>
      <c r="AM111" s="62">
        <f t="shared" si="59"/>
        <v>293.33333333333491</v>
      </c>
      <c r="AN111" s="62">
        <f ca="1">AVERAGE(OFFSET($AM$3,0,0,'Données projet'!$E$10+1,1))-AVERAGE(OFFSET($H$3,0,0,'Données projet'!$E$10+1,1))</f>
        <v>259.74478933784656</v>
      </c>
      <c r="AO111" s="62">
        <f t="shared" si="90"/>
        <v>223.74038909289646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6.3550942286383367E-14</v>
      </c>
      <c r="BF111" s="14">
        <f t="shared" si="91"/>
        <v>1.0064464192543978E-12</v>
      </c>
      <c r="BG111" s="22">
        <f t="shared" si="61"/>
        <v>1.8635787380168604E-12</v>
      </c>
      <c r="BH111" s="62">
        <f t="shared" si="62"/>
        <v>293.33333333333519</v>
      </c>
      <c r="BI111" s="62">
        <f ca="1">AVERAGE(OFFSET($BH$3,0,0,'Données projet'!$E$11+1,1))-AVERAGE(OFFSET($H$3,0,0,'Données projet'!$E$11+1,1))</f>
        <v>365.70510182727895</v>
      </c>
      <c r="BJ111" s="62">
        <f t="shared" si="92"/>
        <v>436.23833844962525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1.5551108683923318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3.3566632288069501E-11</v>
      </c>
      <c r="BS111" s="24">
        <f t="shared" si="63"/>
        <v>1.5551108684258985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-1.7053025658242404E-13</v>
      </c>
      <c r="O112" s="14">
        <f>N112*VLOOKUP('Données projet'!$B$9,Paramètres!$A$1:$I$89,3,0)*VLOOKUP('Données projet'!$B$9,Paramètres!$A$1:$I$89,5,0)</f>
        <v>-1.0197709343628959E-13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207.99520960626666</v>
      </c>
      <c r="T112" s="62">
        <f t="shared" si="88"/>
        <v>306.39565990874775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26.817282022324104</v>
      </c>
      <c r="AA112" s="23">
        <f>EXP(-LN(2)/25)*AA111+(1-EXP(-LN(2)/25))/(LN(2)/25)*Calculateur!V112*Calculateur!X112*VLOOKUP('Données projet'!$B$9,Paramètres!$A$1:$I$89,3,0)*0.475*44/12</f>
        <v>0.89885114490598461</v>
      </c>
      <c r="AB112" s="23">
        <f>EXP(-LN(2)/2)*AB111+(1-EXP(-LN(2)/2))/(LN(2)/2)*V112*Y112*VLOOKUP('Données projet'!$B$9,Paramètres!$A$1:$I$89,3,0)*0.475*44/12</f>
        <v>7.9230921901871192E-8</v>
      </c>
      <c r="AC112" s="24">
        <f t="shared" si="57"/>
        <v>27.716133246461013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5.3205440053716299E-14</v>
      </c>
      <c r="AK112" s="14">
        <f t="shared" si="89"/>
        <v>8.602146238565607E-13</v>
      </c>
      <c r="AL112" s="22">
        <f t="shared" si="58"/>
        <v>1.590873277977066E-12</v>
      </c>
      <c r="AM112" s="62">
        <f t="shared" si="59"/>
        <v>293.33333333333491</v>
      </c>
      <c r="AN112" s="62">
        <f ca="1">AVERAGE(OFFSET($AM$3,0,0,'Données projet'!$E$10+1,1))-AVERAGE(OFFSET($H$3,0,0,'Données projet'!$E$10+1,1))</f>
        <v>259.74478933784656</v>
      </c>
      <c r="AO112" s="62">
        <f t="shared" si="90"/>
        <v>223.74038909289646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6.3550942286383367E-14</v>
      </c>
      <c r="BF112" s="14">
        <f t="shared" si="91"/>
        <v>1.0064464192543978E-12</v>
      </c>
      <c r="BG112" s="22">
        <f t="shared" si="61"/>
        <v>1.8635787380168604E-12</v>
      </c>
      <c r="BH112" s="62">
        <f t="shared" si="62"/>
        <v>293.33333333333519</v>
      </c>
      <c r="BI112" s="62">
        <f ca="1">AVERAGE(OFFSET($BH$3,0,0,'Données projet'!$E$11+1,1))-AVERAGE(OFFSET($H$3,0,0,'Données projet'!$E$11+1,1))</f>
        <v>365.70510182727895</v>
      </c>
      <c r="BJ112" s="62">
        <f t="shared" si="92"/>
        <v>436.23833844962525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1.5246160927871288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2.3735193312489262E-11</v>
      </c>
      <c r="BS112" s="24">
        <f t="shared" si="63"/>
        <v>1.5246160928108641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-1.7053025658242404E-13</v>
      </c>
      <c r="O113" s="14">
        <f>N113*VLOOKUP('Données projet'!$B$9,Paramètres!$A$1:$I$89,3,0)*VLOOKUP('Données projet'!$B$9,Paramètres!$A$1:$I$89,5,0)</f>
        <v>-1.0197709343628959E-13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207.99520960626666</v>
      </c>
      <c r="T113" s="62">
        <f t="shared" si="88"/>
        <v>306.39565990874775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26.29141147879325</v>
      </c>
      <c r="AA113" s="23">
        <f>EXP(-LN(2)/25)*AA112+(1-EXP(-LN(2)/25))/(LN(2)/25)*Calculateur!V113*Calculateur!X113*VLOOKUP('Données projet'!$B$9,Paramètres!$A$1:$I$89,3,0)*0.475*44/12</f>
        <v>0.87427201308000313</v>
      </c>
      <c r="AB113" s="23">
        <f>EXP(-LN(2)/2)*AB112+(1-EXP(-LN(2)/2))/(LN(2)/2)*V113*Y113*VLOOKUP('Données projet'!$B$9,Paramètres!$A$1:$I$89,3,0)*0.475*44/12</f>
        <v>5.6024722156474869E-8</v>
      </c>
      <c r="AC113" s="24">
        <f t="shared" si="57"/>
        <v>27.165683547897974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5.3205440053716299E-14</v>
      </c>
      <c r="AK113" s="14">
        <f t="shared" si="89"/>
        <v>8.602146238565607E-13</v>
      </c>
      <c r="AL113" s="22">
        <f t="shared" si="58"/>
        <v>1.590873277977066E-12</v>
      </c>
      <c r="AM113" s="62">
        <f t="shared" si="59"/>
        <v>293.33333333333491</v>
      </c>
      <c r="AN113" s="62">
        <f ca="1">AVERAGE(OFFSET($AM$3,0,0,'Données projet'!$E$10+1,1))-AVERAGE(OFFSET($H$3,0,0,'Données projet'!$E$10+1,1))</f>
        <v>259.74478933784656</v>
      </c>
      <c r="AO113" s="62">
        <f t="shared" si="90"/>
        <v>223.74038909289646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6.3550942286383367E-14</v>
      </c>
      <c r="BF113" s="14">
        <f t="shared" si="91"/>
        <v>1.0064464192543978E-12</v>
      </c>
      <c r="BG113" s="22">
        <f t="shared" si="61"/>
        <v>1.8635787380168604E-12</v>
      </c>
      <c r="BH113" s="62">
        <f t="shared" si="62"/>
        <v>293.33333333333519</v>
      </c>
      <c r="BI113" s="62">
        <f ca="1">AVERAGE(OFFSET($BH$3,0,0,'Données projet'!$E$11+1,1))-AVERAGE(OFFSET($H$3,0,0,'Données projet'!$E$11+1,1))</f>
        <v>365.70510182727895</v>
      </c>
      <c r="BJ113" s="62">
        <f t="shared" si="92"/>
        <v>436.23833844962525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1.4947193011315674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1.678331614403475E-11</v>
      </c>
      <c r="BS113" s="24">
        <f t="shared" si="63"/>
        <v>1.4947193011483506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-1.7053025658242404E-13</v>
      </c>
      <c r="O114" s="14">
        <f>N114*VLOOKUP('Données projet'!$B$9,Paramètres!$A$1:$I$89,3,0)*VLOOKUP('Données projet'!$B$9,Paramètres!$A$1:$I$89,5,0)</f>
        <v>-1.0197709343628959E-13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207.99520960626666</v>
      </c>
      <c r="T114" s="62">
        <f t="shared" si="88"/>
        <v>306.39565990874775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25.775852935871676</v>
      </c>
      <c r="AA114" s="23">
        <f>EXP(-LN(2)/25)*AA113+(1-EXP(-LN(2)/25))/(LN(2)/25)*Calculateur!V114*Calculateur!X114*VLOOKUP('Données projet'!$B$9,Paramètres!$A$1:$I$89,3,0)*0.475*44/12</f>
        <v>0.85036499890636341</v>
      </c>
      <c r="AB114" s="23">
        <f>EXP(-LN(2)/2)*AB113+(1-EXP(-LN(2)/2))/(LN(2)/2)*V114*Y114*VLOOKUP('Données projet'!$B$9,Paramètres!$A$1:$I$89,3,0)*0.475*44/12</f>
        <v>3.9615460950935596E-8</v>
      </c>
      <c r="AC114" s="24">
        <f t="shared" si="57"/>
        <v>26.626217974393501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5.3205440053716299E-14</v>
      </c>
      <c r="AK114" s="14">
        <f t="shared" si="89"/>
        <v>8.602146238565607E-13</v>
      </c>
      <c r="AL114" s="22">
        <f t="shared" si="58"/>
        <v>1.590873277977066E-12</v>
      </c>
      <c r="AM114" s="62">
        <f t="shared" si="59"/>
        <v>293.33333333333491</v>
      </c>
      <c r="AN114" s="62">
        <f ca="1">AVERAGE(OFFSET($AM$3,0,0,'Données projet'!$E$10+1,1))-AVERAGE(OFFSET($H$3,0,0,'Données projet'!$E$10+1,1))</f>
        <v>259.74478933784656</v>
      </c>
      <c r="AO114" s="62">
        <f t="shared" si="90"/>
        <v>223.74038909289646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6.3550942286383367E-14</v>
      </c>
      <c r="BF114" s="14">
        <f t="shared" si="91"/>
        <v>1.0064464192543978E-12</v>
      </c>
      <c r="BG114" s="22">
        <f t="shared" si="61"/>
        <v>1.8635787380168604E-12</v>
      </c>
      <c r="BH114" s="62">
        <f t="shared" si="62"/>
        <v>293.33333333333519</v>
      </c>
      <c r="BI114" s="62">
        <f ca="1">AVERAGE(OFFSET($BH$3,0,0,'Données projet'!$E$11+1,1))-AVERAGE(OFFSET($H$3,0,0,'Données projet'!$E$11+1,1))</f>
        <v>365.70510182727895</v>
      </c>
      <c r="BJ114" s="62">
        <f t="shared" si="92"/>
        <v>436.23833844962525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1.4654087673251293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1.1867596656244631E-11</v>
      </c>
      <c r="BS114" s="24">
        <f t="shared" si="63"/>
        <v>1.4654087673369969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-1.7053025658242404E-13</v>
      </c>
      <c r="O115" s="14">
        <f>N115*VLOOKUP('Données projet'!$B$9,Paramètres!$A$1:$I$89,3,0)*VLOOKUP('Données projet'!$B$9,Paramètres!$A$1:$I$89,5,0)</f>
        <v>-1.0197709343628959E-13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207.99520960626666</v>
      </c>
      <c r="T115" s="62">
        <f t="shared" si="88"/>
        <v>306.39565990874775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25.270404181517133</v>
      </c>
      <c r="AA115" s="23">
        <f>EXP(-LN(2)/25)*AA114+(1-EXP(-LN(2)/25))/(LN(2)/25)*Calculateur!V115*Calculateur!X115*VLOOKUP('Données projet'!$B$9,Paramètres!$A$1:$I$89,3,0)*0.475*44/12</f>
        <v>0.82711172329251714</v>
      </c>
      <c r="AB115" s="23">
        <f>EXP(-LN(2)/2)*AB114+(1-EXP(-LN(2)/2))/(LN(2)/2)*V115*Y115*VLOOKUP('Données projet'!$B$9,Paramètres!$A$1:$I$89,3,0)*0.475*44/12</f>
        <v>2.8012361078237435E-8</v>
      </c>
      <c r="AC115" s="24">
        <f t="shared" si="57"/>
        <v>26.097515932822013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5.3205440053716299E-14</v>
      </c>
      <c r="AK115" s="14">
        <f t="shared" si="89"/>
        <v>8.602146238565607E-13</v>
      </c>
      <c r="AL115" s="22">
        <f t="shared" si="58"/>
        <v>1.590873277977066E-12</v>
      </c>
      <c r="AM115" s="62">
        <f t="shared" si="59"/>
        <v>293.33333333333491</v>
      </c>
      <c r="AN115" s="62">
        <f ca="1">AVERAGE(OFFSET($AM$3,0,0,'Données projet'!$E$10+1,1))-AVERAGE(OFFSET($H$3,0,0,'Données projet'!$E$10+1,1))</f>
        <v>259.74478933784656</v>
      </c>
      <c r="AO115" s="62">
        <f t="shared" si="90"/>
        <v>223.74038909289646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6.3550942286383367E-14</v>
      </c>
      <c r="BF115" s="14">
        <f t="shared" si="91"/>
        <v>1.0064464192543978E-12</v>
      </c>
      <c r="BG115" s="22">
        <f t="shared" si="61"/>
        <v>1.8635787380168604E-12</v>
      </c>
      <c r="BH115" s="62">
        <f t="shared" si="62"/>
        <v>293.33333333333519</v>
      </c>
      <c r="BI115" s="62">
        <f ca="1">AVERAGE(OFFSET($BH$3,0,0,'Données projet'!$E$11+1,1))-AVERAGE(OFFSET($H$3,0,0,'Données projet'!$E$11+1,1))</f>
        <v>365.70510182727895</v>
      </c>
      <c r="BJ115" s="62">
        <f t="shared" si="92"/>
        <v>436.23833844962525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1.436672995208975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8.3916580720173752E-12</v>
      </c>
      <c r="BS115" s="24">
        <f t="shared" si="63"/>
        <v>1.4366729952173667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-1.7053025658242404E-13</v>
      </c>
      <c r="O116" s="14">
        <f>N116*VLOOKUP('Données projet'!$B$9,Paramètres!$A$1:$I$89,3,0)*VLOOKUP('Données projet'!$B$9,Paramètres!$A$1:$I$89,5,0)</f>
        <v>-1.0197709343628959E-13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207.99520960626666</v>
      </c>
      <c r="T116" s="62">
        <f t="shared" si="88"/>
        <v>306.39565990874775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24.774866968942185</v>
      </c>
      <c r="AA116" s="23">
        <f>EXP(-LN(2)/25)*AA115+(1-EXP(-LN(2)/25))/(LN(2)/25)*Calculateur!V116*Calculateur!X116*VLOOKUP('Données projet'!$B$9,Paramètres!$A$1:$I$89,3,0)*0.475*44/12</f>
        <v>0.80449430972316816</v>
      </c>
      <c r="AB116" s="23">
        <f>EXP(-LN(2)/2)*AB115+(1-EXP(-LN(2)/2))/(LN(2)/2)*V116*Y116*VLOOKUP('Données projet'!$B$9,Paramètres!$A$1:$I$89,3,0)*0.475*44/12</f>
        <v>1.9807730475467798E-8</v>
      </c>
      <c r="AC116" s="24">
        <f t="shared" si="57"/>
        <v>25.579361298473081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5.3205440053716299E-14</v>
      </c>
      <c r="AK116" s="14">
        <f t="shared" si="89"/>
        <v>8.602146238565607E-13</v>
      </c>
      <c r="AL116" s="22">
        <f t="shared" si="58"/>
        <v>1.590873277977066E-12</v>
      </c>
      <c r="AM116" s="62">
        <f t="shared" si="59"/>
        <v>293.33333333333491</v>
      </c>
      <c r="AN116" s="62">
        <f ca="1">AVERAGE(OFFSET($AM$3,0,0,'Données projet'!$E$10+1,1))-AVERAGE(OFFSET($H$3,0,0,'Données projet'!$E$10+1,1))</f>
        <v>259.74478933784656</v>
      </c>
      <c r="AO116" s="62">
        <f t="shared" si="90"/>
        <v>223.74038909289646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6.3550942286383367E-14</v>
      </c>
      <c r="BF116" s="14">
        <f t="shared" si="91"/>
        <v>1.0064464192543978E-12</v>
      </c>
      <c r="BG116" s="22">
        <f t="shared" si="61"/>
        <v>1.8635787380168604E-12</v>
      </c>
      <c r="BH116" s="62">
        <f t="shared" si="62"/>
        <v>293.33333333333519</v>
      </c>
      <c r="BI116" s="62">
        <f ca="1">AVERAGE(OFFSET($BH$3,0,0,'Données projet'!$E$11+1,1))-AVERAGE(OFFSET($H$3,0,0,'Données projet'!$E$11+1,1))</f>
        <v>365.70510182727895</v>
      </c>
      <c r="BJ116" s="62">
        <f t="shared" si="92"/>
        <v>436.23833844962525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1.4085007140569281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5.9337983281223155E-12</v>
      </c>
      <c r="BS116" s="24">
        <f t="shared" si="63"/>
        <v>1.4085007140628618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-1.7053025658242404E-13</v>
      </c>
      <c r="O117" s="14">
        <f>N117*VLOOKUP('Données projet'!$B$9,Paramètres!$A$1:$I$89,3,0)*VLOOKUP('Données projet'!$B$9,Paramètres!$A$1:$I$89,5,0)</f>
        <v>-1.0197709343628959E-13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207.99520960626666</v>
      </c>
      <c r="T117" s="62">
        <f t="shared" si="88"/>
        <v>306.39565990874775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24.289046938857975</v>
      </c>
      <c r="AA117" s="23">
        <f>EXP(-LN(2)/25)*AA116+(1-EXP(-LN(2)/25))/(LN(2)/25)*Calculateur!V117*Calculateur!X117*VLOOKUP('Données projet'!$B$9,Paramètres!$A$1:$I$89,3,0)*0.475*44/12</f>
        <v>0.78249537051727103</v>
      </c>
      <c r="AB117" s="23">
        <f>EXP(-LN(2)/2)*AB116+(1-EXP(-LN(2)/2))/(LN(2)/2)*V117*Y117*VLOOKUP('Données projet'!$B$9,Paramètres!$A$1:$I$89,3,0)*0.475*44/12</f>
        <v>1.4006180539118717E-8</v>
      </c>
      <c r="AC117" s="24">
        <f t="shared" si="57"/>
        <v>25.071542323381426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5.3205440053716299E-14</v>
      </c>
      <c r="AK117" s="14">
        <f t="shared" si="89"/>
        <v>8.602146238565607E-13</v>
      </c>
      <c r="AL117" s="22">
        <f t="shared" si="58"/>
        <v>1.590873277977066E-12</v>
      </c>
      <c r="AM117" s="62">
        <f t="shared" si="59"/>
        <v>293.33333333333491</v>
      </c>
      <c r="AN117" s="62">
        <f ca="1">AVERAGE(OFFSET($AM$3,0,0,'Données projet'!$E$10+1,1))-AVERAGE(OFFSET($H$3,0,0,'Données projet'!$E$10+1,1))</f>
        <v>259.74478933784656</v>
      </c>
      <c r="AO117" s="62">
        <f t="shared" si="90"/>
        <v>223.74038909289646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6.3550942286383367E-14</v>
      </c>
      <c r="BF117" s="14">
        <f t="shared" si="91"/>
        <v>1.0064464192543978E-12</v>
      </c>
      <c r="BG117" s="22">
        <f t="shared" si="61"/>
        <v>1.8635787380168604E-12</v>
      </c>
      <c r="BH117" s="62">
        <f t="shared" si="62"/>
        <v>293.33333333333519</v>
      </c>
      <c r="BI117" s="62">
        <f ca="1">AVERAGE(OFFSET($BH$3,0,0,'Données projet'!$E$11+1,1))-AVERAGE(OFFSET($H$3,0,0,'Données projet'!$E$11+1,1))</f>
        <v>365.70510182727895</v>
      </c>
      <c r="BJ117" s="62">
        <f t="shared" si="92"/>
        <v>436.23833844962525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1.3808808741548781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4.1958290360086876E-12</v>
      </c>
      <c r="BS117" s="24">
        <f t="shared" si="63"/>
        <v>1.3808808741590739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-1.7053025658242404E-13</v>
      </c>
      <c r="O118" s="14">
        <f>N118*VLOOKUP('Données projet'!$B$9,Paramètres!$A$1:$I$89,3,0)*VLOOKUP('Données projet'!$B$9,Paramètres!$A$1:$I$89,5,0)</f>
        <v>-1.0197709343628959E-13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207.99520960626666</v>
      </c>
      <c r="T118" s="62">
        <f t="shared" si="88"/>
        <v>306.39565990874775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23.812753543242756</v>
      </c>
      <c r="AA118" s="23">
        <f>EXP(-LN(2)/25)*AA117+(1-EXP(-LN(2)/25))/(LN(2)/25)*Calculateur!V118*Calculateur!X118*VLOOKUP('Données projet'!$B$9,Paramètres!$A$1:$I$89,3,0)*0.475*44/12</f>
        <v>0.76109799346083318</v>
      </c>
      <c r="AB118" s="23">
        <f>EXP(-LN(2)/2)*AB117+(1-EXP(-LN(2)/2))/(LN(2)/2)*V118*Y118*VLOOKUP('Données projet'!$B$9,Paramètres!$A$1:$I$89,3,0)*0.475*44/12</f>
        <v>9.9038652377338989E-9</v>
      </c>
      <c r="AC118" s="24">
        <f t="shared" si="57"/>
        <v>24.573851546607454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5.3205440053716299E-14</v>
      </c>
      <c r="AK118" s="14">
        <f t="shared" si="89"/>
        <v>8.602146238565607E-13</v>
      </c>
      <c r="AL118" s="22">
        <f t="shared" si="58"/>
        <v>1.590873277977066E-12</v>
      </c>
      <c r="AM118" s="62">
        <f t="shared" si="59"/>
        <v>293.33333333333491</v>
      </c>
      <c r="AN118" s="62">
        <f ca="1">AVERAGE(OFFSET($AM$3,0,0,'Données projet'!$E$10+1,1))-AVERAGE(OFFSET($H$3,0,0,'Données projet'!$E$10+1,1))</f>
        <v>259.74478933784656</v>
      </c>
      <c r="AO118" s="62">
        <f t="shared" si="90"/>
        <v>223.74038909289646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6.3550942286383367E-14</v>
      </c>
      <c r="BF118" s="14">
        <f t="shared" si="91"/>
        <v>1.0064464192543978E-12</v>
      </c>
      <c r="BG118" s="22">
        <f t="shared" si="61"/>
        <v>1.8635787380168604E-12</v>
      </c>
      <c r="BH118" s="62">
        <f t="shared" si="62"/>
        <v>293.33333333333519</v>
      </c>
      <c r="BI118" s="62">
        <f ca="1">AVERAGE(OFFSET($BH$3,0,0,'Données projet'!$E$11+1,1))-AVERAGE(OFFSET($H$3,0,0,'Données projet'!$E$11+1,1))</f>
        <v>365.70510182727895</v>
      </c>
      <c r="BJ118" s="62">
        <f t="shared" si="92"/>
        <v>436.23833844962525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1.3538026424668685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2.9668991640611577E-12</v>
      </c>
      <c r="BS118" s="24">
        <f t="shared" si="63"/>
        <v>1.3538026424698355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-1.7053025658242404E-13</v>
      </c>
      <c r="O119" s="14">
        <f>N119*VLOOKUP('Données projet'!$B$9,Paramètres!$A$1:$I$89,3,0)*VLOOKUP('Données projet'!$B$9,Paramètres!$A$1:$I$89,5,0)</f>
        <v>-1.0197709343628959E-13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207.99520960626666</v>
      </c>
      <c r="T119" s="62">
        <f t="shared" si="88"/>
        <v>306.39565990874775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23.345799970605267</v>
      </c>
      <c r="AA119" s="23">
        <f>EXP(-LN(2)/25)*AA118+(1-EXP(-LN(2)/25))/(LN(2)/25)*Calculateur!V119*Calculateur!X119*VLOOKUP('Données projet'!$B$9,Paramètres!$A$1:$I$89,3,0)*0.475*44/12</f>
        <v>0.74028572880524268</v>
      </c>
      <c r="AB119" s="23">
        <f>EXP(-LN(2)/2)*AB118+(1-EXP(-LN(2)/2))/(LN(2)/2)*V119*Y119*VLOOKUP('Données projet'!$B$9,Paramètres!$A$1:$I$89,3,0)*0.475*44/12</f>
        <v>7.0030902695593586E-9</v>
      </c>
      <c r="AC119" s="24">
        <f t="shared" si="57"/>
        <v>24.086085706413602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5.3205440053716299E-14</v>
      </c>
      <c r="AK119" s="14">
        <f t="shared" si="89"/>
        <v>8.602146238565607E-13</v>
      </c>
      <c r="AL119" s="22">
        <f t="shared" si="58"/>
        <v>1.590873277977066E-12</v>
      </c>
      <c r="AM119" s="62">
        <f t="shared" si="59"/>
        <v>293.33333333333491</v>
      </c>
      <c r="AN119" s="62">
        <f ca="1">AVERAGE(OFFSET($AM$3,0,0,'Données projet'!$E$10+1,1))-AVERAGE(OFFSET($H$3,0,0,'Données projet'!$E$10+1,1))</f>
        <v>259.74478933784656</v>
      </c>
      <c r="AO119" s="62">
        <f t="shared" si="90"/>
        <v>223.74038909289646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6.3550942286383367E-14</v>
      </c>
      <c r="BF119" s="14">
        <f t="shared" si="91"/>
        <v>1.0064464192543978E-12</v>
      </c>
      <c r="BG119" s="22">
        <f t="shared" si="61"/>
        <v>1.8635787380168604E-12</v>
      </c>
      <c r="BH119" s="62">
        <f t="shared" si="62"/>
        <v>293.33333333333519</v>
      </c>
      <c r="BI119" s="62">
        <f ca="1">AVERAGE(OFFSET($BH$3,0,0,'Données projet'!$E$11+1,1))-AVERAGE(OFFSET($H$3,0,0,'Données projet'!$E$11+1,1))</f>
        <v>365.70510182727895</v>
      </c>
      <c r="BJ119" s="62">
        <f t="shared" si="92"/>
        <v>436.23833844962525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1.3272553983861703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2.0979145180043438E-12</v>
      </c>
      <c r="BS119" s="24">
        <f t="shared" si="63"/>
        <v>1.3272553983882682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-1.7053025658242404E-13</v>
      </c>
      <c r="O120" s="14">
        <f>N120*VLOOKUP('Données projet'!$B$9,Paramètres!$A$1:$I$89,3,0)*VLOOKUP('Données projet'!$B$9,Paramètres!$A$1:$I$89,5,0)</f>
        <v>-1.0197709343628959E-13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207.99520960626666</v>
      </c>
      <c r="T120" s="62">
        <f t="shared" si="88"/>
        <v>306.39565990874775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22.888003072713644</v>
      </c>
      <c r="AA120" s="23">
        <f>EXP(-LN(2)/25)*AA119+(1-EXP(-LN(2)/25))/(LN(2)/25)*Calculateur!V120*Calculateur!X120*VLOOKUP('Données projet'!$B$9,Paramètres!$A$1:$I$89,3,0)*0.475*44/12</f>
        <v>0.7200425766211288</v>
      </c>
      <c r="AB120" s="23">
        <f>EXP(-LN(2)/2)*AB119+(1-EXP(-LN(2)/2))/(LN(2)/2)*V120*Y120*VLOOKUP('Données projet'!$B$9,Paramètres!$A$1:$I$89,3,0)*0.475*44/12</f>
        <v>4.9519326188669495E-9</v>
      </c>
      <c r="AC120" s="24">
        <f t="shared" si="57"/>
        <v>23.608045654286705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5.3205440053716299E-14</v>
      </c>
      <c r="AK120" s="14">
        <f t="shared" si="89"/>
        <v>8.602146238565607E-13</v>
      </c>
      <c r="AL120" s="22">
        <f t="shared" si="58"/>
        <v>1.590873277977066E-12</v>
      </c>
      <c r="AM120" s="62">
        <f t="shared" si="59"/>
        <v>293.33333333333491</v>
      </c>
      <c r="AN120" s="62">
        <f ca="1">AVERAGE(OFFSET($AM$3,0,0,'Données projet'!$E$10+1,1))-AVERAGE(OFFSET($H$3,0,0,'Données projet'!$E$10+1,1))</f>
        <v>259.74478933784656</v>
      </c>
      <c r="AO120" s="62">
        <f t="shared" si="90"/>
        <v>223.74038909289646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6.3550942286383367E-14</v>
      </c>
      <c r="BF120" s="14">
        <f t="shared" si="91"/>
        <v>1.0064464192543978E-12</v>
      </c>
      <c r="BG120" s="22">
        <f t="shared" si="61"/>
        <v>1.8635787380168604E-12</v>
      </c>
      <c r="BH120" s="62">
        <f t="shared" si="62"/>
        <v>293.33333333333519</v>
      </c>
      <c r="BI120" s="62">
        <f ca="1">AVERAGE(OFFSET($BH$3,0,0,'Données projet'!$E$11+1,1))-AVERAGE(OFFSET($H$3,0,0,'Données projet'!$E$11+1,1))</f>
        <v>365.70510182727895</v>
      </c>
      <c r="BJ120" s="62">
        <f t="shared" si="92"/>
        <v>436.23833844962525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1.3012287295696745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1.4834495820305789E-12</v>
      </c>
      <c r="BS120" s="24">
        <f t="shared" si="63"/>
        <v>1.301228729571158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-1.7053025658242404E-13</v>
      </c>
      <c r="O121" s="14">
        <f>N121*VLOOKUP('Données projet'!$B$9,Paramètres!$A$1:$I$89,3,0)*VLOOKUP('Données projet'!$B$9,Paramètres!$A$1:$I$89,5,0)</f>
        <v>-1.0197709343628959E-13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207.99520960626666</v>
      </c>
      <c r="T121" s="62">
        <f t="shared" si="88"/>
        <v>306.39565990874775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22.43918329276114</v>
      </c>
      <c r="AA121" s="23">
        <f>EXP(-LN(2)/25)*AA120+(1-EXP(-LN(2)/25))/(LN(2)/25)*Calculateur!V121*Calculateur!X121*VLOOKUP('Données projet'!$B$9,Paramètres!$A$1:$I$89,3,0)*0.475*44/12</f>
        <v>0.70035297449803058</v>
      </c>
      <c r="AB121" s="23">
        <f>EXP(-LN(2)/2)*AB120+(1-EXP(-LN(2)/2))/(LN(2)/2)*V121*Y121*VLOOKUP('Données projet'!$B$9,Paramètres!$A$1:$I$89,3,0)*0.475*44/12</f>
        <v>3.5015451347796793E-9</v>
      </c>
      <c r="AC121" s="24">
        <f t="shared" si="57"/>
        <v>23.139536270760715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5.3205440053716299E-14</v>
      </c>
      <c r="AK121" s="14">
        <f t="shared" si="89"/>
        <v>8.602146238565607E-13</v>
      </c>
      <c r="AL121" s="22">
        <f t="shared" si="58"/>
        <v>1.590873277977066E-12</v>
      </c>
      <c r="AM121" s="62">
        <f t="shared" si="59"/>
        <v>293.33333333333491</v>
      </c>
      <c r="AN121" s="62">
        <f ca="1">AVERAGE(OFFSET($AM$3,0,0,'Données projet'!$E$10+1,1))-AVERAGE(OFFSET($H$3,0,0,'Données projet'!$E$10+1,1))</f>
        <v>259.74478933784656</v>
      </c>
      <c r="AO121" s="62">
        <f t="shared" si="90"/>
        <v>223.74038909289646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6.3550942286383367E-14</v>
      </c>
      <c r="BF121" s="14">
        <f t="shared" si="91"/>
        <v>1.0064464192543978E-12</v>
      </c>
      <c r="BG121" s="22">
        <f t="shared" si="61"/>
        <v>1.8635787380168604E-12</v>
      </c>
      <c r="BH121" s="62">
        <f t="shared" si="62"/>
        <v>293.33333333333519</v>
      </c>
      <c r="BI121" s="62">
        <f ca="1">AVERAGE(OFFSET($BH$3,0,0,'Données projet'!$E$11+1,1))-AVERAGE(OFFSET($H$3,0,0,'Données projet'!$E$11+1,1))</f>
        <v>365.70510182727895</v>
      </c>
      <c r="BJ121" s="62">
        <f t="shared" si="92"/>
        <v>436.23833844962525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1.2757124278539698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1.0489572590021719E-12</v>
      </c>
      <c r="BS121" s="24">
        <f t="shared" si="63"/>
        <v>1.2757124278550187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-1.7053025658242404E-13</v>
      </c>
      <c r="O122" s="14">
        <f>N122*VLOOKUP('Données projet'!$B$9,Paramètres!$A$1:$I$89,3,0)*VLOOKUP('Données projet'!$B$9,Paramètres!$A$1:$I$89,5,0)</f>
        <v>-1.0197709343628959E-13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207.99520960626666</v>
      </c>
      <c r="T122" s="62">
        <f t="shared" si="88"/>
        <v>306.39565990874775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21.999164594940467</v>
      </c>
      <c r="AA122" s="23">
        <f>EXP(-LN(2)/25)*AA121+(1-EXP(-LN(2)/25))/(LN(2)/25)*Calculateur!V122*Calculateur!X122*VLOOKUP('Données projet'!$B$9,Paramètres!$A$1:$I$89,3,0)*0.475*44/12</f>
        <v>0.68120178558041966</v>
      </c>
      <c r="AB122" s="23">
        <f>EXP(-LN(2)/2)*AB121+(1-EXP(-LN(2)/2))/(LN(2)/2)*V122*Y122*VLOOKUP('Données projet'!$B$9,Paramètres!$A$1:$I$89,3,0)*0.475*44/12</f>
        <v>2.4759663094334747E-9</v>
      </c>
      <c r="AC122" s="24">
        <f t="shared" si="57"/>
        <v>22.680366382996855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5.3205440053716299E-14</v>
      </c>
      <c r="AK122" s="14">
        <f t="shared" si="89"/>
        <v>8.602146238565607E-13</v>
      </c>
      <c r="AL122" s="22">
        <f t="shared" si="58"/>
        <v>1.590873277977066E-12</v>
      </c>
      <c r="AM122" s="62">
        <f t="shared" si="59"/>
        <v>293.33333333333491</v>
      </c>
      <c r="AN122" s="62">
        <f ca="1">AVERAGE(OFFSET($AM$3,0,0,'Données projet'!$E$10+1,1))-AVERAGE(OFFSET($H$3,0,0,'Données projet'!$E$10+1,1))</f>
        <v>259.74478933784656</v>
      </c>
      <c r="AO122" s="62">
        <f t="shared" si="90"/>
        <v>223.74038909289646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6.3550942286383367E-14</v>
      </c>
      <c r="BF122" s="14">
        <f t="shared" si="91"/>
        <v>1.0064464192543978E-12</v>
      </c>
      <c r="BG122" s="22">
        <f t="shared" si="61"/>
        <v>1.8635787380168604E-12</v>
      </c>
      <c r="BH122" s="62">
        <f t="shared" si="62"/>
        <v>293.33333333333519</v>
      </c>
      <c r="BI122" s="62">
        <f ca="1">AVERAGE(OFFSET($BH$3,0,0,'Données projet'!$E$11+1,1))-AVERAGE(OFFSET($H$3,0,0,'Données projet'!$E$11+1,1))</f>
        <v>365.70510182727895</v>
      </c>
      <c r="BJ122" s="62">
        <f t="shared" si="92"/>
        <v>436.23833844962525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1.2506964852515026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7.4172479101528943E-13</v>
      </c>
      <c r="BS122" s="24">
        <f t="shared" si="63"/>
        <v>1.2506964852522442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-1.7053025658242404E-13</v>
      </c>
      <c r="O123" s="14">
        <f>N123*VLOOKUP('Données projet'!$B$9,Paramètres!$A$1:$I$89,3,0)*VLOOKUP('Données projet'!$B$9,Paramètres!$A$1:$I$89,5,0)</f>
        <v>-1.0197709343628959E-13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207.99520960626666</v>
      </c>
      <c r="T123" s="62">
        <f t="shared" si="88"/>
        <v>306.39565990874775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21.567774395399155</v>
      </c>
      <c r="AA123" s="23">
        <f>EXP(-LN(2)/25)*AA122+(1-EXP(-LN(2)/25))/(LN(2)/25)*Calculateur!V123*Calculateur!X123*VLOOKUP('Données projet'!$B$9,Paramètres!$A$1:$I$89,3,0)*0.475*44/12</f>
        <v>0.66257428693087805</v>
      </c>
      <c r="AB123" s="23">
        <f>EXP(-LN(2)/2)*AB122+(1-EXP(-LN(2)/2))/(LN(2)/2)*V123*Y123*VLOOKUP('Données projet'!$B$9,Paramètres!$A$1:$I$89,3,0)*0.475*44/12</f>
        <v>1.7507725673898397E-9</v>
      </c>
      <c r="AC123" s="24">
        <f t="shared" si="57"/>
        <v>22.230348684080806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5.3205440053716299E-14</v>
      </c>
      <c r="AK123" s="14">
        <f t="shared" si="89"/>
        <v>8.602146238565607E-13</v>
      </c>
      <c r="AL123" s="22">
        <f t="shared" si="58"/>
        <v>1.590873277977066E-12</v>
      </c>
      <c r="AM123" s="62">
        <f t="shared" si="59"/>
        <v>293.33333333333491</v>
      </c>
      <c r="AN123" s="62">
        <f ca="1">AVERAGE(OFFSET($AM$3,0,0,'Données projet'!$E$10+1,1))-AVERAGE(OFFSET($H$3,0,0,'Données projet'!$E$10+1,1))</f>
        <v>259.74478933784656</v>
      </c>
      <c r="AO123" s="62">
        <f t="shared" si="90"/>
        <v>223.74038909289646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6.3550942286383367E-14</v>
      </c>
      <c r="BF123" s="14">
        <f t="shared" si="91"/>
        <v>1.0064464192543978E-12</v>
      </c>
      <c r="BG123" s="22">
        <f t="shared" si="61"/>
        <v>1.8635787380168604E-12</v>
      </c>
      <c r="BH123" s="62">
        <f t="shared" si="62"/>
        <v>293.33333333333519</v>
      </c>
      <c r="BI123" s="62">
        <f ca="1">AVERAGE(OFFSET($BH$3,0,0,'Données projet'!$E$11+1,1))-AVERAGE(OFFSET($H$3,0,0,'Données projet'!$E$11+1,1))</f>
        <v>365.70510182727895</v>
      </c>
      <c r="BJ123" s="62">
        <f t="shared" si="92"/>
        <v>436.23833844962525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1.2261710900252514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5.2447862950108595E-13</v>
      </c>
      <c r="BS123" s="24">
        <f t="shared" si="63"/>
        <v>1.2261710900257758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-1.7053025658242404E-13</v>
      </c>
      <c r="O124" s="14">
        <f>N124*VLOOKUP('Données projet'!$B$9,Paramètres!$A$1:$I$89,3,0)*VLOOKUP('Données projet'!$B$9,Paramètres!$A$1:$I$89,5,0)</f>
        <v>-1.0197709343628959E-13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207.99520960626666</v>
      </c>
      <c r="T124" s="62">
        <f t="shared" si="88"/>
        <v>306.39565990874775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21.144843494548805</v>
      </c>
      <c r="AA124" s="23">
        <f>EXP(-LN(2)/25)*AA123+(1-EXP(-LN(2)/25))/(LN(2)/25)*Calculateur!V124*Calculateur!X124*VLOOKUP('Données projet'!$B$9,Paramètres!$A$1:$I$89,3,0)*0.475*44/12</f>
        <v>0.64445615821148583</v>
      </c>
      <c r="AB124" s="23">
        <f>EXP(-LN(2)/2)*AB123+(1-EXP(-LN(2)/2))/(LN(2)/2)*V124*Y124*VLOOKUP('Données projet'!$B$9,Paramètres!$A$1:$I$89,3,0)*0.475*44/12</f>
        <v>1.2379831547167374E-9</v>
      </c>
      <c r="AC124" s="24">
        <f t="shared" si="57"/>
        <v>21.789299653998274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5.3205440053716299E-14</v>
      </c>
      <c r="AK124" s="14">
        <f t="shared" si="89"/>
        <v>8.602146238565607E-13</v>
      </c>
      <c r="AL124" s="22">
        <f t="shared" si="58"/>
        <v>1.590873277977066E-12</v>
      </c>
      <c r="AM124" s="62">
        <f t="shared" si="59"/>
        <v>293.33333333333491</v>
      </c>
      <c r="AN124" s="62">
        <f ca="1">AVERAGE(OFFSET($AM$3,0,0,'Données projet'!$E$10+1,1))-AVERAGE(OFFSET($H$3,0,0,'Données projet'!$E$10+1,1))</f>
        <v>259.74478933784656</v>
      </c>
      <c r="AO124" s="62">
        <f t="shared" si="90"/>
        <v>223.74038909289646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6.3550942286383367E-14</v>
      </c>
      <c r="BF124" s="14">
        <f t="shared" si="91"/>
        <v>1.0064464192543978E-12</v>
      </c>
      <c r="BG124" s="22">
        <f t="shared" si="61"/>
        <v>1.8635787380168604E-12</v>
      </c>
      <c r="BH124" s="62">
        <f t="shared" si="62"/>
        <v>293.33333333333519</v>
      </c>
      <c r="BI124" s="62">
        <f ca="1">AVERAGE(OFFSET($BH$3,0,0,'Données projet'!$E$11+1,1))-AVERAGE(OFFSET($H$3,0,0,'Données projet'!$E$11+1,1))</f>
        <v>365.70510182727895</v>
      </c>
      <c r="BJ124" s="62">
        <f t="shared" si="92"/>
        <v>436.23833844962525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1.2021266228403731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3.7086239550764472E-13</v>
      </c>
      <c r="BS124" s="24">
        <f t="shared" si="63"/>
        <v>1.2021266228407439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-1.7053025658242404E-13</v>
      </c>
      <c r="O125" s="14">
        <f>N125*VLOOKUP('Données projet'!$B$9,Paramètres!$A$1:$I$89,3,0)*VLOOKUP('Données projet'!$B$9,Paramètres!$A$1:$I$89,5,0)</f>
        <v>-1.0197709343628959E-13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207.99520960626666</v>
      </c>
      <c r="T125" s="62">
        <f t="shared" si="88"/>
        <v>306.39565990874775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20.730206010701753</v>
      </c>
      <c r="AA125" s="23">
        <f>EXP(-LN(2)/25)*AA124+(1-EXP(-LN(2)/25))/(LN(2)/25)*Calculateur!V125*Calculateur!X125*VLOOKUP('Données projet'!$B$9,Paramètres!$A$1:$I$89,3,0)*0.475*44/12</f>
        <v>0.62683347067471629</v>
      </c>
      <c r="AB125" s="23">
        <f>EXP(-LN(2)/2)*AB124+(1-EXP(-LN(2)/2))/(LN(2)/2)*V125*Y125*VLOOKUP('Données projet'!$B$9,Paramètres!$A$1:$I$89,3,0)*0.475*44/12</f>
        <v>8.7538628369491983E-10</v>
      </c>
      <c r="AC125" s="24">
        <f t="shared" si="57"/>
        <v>21.357039482251853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5.3205440053716299E-14</v>
      </c>
      <c r="AK125" s="14">
        <f t="shared" si="89"/>
        <v>8.602146238565607E-13</v>
      </c>
      <c r="AL125" s="22">
        <f t="shared" si="58"/>
        <v>1.590873277977066E-12</v>
      </c>
      <c r="AM125" s="62">
        <f t="shared" si="59"/>
        <v>293.33333333333491</v>
      </c>
      <c r="AN125" s="62">
        <f ca="1">AVERAGE(OFFSET($AM$3,0,0,'Données projet'!$E$10+1,1))-AVERAGE(OFFSET($H$3,0,0,'Données projet'!$E$10+1,1))</f>
        <v>259.74478933784656</v>
      </c>
      <c r="AO125" s="62">
        <f t="shared" si="90"/>
        <v>223.74038909289646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6.3550942286383367E-14</v>
      </c>
      <c r="BF125" s="14">
        <f t="shared" si="91"/>
        <v>1.0064464192543978E-12</v>
      </c>
      <c r="BG125" s="22">
        <f t="shared" si="61"/>
        <v>1.8635787380168604E-12</v>
      </c>
      <c r="BH125" s="62">
        <f t="shared" si="62"/>
        <v>293.33333333333519</v>
      </c>
      <c r="BI125" s="62">
        <f ca="1">AVERAGE(OFFSET($BH$3,0,0,'Données projet'!$E$11+1,1))-AVERAGE(OFFSET($H$3,0,0,'Données projet'!$E$11+1,1))</f>
        <v>365.70510182727895</v>
      </c>
      <c r="BJ125" s="62">
        <f t="shared" si="92"/>
        <v>436.23833844962525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1.1785536529913134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2.6223931475054298E-13</v>
      </c>
      <c r="BS125" s="24">
        <f t="shared" si="63"/>
        <v>1.1785536529915757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-1.7053025658242404E-13</v>
      </c>
      <c r="O126" s="14">
        <f>N126*VLOOKUP('Données projet'!$B$9,Paramètres!$A$1:$I$89,3,0)*VLOOKUP('Données projet'!$B$9,Paramètres!$A$1:$I$89,5,0)</f>
        <v>-1.0197709343628959E-13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207.99520960626666</v>
      </c>
      <c r="T126" s="62">
        <f t="shared" si="88"/>
        <v>306.39565990874775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20.323699315009051</v>
      </c>
      <c r="AA126" s="23">
        <f>EXP(-LN(2)/25)*AA125+(1-EXP(-LN(2)/25))/(LN(2)/25)*Calculateur!V126*Calculateur!X126*VLOOKUP('Données projet'!$B$9,Paramètres!$A$1:$I$89,3,0)*0.475*44/12</f>
        <v>0.60969267645537661</v>
      </c>
      <c r="AB126" s="23">
        <f>EXP(-LN(2)/2)*AB125+(1-EXP(-LN(2)/2))/(LN(2)/2)*V126*Y126*VLOOKUP('Données projet'!$B$9,Paramètres!$A$1:$I$89,3,0)*0.475*44/12</f>
        <v>6.1899157735836868E-10</v>
      </c>
      <c r="AC126" s="24">
        <f t="shared" si="57"/>
        <v>20.933391992083422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5.3205440053716299E-14</v>
      </c>
      <c r="AK126" s="14">
        <f t="shared" si="89"/>
        <v>8.602146238565607E-13</v>
      </c>
      <c r="AL126" s="22">
        <f t="shared" si="58"/>
        <v>1.590873277977066E-12</v>
      </c>
      <c r="AM126" s="62">
        <f t="shared" si="59"/>
        <v>293.33333333333491</v>
      </c>
      <c r="AN126" s="62">
        <f ca="1">AVERAGE(OFFSET($AM$3,0,0,'Données projet'!$E$10+1,1))-AVERAGE(OFFSET($H$3,0,0,'Données projet'!$E$10+1,1))</f>
        <v>259.74478933784656</v>
      </c>
      <c r="AO126" s="62">
        <f t="shared" si="90"/>
        <v>223.74038909289646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6.3550942286383367E-14</v>
      </c>
      <c r="BF126" s="14">
        <f t="shared" si="91"/>
        <v>1.0064464192543978E-12</v>
      </c>
      <c r="BG126" s="22">
        <f t="shared" si="61"/>
        <v>1.8635787380168604E-12</v>
      </c>
      <c r="BH126" s="62">
        <f t="shared" si="62"/>
        <v>293.33333333333519</v>
      </c>
      <c r="BI126" s="62">
        <f ca="1">AVERAGE(OFFSET($BH$3,0,0,'Données projet'!$E$11+1,1))-AVERAGE(OFFSET($H$3,0,0,'Données projet'!$E$11+1,1))</f>
        <v>365.70510182727895</v>
      </c>
      <c r="BJ126" s="62">
        <f t="shared" si="92"/>
        <v>436.23833844962525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1.1554429347029018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1.8543119775382236E-13</v>
      </c>
      <c r="BS126" s="24">
        <f t="shared" si="63"/>
        <v>1.1554429347030872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-1.7053025658242404E-13</v>
      </c>
      <c r="O127" s="14">
        <f>N127*VLOOKUP('Données projet'!$B$9,Paramètres!$A$1:$I$89,3,0)*VLOOKUP('Données projet'!$B$9,Paramètres!$A$1:$I$89,5,0)</f>
        <v>-1.0197709343628959E-13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207.99520960626666</v>
      </c>
      <c r="T127" s="62">
        <f t="shared" si="88"/>
        <v>306.39565990874775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19.92516396767428</v>
      </c>
      <c r="AA127" s="23">
        <f>EXP(-LN(2)/25)*AA126+(1-EXP(-LN(2)/25))/(LN(2)/25)*Calculateur!V127*Calculateur!X127*VLOOKUP('Données projet'!$B$9,Paramètres!$A$1:$I$89,3,0)*0.475*44/12</f>
        <v>0.59302059815536001</v>
      </c>
      <c r="AB127" s="23">
        <f>EXP(-LN(2)/2)*AB126+(1-EXP(-LN(2)/2))/(LN(2)/2)*V127*Y127*VLOOKUP('Données projet'!$B$9,Paramètres!$A$1:$I$89,3,0)*0.475*44/12</f>
        <v>4.3769314184745991E-10</v>
      </c>
      <c r="AC127" s="24">
        <f t="shared" si="57"/>
        <v>20.518184566267333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5.3205440053716299E-14</v>
      </c>
      <c r="AK127" s="14">
        <f t="shared" si="89"/>
        <v>8.602146238565607E-13</v>
      </c>
      <c r="AL127" s="22">
        <f t="shared" si="58"/>
        <v>1.590873277977066E-12</v>
      </c>
      <c r="AM127" s="62">
        <f t="shared" si="59"/>
        <v>293.33333333333491</v>
      </c>
      <c r="AN127" s="62">
        <f ca="1">AVERAGE(OFFSET($AM$3,0,0,'Données projet'!$E$10+1,1))-AVERAGE(OFFSET($H$3,0,0,'Données projet'!$E$10+1,1))</f>
        <v>259.74478933784656</v>
      </c>
      <c r="AO127" s="62">
        <f t="shared" si="90"/>
        <v>223.74038909289646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6.3550942286383367E-14</v>
      </c>
      <c r="BF127" s="14">
        <f t="shared" si="91"/>
        <v>1.0064464192543978E-12</v>
      </c>
      <c r="BG127" s="22">
        <f t="shared" si="61"/>
        <v>1.8635787380168604E-12</v>
      </c>
      <c r="BH127" s="62">
        <f t="shared" si="62"/>
        <v>293.33333333333519</v>
      </c>
      <c r="BI127" s="62">
        <f ca="1">AVERAGE(OFFSET($BH$3,0,0,'Données projet'!$E$11+1,1))-AVERAGE(OFFSET($H$3,0,0,'Données projet'!$E$11+1,1))</f>
        <v>365.70510182727895</v>
      </c>
      <c r="BJ127" s="62">
        <f t="shared" si="92"/>
        <v>436.23833844962525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1.1327854035039797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1.3111965737527149E-13</v>
      </c>
      <c r="BS127" s="24">
        <f t="shared" si="63"/>
        <v>1.1327854035041109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-1.7053025658242404E-13</v>
      </c>
      <c r="O128" s="14">
        <f>N128*VLOOKUP('Données projet'!$B$9,Paramètres!$A$1:$I$89,3,0)*VLOOKUP('Données projet'!$B$9,Paramètres!$A$1:$I$89,5,0)</f>
        <v>-1.0197709343628959E-13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207.99520960626666</v>
      </c>
      <c r="T128" s="62">
        <f t="shared" si="88"/>
        <v>306.39565990874775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19.534443655418183</v>
      </c>
      <c r="AA128" s="23">
        <f>EXP(-LN(2)/25)*AA127+(1-EXP(-LN(2)/25))/(LN(2)/25)*Calculateur!V128*Calculateur!X128*VLOOKUP('Données projet'!$B$9,Paramètres!$A$1:$I$89,3,0)*0.475*44/12</f>
        <v>0.57680441871320376</v>
      </c>
      <c r="AB128" s="23">
        <f>EXP(-LN(2)/2)*AB127+(1-EXP(-LN(2)/2))/(LN(2)/2)*V128*Y128*VLOOKUP('Données projet'!$B$9,Paramètres!$A$1:$I$89,3,0)*0.475*44/12</f>
        <v>3.0949578867918434E-10</v>
      </c>
      <c r="AC128" s="24">
        <f t="shared" si="57"/>
        <v>20.111248074440883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5.3205440053716299E-14</v>
      </c>
      <c r="AK128" s="14">
        <f t="shared" si="89"/>
        <v>8.602146238565607E-13</v>
      </c>
      <c r="AL128" s="22">
        <f t="shared" si="58"/>
        <v>1.590873277977066E-12</v>
      </c>
      <c r="AM128" s="62">
        <f t="shared" si="59"/>
        <v>293.33333333333491</v>
      </c>
      <c r="AN128" s="62">
        <f ca="1">AVERAGE(OFFSET($AM$3,0,0,'Données projet'!$E$10+1,1))-AVERAGE(OFFSET($H$3,0,0,'Données projet'!$E$10+1,1))</f>
        <v>259.74478933784656</v>
      </c>
      <c r="AO128" s="62">
        <f t="shared" si="90"/>
        <v>223.74038909289646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6.3550942286383367E-14</v>
      </c>
      <c r="BF128" s="14">
        <f t="shared" si="91"/>
        <v>1.0064464192543978E-12</v>
      </c>
      <c r="BG128" s="22">
        <f t="shared" si="61"/>
        <v>1.8635787380168604E-12</v>
      </c>
      <c r="BH128" s="62">
        <f t="shared" si="62"/>
        <v>293.33333333333519</v>
      </c>
      <c r="BI128" s="62">
        <f ca="1">AVERAGE(OFFSET($BH$3,0,0,'Données projet'!$E$11+1,1))-AVERAGE(OFFSET($H$3,0,0,'Données projet'!$E$11+1,1))</f>
        <v>365.70510182727895</v>
      </c>
      <c r="BJ128" s="62">
        <f t="shared" si="92"/>
        <v>436.23833844962525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1.1105721726721391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9.2715598876911179E-14</v>
      </c>
      <c r="BS128" s="24">
        <f t="shared" si="63"/>
        <v>1.110572172672232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-1.7053025658242404E-13</v>
      </c>
      <c r="O129" s="14">
        <f>N129*VLOOKUP('Données projet'!$B$9,Paramètres!$A$1:$I$89,3,0)*VLOOKUP('Données projet'!$B$9,Paramètres!$A$1:$I$89,5,0)</f>
        <v>-1.0197709343628959E-13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207.99520960626666</v>
      </c>
      <c r="T129" s="62">
        <f t="shared" si="88"/>
        <v>306.39565990874775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19.151385130169569</v>
      </c>
      <c r="AA129" s="23">
        <f>EXP(-LN(2)/25)*AA128+(1-EXP(-LN(2)/25))/(LN(2)/25)*Calculateur!V129*Calculateur!X129*VLOOKUP('Données projet'!$B$9,Paramètres!$A$1:$I$89,3,0)*0.475*44/12</f>
        <v>0.56103167155066513</v>
      </c>
      <c r="AB129" s="23">
        <f>EXP(-LN(2)/2)*AB128+(1-EXP(-LN(2)/2))/(LN(2)/2)*V129*Y129*VLOOKUP('Données projet'!$B$9,Paramètres!$A$1:$I$89,3,0)*0.475*44/12</f>
        <v>2.1884657092372996E-10</v>
      </c>
      <c r="AC129" s="24">
        <f t="shared" si="57"/>
        <v>19.712416801939082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5.3205440053716299E-14</v>
      </c>
      <c r="AK129" s="14">
        <f t="shared" si="89"/>
        <v>8.602146238565607E-13</v>
      </c>
      <c r="AL129" s="22">
        <f t="shared" si="58"/>
        <v>1.590873277977066E-12</v>
      </c>
      <c r="AM129" s="62">
        <f t="shared" si="59"/>
        <v>293.33333333333491</v>
      </c>
      <c r="AN129" s="62">
        <f ca="1">AVERAGE(OFFSET($AM$3,0,0,'Données projet'!$E$10+1,1))-AVERAGE(OFFSET($H$3,0,0,'Données projet'!$E$10+1,1))</f>
        <v>259.74478933784656</v>
      </c>
      <c r="AO129" s="62">
        <f t="shared" si="90"/>
        <v>223.74038909289646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6.3550942286383367E-14</v>
      </c>
      <c r="BF129" s="14">
        <f t="shared" si="91"/>
        <v>1.0064464192543978E-12</v>
      </c>
      <c r="BG129" s="22">
        <f t="shared" si="61"/>
        <v>1.8635787380168604E-12</v>
      </c>
      <c r="BH129" s="62">
        <f t="shared" si="62"/>
        <v>293.33333333333519</v>
      </c>
      <c r="BI129" s="62">
        <f ca="1">AVERAGE(OFFSET($BH$3,0,0,'Données projet'!$E$11+1,1))-AVERAGE(OFFSET($H$3,0,0,'Données projet'!$E$11+1,1))</f>
        <v>365.70510182727895</v>
      </c>
      <c r="BJ129" s="62">
        <f t="shared" si="92"/>
        <v>436.23833844962525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1.0887945297481778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6.5559828687635744E-14</v>
      </c>
      <c r="BS129" s="24">
        <f t="shared" si="63"/>
        <v>1.0887945297482433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-1.7053025658242404E-13</v>
      </c>
      <c r="O130" s="14">
        <f>N130*VLOOKUP('Données projet'!$B$9,Paramètres!$A$1:$I$89,3,0)*VLOOKUP('Données projet'!$B$9,Paramètres!$A$1:$I$89,5,0)</f>
        <v>-1.0197709343628959E-13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207.99520960626666</v>
      </c>
      <c r="T130" s="62">
        <f t="shared" si="88"/>
        <v>306.39565990874775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18.775838148958449</v>
      </c>
      <c r="AA130" s="23">
        <f>EXP(-LN(2)/25)*AA129+(1-EXP(-LN(2)/25))/(LN(2)/25)*Calculateur!V130*Calculateur!X130*VLOOKUP('Données projet'!$B$9,Paramètres!$A$1:$I$89,3,0)*0.475*44/12</f>
        <v>0.54569023098873881</v>
      </c>
      <c r="AB130" s="23">
        <f>EXP(-LN(2)/2)*AB129+(1-EXP(-LN(2)/2))/(LN(2)/2)*V130*Y130*VLOOKUP('Données projet'!$B$9,Paramètres!$A$1:$I$89,3,0)*0.475*44/12</f>
        <v>1.5474789433959217E-10</v>
      </c>
      <c r="AC130" s="24">
        <f t="shared" si="57"/>
        <v>19.321528380101938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5.3205440053716299E-14</v>
      </c>
      <c r="AK130" s="14">
        <f t="shared" si="89"/>
        <v>8.602146238565607E-13</v>
      </c>
      <c r="AL130" s="22">
        <f t="shared" si="58"/>
        <v>1.590873277977066E-12</v>
      </c>
      <c r="AM130" s="62">
        <f t="shared" si="59"/>
        <v>293.33333333333491</v>
      </c>
      <c r="AN130" s="62">
        <f ca="1">AVERAGE(OFFSET($AM$3,0,0,'Données projet'!$E$10+1,1))-AVERAGE(OFFSET($H$3,0,0,'Données projet'!$E$10+1,1))</f>
        <v>259.74478933784656</v>
      </c>
      <c r="AO130" s="62">
        <f t="shared" si="90"/>
        <v>223.74038909289646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6.3550942286383367E-14</v>
      </c>
      <c r="BF130" s="14">
        <f t="shared" si="91"/>
        <v>1.0064464192543978E-12</v>
      </c>
      <c r="BG130" s="22">
        <f t="shared" si="61"/>
        <v>1.8635787380168604E-12</v>
      </c>
      <c r="BH130" s="62">
        <f t="shared" si="62"/>
        <v>293.33333333333519</v>
      </c>
      <c r="BI130" s="62">
        <f ca="1">AVERAGE(OFFSET($BH$3,0,0,'Données projet'!$E$11+1,1))-AVERAGE(OFFSET($H$3,0,0,'Données projet'!$E$11+1,1))</f>
        <v>365.70510182727895</v>
      </c>
      <c r="BJ130" s="62">
        <f t="shared" si="92"/>
        <v>436.23833844962525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1.067443933118905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4.635779943845559E-14</v>
      </c>
      <c r="BS130" s="24">
        <f t="shared" si="63"/>
        <v>1.0674439331189514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-1.7053025658242404E-13</v>
      </c>
      <c r="O131" s="14">
        <f>N131*VLOOKUP('Données projet'!$B$9,Paramètres!$A$1:$I$89,3,0)*VLOOKUP('Données projet'!$B$9,Paramètres!$A$1:$I$89,5,0)</f>
        <v>-1.0197709343628959E-13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207.99520960626666</v>
      </c>
      <c r="T131" s="62">
        <f t="shared" si="88"/>
        <v>306.39565990874775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18.40765541498784</v>
      </c>
      <c r="AA131" s="23">
        <f>EXP(-LN(2)/25)*AA130+(1-EXP(-LN(2)/25))/(LN(2)/25)*Calculateur!V131*Calculateur!X131*VLOOKUP('Données projet'!$B$9,Paramètres!$A$1:$I$89,3,0)*0.475*44/12</f>
        <v>0.53076830292574972</v>
      </c>
      <c r="AB131" s="23">
        <f>EXP(-LN(2)/2)*AB130+(1-EXP(-LN(2)/2))/(LN(2)/2)*V131*Y131*VLOOKUP('Données projet'!$B$9,Paramètres!$A$1:$I$89,3,0)*0.475*44/12</f>
        <v>1.0942328546186498E-10</v>
      </c>
      <c r="AC131" s="24">
        <f t="shared" si="57"/>
        <v>18.938423718023014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5.3205440053716299E-14</v>
      </c>
      <c r="AK131" s="14">
        <f t="shared" si="89"/>
        <v>8.602146238565607E-13</v>
      </c>
      <c r="AL131" s="22">
        <f t="shared" si="58"/>
        <v>1.590873277977066E-12</v>
      </c>
      <c r="AM131" s="62">
        <f t="shared" si="59"/>
        <v>293.33333333333491</v>
      </c>
      <c r="AN131" s="62">
        <f ca="1">AVERAGE(OFFSET($AM$3,0,0,'Données projet'!$E$10+1,1))-AVERAGE(OFFSET($H$3,0,0,'Données projet'!$E$10+1,1))</f>
        <v>259.74478933784656</v>
      </c>
      <c r="AO131" s="62">
        <f t="shared" si="90"/>
        <v>223.74038909289646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6.3550942286383367E-14</v>
      </c>
      <c r="BF131" s="14">
        <f t="shared" si="91"/>
        <v>1.0064464192543978E-12</v>
      </c>
      <c r="BG131" s="22">
        <f t="shared" si="61"/>
        <v>1.8635787380168604E-12</v>
      </c>
      <c r="BH131" s="62">
        <f t="shared" si="62"/>
        <v>293.33333333333519</v>
      </c>
      <c r="BI131" s="62">
        <f ca="1">AVERAGE(OFFSET($BH$3,0,0,'Données projet'!$E$11+1,1))-AVERAGE(OFFSET($H$3,0,0,'Données projet'!$E$11+1,1))</f>
        <v>365.70510182727895</v>
      </c>
      <c r="BJ131" s="62">
        <f t="shared" si="92"/>
        <v>436.23833844962525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1.0465120086669539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3.2779914343817872E-14</v>
      </c>
      <c r="BS131" s="24">
        <f t="shared" si="63"/>
        <v>1.0465120086669868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-1.7053025658242404E-13</v>
      </c>
      <c r="O132" s="14">
        <f>N132*VLOOKUP('Données projet'!$B$9,Paramètres!$A$1:$I$89,3,0)*VLOOKUP('Données projet'!$B$9,Paramètres!$A$1:$I$89,5,0)</f>
        <v>-1.0197709343628959E-13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207.99520960626666</v>
      </c>
      <c r="T132" s="62">
        <f t="shared" si="88"/>
        <v>306.39565990874775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18.0466925198611</v>
      </c>
      <c r="AA132" s="23">
        <f>EXP(-LN(2)/25)*AA131+(1-EXP(-LN(2)/25))/(LN(2)/25)*Calculateur!V132*Calculateur!X132*VLOOKUP('Données projet'!$B$9,Paramètres!$A$1:$I$89,3,0)*0.475*44/12</f>
        <v>0.51625441577035314</v>
      </c>
      <c r="AB132" s="23">
        <f>EXP(-LN(2)/2)*AB131+(1-EXP(-LN(2)/2))/(LN(2)/2)*V132*Y132*VLOOKUP('Données projet'!$B$9,Paramètres!$A$1:$I$89,3,0)*0.475*44/12</f>
        <v>7.7373947169796085E-11</v>
      </c>
      <c r="AC132" s="24">
        <f t="shared" ref="AC132:AC153" si="111">SUM(Z132:AB132)</f>
        <v>18.562946935708826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5.3205440053716299E-14</v>
      </c>
      <c r="AK132" s="14">
        <f t="shared" si="89"/>
        <v>8.602146238565607E-13</v>
      </c>
      <c r="AL132" s="22">
        <f t="shared" ref="AL132:AL153" si="112">(AJ132+AK132)*0.475*44/12</f>
        <v>1.590873277977066E-12</v>
      </c>
      <c r="AM132" s="62">
        <f t="shared" ref="AM132:AM195" si="113">AL132+(AD132+AE132)*44/12</f>
        <v>293.33333333333491</v>
      </c>
      <c r="AN132" s="62">
        <f ca="1">AVERAGE(OFFSET($AM$3,0,0,'Données projet'!$E$10+1,1))-AVERAGE(OFFSET($H$3,0,0,'Données projet'!$E$10+1,1))</f>
        <v>259.74478933784656</v>
      </c>
      <c r="AO132" s="62">
        <f t="shared" si="90"/>
        <v>223.74038909289646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6.3550942286383367E-14</v>
      </c>
      <c r="BF132" s="14">
        <f t="shared" si="91"/>
        <v>1.0064464192543978E-12</v>
      </c>
      <c r="BG132" s="22">
        <f t="shared" ref="BG132:BG153" si="115">(BE132+BF132)*0.475*44/12</f>
        <v>1.8635787380168604E-12</v>
      </c>
      <c r="BH132" s="62">
        <f t="shared" ref="BH132:BH195" si="116">BG132+(AY132+AZ132)*44/12</f>
        <v>293.33333333333519</v>
      </c>
      <c r="BI132" s="62">
        <f ca="1">AVERAGE(OFFSET($BH$3,0,0,'Données projet'!$E$11+1,1))-AVERAGE(OFFSET($H$3,0,0,'Données projet'!$E$11+1,1))</f>
        <v>365.70510182727895</v>
      </c>
      <c r="BJ132" s="62">
        <f t="shared" si="92"/>
        <v>436.23833844962525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1.0259905464862924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2.3178899719227795E-14</v>
      </c>
      <c r="BS132" s="24">
        <f t="shared" ref="BS132:BS153" si="117">SUM(BP132:BR132)</f>
        <v>1.0259905464863155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-1.7053025658242404E-13</v>
      </c>
      <c r="O133" s="14">
        <f>N133*VLOOKUP('Données projet'!$B$9,Paramètres!$A$1:$I$89,3,0)*VLOOKUP('Données projet'!$B$9,Paramètres!$A$1:$I$89,5,0)</f>
        <v>-1.0197709343628959E-13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207.99520960626666</v>
      </c>
      <c r="T133" s="62">
        <f t="shared" ref="T133:T196" si="142">$T$3</f>
        <v>306.39565990874775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17.69280788694217</v>
      </c>
      <c r="AA133" s="23">
        <f>EXP(-LN(2)/25)*AA132+(1-EXP(-LN(2)/25))/(LN(2)/25)*Calculateur!V133*Calculateur!X133*VLOOKUP('Données projet'!$B$9,Paramètres!$A$1:$I$89,3,0)*0.475*44/12</f>
        <v>0.50213741162247305</v>
      </c>
      <c r="AB133" s="23">
        <f>EXP(-LN(2)/2)*AB132+(1-EXP(-LN(2)/2))/(LN(2)/2)*V133*Y133*VLOOKUP('Données projet'!$B$9,Paramètres!$A$1:$I$89,3,0)*0.475*44/12</f>
        <v>5.4711642730932489E-11</v>
      </c>
      <c r="AC133" s="24">
        <f t="shared" si="111"/>
        <v>18.194945298619356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5.3205440053716299E-14</v>
      </c>
      <c r="AK133" s="14">
        <f t="shared" ref="AK133:AK153" si="143">EXP(-1.0587+0.8836*LN(AJ133)+0.284)</f>
        <v>8.602146238565607E-13</v>
      </c>
      <c r="AL133" s="22">
        <f t="shared" si="112"/>
        <v>1.590873277977066E-12</v>
      </c>
      <c r="AM133" s="62">
        <f t="shared" si="113"/>
        <v>293.33333333333491</v>
      </c>
      <c r="AN133" s="62">
        <f ca="1">AVERAGE(OFFSET($AM$3,0,0,'Données projet'!$E$10+1,1))-AVERAGE(OFFSET($H$3,0,0,'Données projet'!$E$10+1,1))</f>
        <v>259.74478933784656</v>
      </c>
      <c r="AO133" s="62">
        <f t="shared" ref="AO133:AO196" si="144">$AO$3</f>
        <v>223.74038909289646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6.3550942286383367E-14</v>
      </c>
      <c r="BF133" s="14">
        <f t="shared" ref="BF133:BF153" si="145">EXP(-1.0587+0.8836*LN(BE133)+0.284)</f>
        <v>1.0064464192543978E-12</v>
      </c>
      <c r="BG133" s="22">
        <f t="shared" si="115"/>
        <v>1.8635787380168604E-12</v>
      </c>
      <c r="BH133" s="62">
        <f t="shared" si="116"/>
        <v>293.33333333333519</v>
      </c>
      <c r="BI133" s="62">
        <f ca="1">AVERAGE(OFFSET($BH$3,0,0,'Données projet'!$E$11+1,1))-AVERAGE(OFFSET($H$3,0,0,'Données projet'!$E$11+1,1))</f>
        <v>365.70510182727895</v>
      </c>
      <c r="BJ133" s="62">
        <f t="shared" ref="BJ133:BJ196" si="146">$BJ$3</f>
        <v>436.23833844962525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1.0058714976621377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1.6389957171908936E-14</v>
      </c>
      <c r="BS133" s="24">
        <f t="shared" si="117"/>
        <v>1.0058714976621541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-1.7053025658242404E-13</v>
      </c>
      <c r="O134" s="14">
        <f>N134*VLOOKUP('Données projet'!$B$9,Paramètres!$A$1:$I$89,3,0)*VLOOKUP('Données projet'!$B$9,Paramètres!$A$1:$I$89,5,0)</f>
        <v>-1.0197709343628959E-13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207.99520960626666</v>
      </c>
      <c r="T134" s="62">
        <f t="shared" si="142"/>
        <v>306.39565990874775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17.345862715826467</v>
      </c>
      <c r="AA134" s="23">
        <f>EXP(-LN(2)/25)*AA133+(1-EXP(-LN(2)/25))/(LN(2)/25)*Calculateur!V134*Calculateur!X134*VLOOKUP('Données projet'!$B$9,Paramètres!$A$1:$I$89,3,0)*0.475*44/12</f>
        <v>0.48840643769539771</v>
      </c>
      <c r="AB134" s="23">
        <f>EXP(-LN(2)/2)*AB133+(1-EXP(-LN(2)/2))/(LN(2)/2)*V134*Y134*VLOOKUP('Données projet'!$B$9,Paramètres!$A$1:$I$89,3,0)*0.475*44/12</f>
        <v>3.8686973584898043E-11</v>
      </c>
      <c r="AC134" s="24">
        <f t="shared" si="111"/>
        <v>17.834269153560552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5.3205440053716299E-14</v>
      </c>
      <c r="AK134" s="14">
        <f t="shared" si="143"/>
        <v>8.602146238565607E-13</v>
      </c>
      <c r="AL134" s="22">
        <f t="shared" si="112"/>
        <v>1.590873277977066E-12</v>
      </c>
      <c r="AM134" s="62">
        <f t="shared" si="113"/>
        <v>293.33333333333491</v>
      </c>
      <c r="AN134" s="62">
        <f ca="1">AVERAGE(OFFSET($AM$3,0,0,'Données projet'!$E$10+1,1))-AVERAGE(OFFSET($H$3,0,0,'Données projet'!$E$10+1,1))</f>
        <v>259.74478933784656</v>
      </c>
      <c r="AO134" s="62">
        <f t="shared" si="144"/>
        <v>223.74038909289646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6.3550942286383367E-14</v>
      </c>
      <c r="BF134" s="14">
        <f t="shared" si="145"/>
        <v>1.0064464192543978E-12</v>
      </c>
      <c r="BG134" s="22">
        <f t="shared" si="115"/>
        <v>1.8635787380168604E-12</v>
      </c>
      <c r="BH134" s="62">
        <f t="shared" si="116"/>
        <v>293.33333333333519</v>
      </c>
      <c r="BI134" s="62">
        <f ca="1">AVERAGE(OFFSET($BH$3,0,0,'Données projet'!$E$11+1,1))-AVERAGE(OFFSET($H$3,0,0,'Données projet'!$E$11+1,1))</f>
        <v>365.70510182727895</v>
      </c>
      <c r="BJ134" s="62">
        <f t="shared" si="146"/>
        <v>436.23833844962525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0.98614697111401661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1.1589449859613897E-14</v>
      </c>
      <c r="BS134" s="24">
        <f t="shared" si="117"/>
        <v>0.98614697111402816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-1.7053025658242404E-13</v>
      </c>
      <c r="O135" s="14">
        <f>N135*VLOOKUP('Données projet'!$B$9,Paramètres!$A$1:$I$89,3,0)*VLOOKUP('Données projet'!$B$9,Paramètres!$A$1:$I$89,5,0)</f>
        <v>-1.0197709343628959E-13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207.99520960626666</v>
      </c>
      <c r="T135" s="62">
        <f t="shared" si="142"/>
        <v>306.39565990874775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17.005720927900686</v>
      </c>
      <c r="AA135" s="23">
        <f>EXP(-LN(2)/25)*AA134+(1-EXP(-LN(2)/25))/(LN(2)/25)*Calculateur!V135*Calculateur!X135*VLOOKUP('Données projet'!$B$9,Paramètres!$A$1:$I$89,3,0)*0.475*44/12</f>
        <v>0.47505093797243875</v>
      </c>
      <c r="AB135" s="23">
        <f>EXP(-LN(2)/2)*AB134+(1-EXP(-LN(2)/2))/(LN(2)/2)*V135*Y135*VLOOKUP('Données projet'!$B$9,Paramètres!$A$1:$I$89,3,0)*0.475*44/12</f>
        <v>2.7355821365466245E-11</v>
      </c>
      <c r="AC135" s="24">
        <f t="shared" si="111"/>
        <v>17.480771865900479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5.3205440053716299E-14</v>
      </c>
      <c r="AK135" s="14">
        <f t="shared" si="143"/>
        <v>8.602146238565607E-13</v>
      </c>
      <c r="AL135" s="22">
        <f t="shared" si="112"/>
        <v>1.590873277977066E-12</v>
      </c>
      <c r="AM135" s="62">
        <f t="shared" si="113"/>
        <v>293.33333333333491</v>
      </c>
      <c r="AN135" s="62">
        <f ca="1">AVERAGE(OFFSET($AM$3,0,0,'Données projet'!$E$10+1,1))-AVERAGE(OFFSET($H$3,0,0,'Données projet'!$E$10+1,1))</f>
        <v>259.74478933784656</v>
      </c>
      <c r="AO135" s="62">
        <f t="shared" si="144"/>
        <v>223.74038909289646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6.3550942286383367E-14</v>
      </c>
      <c r="BF135" s="14">
        <f t="shared" si="145"/>
        <v>1.0064464192543978E-12</v>
      </c>
      <c r="BG135" s="22">
        <f t="shared" si="115"/>
        <v>1.8635787380168604E-12</v>
      </c>
      <c r="BH135" s="62">
        <f t="shared" si="116"/>
        <v>293.33333333333519</v>
      </c>
      <c r="BI135" s="62">
        <f ca="1">AVERAGE(OFFSET($BH$3,0,0,'Données projet'!$E$11+1,1))-AVERAGE(OFFSET($H$3,0,0,'Données projet'!$E$11+1,1))</f>
        <v>365.70510182727895</v>
      </c>
      <c r="BJ135" s="62">
        <f t="shared" si="146"/>
        <v>436.23833844962525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0.96680923050073087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8.194978585954468E-15</v>
      </c>
      <c r="BS135" s="24">
        <f t="shared" si="117"/>
        <v>0.96680923050073908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-1.7053025658242404E-13</v>
      </c>
      <c r="O136" s="14">
        <f>N136*VLOOKUP('Données projet'!$B$9,Paramètres!$A$1:$I$89,3,0)*VLOOKUP('Données projet'!$B$9,Paramètres!$A$1:$I$89,5,0)</f>
        <v>-1.0197709343628959E-13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207.99520960626666</v>
      </c>
      <c r="T136" s="62">
        <f t="shared" si="142"/>
        <v>306.39565990874775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16.672249112970125</v>
      </c>
      <c r="AA136" s="23">
        <f>EXP(-LN(2)/25)*AA135+(1-EXP(-LN(2)/25))/(LN(2)/25)*Calculateur!V136*Calculateur!X136*VLOOKUP('Données projet'!$B$9,Paramètres!$A$1:$I$89,3,0)*0.475*44/12</f>
        <v>0.46206064509173933</v>
      </c>
      <c r="AB136" s="23">
        <f>EXP(-LN(2)/2)*AB135+(1-EXP(-LN(2)/2))/(LN(2)/2)*V136*Y136*VLOOKUP('Données projet'!$B$9,Paramètres!$A$1:$I$89,3,0)*0.475*44/12</f>
        <v>1.9343486792449021E-11</v>
      </c>
      <c r="AC136" s="24">
        <f t="shared" si="111"/>
        <v>17.134309758081208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5.3205440053716299E-14</v>
      </c>
      <c r="AK136" s="14">
        <f t="shared" si="143"/>
        <v>8.602146238565607E-13</v>
      </c>
      <c r="AL136" s="22">
        <f t="shared" si="112"/>
        <v>1.590873277977066E-12</v>
      </c>
      <c r="AM136" s="62">
        <f t="shared" si="113"/>
        <v>293.33333333333491</v>
      </c>
      <c r="AN136" s="62">
        <f ca="1">AVERAGE(OFFSET($AM$3,0,0,'Données projet'!$E$10+1,1))-AVERAGE(OFFSET($H$3,0,0,'Données projet'!$E$10+1,1))</f>
        <v>259.74478933784656</v>
      </c>
      <c r="AO136" s="62">
        <f t="shared" si="144"/>
        <v>223.74038909289646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6.3550942286383367E-14</v>
      </c>
      <c r="BF136" s="14">
        <f t="shared" si="145"/>
        <v>1.0064464192543978E-12</v>
      </c>
      <c r="BG136" s="22">
        <f t="shared" si="115"/>
        <v>1.8635787380168604E-12</v>
      </c>
      <c r="BH136" s="62">
        <f t="shared" si="116"/>
        <v>293.33333333333519</v>
      </c>
      <c r="BI136" s="62">
        <f ca="1">AVERAGE(OFFSET($BH$3,0,0,'Données projet'!$E$11+1,1))-AVERAGE(OFFSET($H$3,0,0,'Données projet'!$E$11+1,1))</f>
        <v>365.70510182727895</v>
      </c>
      <c r="BJ136" s="62">
        <f t="shared" si="146"/>
        <v>436.23833844962525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0.9478506911860145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5.7947249298069487E-15</v>
      </c>
      <c r="BS136" s="24">
        <f t="shared" si="117"/>
        <v>0.94785069118602028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-1.7053025658242404E-13</v>
      </c>
      <c r="O137" s="14">
        <f>N137*VLOOKUP('Données projet'!$B$9,Paramètres!$A$1:$I$89,3,0)*VLOOKUP('Données projet'!$B$9,Paramètres!$A$1:$I$89,5,0)</f>
        <v>-1.0197709343628959E-13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207.99520960626666</v>
      </c>
      <c r="T137" s="62">
        <f t="shared" si="142"/>
        <v>306.39565990874775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16.345316476932627</v>
      </c>
      <c r="AA137" s="23">
        <f>EXP(-LN(2)/25)*AA136+(1-EXP(-LN(2)/25))/(LN(2)/25)*Calculateur!V137*Calculateur!X137*VLOOKUP('Données projet'!$B$9,Paramètres!$A$1:$I$89,3,0)*0.475*44/12</f>
        <v>0.44942557245299247</v>
      </c>
      <c r="AB137" s="23">
        <f>EXP(-LN(2)/2)*AB136+(1-EXP(-LN(2)/2))/(LN(2)/2)*V137*Y137*VLOOKUP('Données projet'!$B$9,Paramètres!$A$1:$I$89,3,0)*0.475*44/12</f>
        <v>1.3677910682733122E-11</v>
      </c>
      <c r="AC137" s="24">
        <f t="shared" si="111"/>
        <v>16.794742049399296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5.3205440053716299E-14</v>
      </c>
      <c r="AK137" s="14">
        <f t="shared" si="143"/>
        <v>8.602146238565607E-13</v>
      </c>
      <c r="AL137" s="22">
        <f t="shared" si="112"/>
        <v>1.590873277977066E-12</v>
      </c>
      <c r="AM137" s="62">
        <f t="shared" si="113"/>
        <v>293.33333333333491</v>
      </c>
      <c r="AN137" s="62">
        <f ca="1">AVERAGE(OFFSET($AM$3,0,0,'Données projet'!$E$10+1,1))-AVERAGE(OFFSET($H$3,0,0,'Données projet'!$E$10+1,1))</f>
        <v>259.74478933784656</v>
      </c>
      <c r="AO137" s="62">
        <f t="shared" si="144"/>
        <v>223.74038909289646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6.3550942286383367E-14</v>
      </c>
      <c r="BF137" s="14">
        <f t="shared" si="145"/>
        <v>1.0064464192543978E-12</v>
      </c>
      <c r="BG137" s="22">
        <f t="shared" si="115"/>
        <v>1.8635787380168604E-12</v>
      </c>
      <c r="BH137" s="62">
        <f t="shared" si="116"/>
        <v>293.33333333333519</v>
      </c>
      <c r="BI137" s="62">
        <f ca="1">AVERAGE(OFFSET($BH$3,0,0,'Données projet'!$E$11+1,1))-AVERAGE(OFFSET($H$3,0,0,'Données projet'!$E$11+1,1))</f>
        <v>365.70510182727895</v>
      </c>
      <c r="BJ137" s="62">
        <f t="shared" si="146"/>
        <v>436.23833844962525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0.92926391726369262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4.097489292977234E-15</v>
      </c>
      <c r="BS137" s="24">
        <f t="shared" si="117"/>
        <v>0.92926391726369673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-1.7053025658242404E-13</v>
      </c>
      <c r="O138" s="14">
        <f>N138*VLOOKUP('Données projet'!$B$9,Paramètres!$A$1:$I$89,3,0)*VLOOKUP('Données projet'!$B$9,Paramètres!$A$1:$I$89,5,0)</f>
        <v>-1.0197709343628959E-13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207.99520960626666</v>
      </c>
      <c r="T138" s="62">
        <f t="shared" si="142"/>
        <v>306.39565990874775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16.024794790478609</v>
      </c>
      <c r="AA138" s="23">
        <f>EXP(-LN(2)/25)*AA137+(1-EXP(-LN(2)/25))/(LN(2)/25)*Calculateur!V138*Calculateur!X138*VLOOKUP('Données projet'!$B$9,Paramètres!$A$1:$I$89,3,0)*0.475*44/12</f>
        <v>0.43713600654000173</v>
      </c>
      <c r="AB138" s="23">
        <f>EXP(-LN(2)/2)*AB137+(1-EXP(-LN(2)/2))/(LN(2)/2)*V138*Y138*VLOOKUP('Données projet'!$B$9,Paramètres!$A$1:$I$89,3,0)*0.475*44/12</f>
        <v>9.6717433962245107E-12</v>
      </c>
      <c r="AC138" s="24">
        <f t="shared" si="111"/>
        <v>16.46193079702828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5.3205440053716299E-14</v>
      </c>
      <c r="AK138" s="14">
        <f t="shared" si="143"/>
        <v>8.602146238565607E-13</v>
      </c>
      <c r="AL138" s="22">
        <f t="shared" si="112"/>
        <v>1.590873277977066E-12</v>
      </c>
      <c r="AM138" s="62">
        <f t="shared" si="113"/>
        <v>293.33333333333491</v>
      </c>
      <c r="AN138" s="62">
        <f ca="1">AVERAGE(OFFSET($AM$3,0,0,'Données projet'!$E$10+1,1))-AVERAGE(OFFSET($H$3,0,0,'Données projet'!$E$10+1,1))</f>
        <v>259.74478933784656</v>
      </c>
      <c r="AO138" s="62">
        <f t="shared" si="144"/>
        <v>223.74038909289646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6.3550942286383367E-14</v>
      </c>
      <c r="BF138" s="14">
        <f t="shared" si="145"/>
        <v>1.0064464192543978E-12</v>
      </c>
      <c r="BG138" s="22">
        <f t="shared" si="115"/>
        <v>1.8635787380168604E-12</v>
      </c>
      <c r="BH138" s="62">
        <f t="shared" si="116"/>
        <v>293.33333333333519</v>
      </c>
      <c r="BI138" s="62">
        <f ca="1">AVERAGE(OFFSET($BH$3,0,0,'Données projet'!$E$11+1,1))-AVERAGE(OFFSET($H$3,0,0,'Données projet'!$E$11+1,1))</f>
        <v>365.70510182727895</v>
      </c>
      <c r="BJ138" s="62">
        <f t="shared" si="146"/>
        <v>436.23833844962525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0.91104161864117472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2.8973624649034743E-15</v>
      </c>
      <c r="BS138" s="24">
        <f t="shared" si="117"/>
        <v>0.91104161864117761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-1.7053025658242404E-13</v>
      </c>
      <c r="O139" s="14">
        <f>N139*VLOOKUP('Données projet'!$B$9,Paramètres!$A$1:$I$89,3,0)*VLOOKUP('Données projet'!$B$9,Paramètres!$A$1:$I$89,5,0)</f>
        <v>-1.0197709343628959E-13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207.99520960626666</v>
      </c>
      <c r="T139" s="62">
        <f t="shared" si="142"/>
        <v>306.39565990874775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15.710558338797027</v>
      </c>
      <c r="AA139" s="23">
        <f>EXP(-LN(2)/25)*AA138+(1-EXP(-LN(2)/25))/(LN(2)/25)*Calculateur!V139*Calculateur!X139*VLOOKUP('Données projet'!$B$9,Paramètres!$A$1:$I$89,3,0)*0.475*44/12</f>
        <v>0.42518249945318187</v>
      </c>
      <c r="AB139" s="23">
        <f>EXP(-LN(2)/2)*AB138+(1-EXP(-LN(2)/2))/(LN(2)/2)*V139*Y139*VLOOKUP('Données projet'!$B$9,Paramètres!$A$1:$I$89,3,0)*0.475*44/12</f>
        <v>6.8389553413665612E-12</v>
      </c>
      <c r="AC139" s="24">
        <f t="shared" si="111"/>
        <v>16.135740838257046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5.3205440053716299E-14</v>
      </c>
      <c r="AK139" s="14">
        <f t="shared" si="143"/>
        <v>8.602146238565607E-13</v>
      </c>
      <c r="AL139" s="22">
        <f t="shared" si="112"/>
        <v>1.590873277977066E-12</v>
      </c>
      <c r="AM139" s="62">
        <f t="shared" si="113"/>
        <v>293.33333333333491</v>
      </c>
      <c r="AN139" s="62">
        <f ca="1">AVERAGE(OFFSET($AM$3,0,0,'Données projet'!$E$10+1,1))-AVERAGE(OFFSET($H$3,0,0,'Données projet'!$E$10+1,1))</f>
        <v>259.74478933784656</v>
      </c>
      <c r="AO139" s="62">
        <f t="shared" si="144"/>
        <v>223.74038909289646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6.3550942286383367E-14</v>
      </c>
      <c r="BF139" s="14">
        <f t="shared" si="145"/>
        <v>1.0064464192543978E-12</v>
      </c>
      <c r="BG139" s="22">
        <f t="shared" si="115"/>
        <v>1.8635787380168604E-12</v>
      </c>
      <c r="BH139" s="62">
        <f t="shared" si="116"/>
        <v>293.33333333333519</v>
      </c>
      <c r="BI139" s="62">
        <f ca="1">AVERAGE(OFFSET($BH$3,0,0,'Données projet'!$E$11+1,1))-AVERAGE(OFFSET($H$3,0,0,'Données projet'!$E$11+1,1))</f>
        <v>365.70510182727895</v>
      </c>
      <c r="BJ139" s="62">
        <f t="shared" si="146"/>
        <v>436.23833844962525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0.89317664818013975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2.048744646488617E-15</v>
      </c>
      <c r="BS139" s="24">
        <f t="shared" si="117"/>
        <v>0.89317664818014175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-1.7053025658242404E-13</v>
      </c>
      <c r="O140" s="14">
        <f>N140*VLOOKUP('Données projet'!$B$9,Paramètres!$A$1:$I$89,3,0)*VLOOKUP('Données projet'!$B$9,Paramètres!$A$1:$I$89,5,0)</f>
        <v>-1.0197709343628959E-13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207.99520960626666</v>
      </c>
      <c r="T140" s="62">
        <f t="shared" si="142"/>
        <v>306.39565990874775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15.402483872267611</v>
      </c>
      <c r="AA140" s="23">
        <f>EXP(-LN(2)/25)*AA139+(1-EXP(-LN(2)/25))/(LN(2)/25)*Calculateur!V140*Calculateur!X140*VLOOKUP('Données projet'!$B$9,Paramètres!$A$1:$I$89,3,0)*0.475*44/12</f>
        <v>0.41355586164625874</v>
      </c>
      <c r="AB140" s="23">
        <f>EXP(-LN(2)/2)*AB139+(1-EXP(-LN(2)/2))/(LN(2)/2)*V140*Y140*VLOOKUP('Données projet'!$B$9,Paramètres!$A$1:$I$89,3,0)*0.475*44/12</f>
        <v>4.8358716981122553E-12</v>
      </c>
      <c r="AC140" s="24">
        <f t="shared" si="111"/>
        <v>15.816039733918705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5.3205440053716299E-14</v>
      </c>
      <c r="AK140" s="14">
        <f t="shared" si="143"/>
        <v>8.602146238565607E-13</v>
      </c>
      <c r="AL140" s="22">
        <f t="shared" si="112"/>
        <v>1.590873277977066E-12</v>
      </c>
      <c r="AM140" s="62">
        <f t="shared" si="113"/>
        <v>293.33333333333491</v>
      </c>
      <c r="AN140" s="62">
        <f ca="1">AVERAGE(OFFSET($AM$3,0,0,'Données projet'!$E$10+1,1))-AVERAGE(OFFSET($H$3,0,0,'Données projet'!$E$10+1,1))</f>
        <v>259.74478933784656</v>
      </c>
      <c r="AO140" s="62">
        <f t="shared" si="144"/>
        <v>223.74038909289646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6.3550942286383367E-14</v>
      </c>
      <c r="BF140" s="14">
        <f t="shared" si="145"/>
        <v>1.0064464192543978E-12</v>
      </c>
      <c r="BG140" s="22">
        <f t="shared" si="115"/>
        <v>1.8635787380168604E-12</v>
      </c>
      <c r="BH140" s="62">
        <f t="shared" si="116"/>
        <v>293.33333333333519</v>
      </c>
      <c r="BI140" s="62">
        <f ca="1">AVERAGE(OFFSET($BH$3,0,0,'Données projet'!$E$11+1,1))-AVERAGE(OFFSET($H$3,0,0,'Données projet'!$E$11+1,1))</f>
        <v>365.70510182727895</v>
      </c>
      <c r="BJ140" s="62">
        <f t="shared" si="146"/>
        <v>436.23833844962525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0.87566199889328966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1.4486812324517372E-15</v>
      </c>
      <c r="BS140" s="24">
        <f t="shared" si="117"/>
        <v>0.8756619988932911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-1.7053025658242404E-13</v>
      </c>
      <c r="O141" s="14">
        <f>N141*VLOOKUP('Données projet'!$B$9,Paramètres!$A$1:$I$89,3,0)*VLOOKUP('Données projet'!$B$9,Paramètres!$A$1:$I$89,5,0)</f>
        <v>-1.0197709343628959E-13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207.99520960626666</v>
      </c>
      <c r="T141" s="62">
        <f t="shared" si="142"/>
        <v>306.39565990874775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15.100450558119967</v>
      </c>
      <c r="AA141" s="23">
        <f>EXP(-LN(2)/25)*AA140+(1-EXP(-LN(2)/25))/(LN(2)/25)*Calculateur!V141*Calculateur!X141*VLOOKUP('Données projet'!$B$9,Paramètres!$A$1:$I$89,3,0)*0.475*44/12</f>
        <v>0.40224715486158424</v>
      </c>
      <c r="AB141" s="23">
        <f>EXP(-LN(2)/2)*AB140+(1-EXP(-LN(2)/2))/(LN(2)/2)*V141*Y141*VLOOKUP('Données projet'!$B$9,Paramètres!$A$1:$I$89,3,0)*0.475*44/12</f>
        <v>3.4194776706832806E-12</v>
      </c>
      <c r="AC141" s="24">
        <f t="shared" si="111"/>
        <v>15.50269771298497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5.3205440053716299E-14</v>
      </c>
      <c r="AK141" s="14">
        <f t="shared" si="143"/>
        <v>8.602146238565607E-13</v>
      </c>
      <c r="AL141" s="22">
        <f t="shared" si="112"/>
        <v>1.590873277977066E-12</v>
      </c>
      <c r="AM141" s="62">
        <f t="shared" si="113"/>
        <v>293.33333333333491</v>
      </c>
      <c r="AN141" s="62">
        <f ca="1">AVERAGE(OFFSET($AM$3,0,0,'Données projet'!$E$10+1,1))-AVERAGE(OFFSET($H$3,0,0,'Données projet'!$E$10+1,1))</f>
        <v>259.74478933784656</v>
      </c>
      <c r="AO141" s="62">
        <f t="shared" si="144"/>
        <v>223.74038909289646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6.3550942286383367E-14</v>
      </c>
      <c r="BF141" s="14">
        <f t="shared" si="145"/>
        <v>1.0064464192543978E-12</v>
      </c>
      <c r="BG141" s="22">
        <f t="shared" si="115"/>
        <v>1.8635787380168604E-12</v>
      </c>
      <c r="BH141" s="62">
        <f t="shared" si="116"/>
        <v>293.33333333333519</v>
      </c>
      <c r="BI141" s="62">
        <f ca="1">AVERAGE(OFFSET($BH$3,0,0,'Données projet'!$E$11+1,1))-AVERAGE(OFFSET($H$3,0,0,'Données projet'!$E$11+1,1))</f>
        <v>365.70510182727895</v>
      </c>
      <c r="BJ141" s="62">
        <f t="shared" si="146"/>
        <v>436.23833844962525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0.85849080119607346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1.0243723232443085E-15</v>
      </c>
      <c r="BS141" s="24">
        <f t="shared" si="117"/>
        <v>0.85849080119607446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-1.7053025658242404E-13</v>
      </c>
      <c r="O142" s="14">
        <f>N142*VLOOKUP('Données projet'!$B$9,Paramètres!$A$1:$I$89,3,0)*VLOOKUP('Données projet'!$B$9,Paramètres!$A$1:$I$89,5,0)</f>
        <v>-1.0197709343628959E-13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207.99520960626666</v>
      </c>
      <c r="T142" s="62">
        <f t="shared" si="142"/>
        <v>306.39565990874775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14.804339933040627</v>
      </c>
      <c r="AA142" s="23">
        <f>EXP(-LN(2)/25)*AA141+(1-EXP(-LN(2)/25))/(LN(2)/25)*Calculateur!V142*Calculateur!X142*VLOOKUP('Données projet'!$B$9,Paramètres!$A$1:$I$89,3,0)*0.475*44/12</f>
        <v>0.39124768525863568</v>
      </c>
      <c r="AB142" s="23">
        <f>EXP(-LN(2)/2)*AB141+(1-EXP(-LN(2)/2))/(LN(2)/2)*V142*Y142*VLOOKUP('Données projet'!$B$9,Paramètres!$A$1:$I$89,3,0)*0.475*44/12</f>
        <v>2.4179358490561277E-12</v>
      </c>
      <c r="AC142" s="24">
        <f t="shared" si="111"/>
        <v>15.19558761830168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5.3205440053716299E-14</v>
      </c>
      <c r="AK142" s="14">
        <f t="shared" si="143"/>
        <v>8.602146238565607E-13</v>
      </c>
      <c r="AL142" s="22">
        <f t="shared" si="112"/>
        <v>1.590873277977066E-12</v>
      </c>
      <c r="AM142" s="62">
        <f t="shared" si="113"/>
        <v>293.33333333333491</v>
      </c>
      <c r="AN142" s="62">
        <f ca="1">AVERAGE(OFFSET($AM$3,0,0,'Données projet'!$E$10+1,1))-AVERAGE(OFFSET($H$3,0,0,'Données projet'!$E$10+1,1))</f>
        <v>259.74478933784656</v>
      </c>
      <c r="AO142" s="62">
        <f t="shared" si="144"/>
        <v>223.74038909289646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6.3550942286383367E-14</v>
      </c>
      <c r="BF142" s="14">
        <f t="shared" si="145"/>
        <v>1.0064464192543978E-12</v>
      </c>
      <c r="BG142" s="22">
        <f t="shared" si="115"/>
        <v>1.8635787380168604E-12</v>
      </c>
      <c r="BH142" s="62">
        <f t="shared" si="116"/>
        <v>293.33333333333519</v>
      </c>
      <c r="BI142" s="62">
        <f ca="1">AVERAGE(OFFSET($BH$3,0,0,'Données projet'!$E$11+1,1))-AVERAGE(OFFSET($H$3,0,0,'Données projet'!$E$11+1,1))</f>
        <v>365.70510182727895</v>
      </c>
      <c r="BJ142" s="62">
        <f t="shared" si="146"/>
        <v>436.23833844962525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0.8416563202123033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7.2434061622586859E-16</v>
      </c>
      <c r="BS142" s="24">
        <f t="shared" si="117"/>
        <v>0.84165632021230408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-1.7053025658242404E-13</v>
      </c>
      <c r="O143" s="14">
        <f>N143*VLOOKUP('Données projet'!$B$9,Paramètres!$A$1:$I$89,3,0)*VLOOKUP('Données projet'!$B$9,Paramètres!$A$1:$I$89,5,0)</f>
        <v>-1.0197709343628959E-13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207.99520960626666</v>
      </c>
      <c r="T143" s="62">
        <f t="shared" si="142"/>
        <v>306.39565990874775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14.514035856709445</v>
      </c>
      <c r="AA143" s="23">
        <f>EXP(-LN(2)/25)*AA142+(1-EXP(-LN(2)/25))/(LN(2)/25)*Calculateur!V143*Calculateur!X143*VLOOKUP('Données projet'!$B$9,Paramètres!$A$1:$I$89,3,0)*0.475*44/12</f>
        <v>0.38054899673041676</v>
      </c>
      <c r="AB143" s="23">
        <f>EXP(-LN(2)/2)*AB142+(1-EXP(-LN(2)/2))/(LN(2)/2)*V143*Y143*VLOOKUP('Données projet'!$B$9,Paramètres!$A$1:$I$89,3,0)*0.475*44/12</f>
        <v>1.7097388353416403E-12</v>
      </c>
      <c r="AC143" s="24">
        <f t="shared" si="111"/>
        <v>14.89458485344157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5.3205440053716299E-14</v>
      </c>
      <c r="AK143" s="14">
        <f t="shared" si="143"/>
        <v>8.602146238565607E-13</v>
      </c>
      <c r="AL143" s="22">
        <f t="shared" si="112"/>
        <v>1.590873277977066E-12</v>
      </c>
      <c r="AM143" s="62">
        <f t="shared" si="113"/>
        <v>293.33333333333491</v>
      </c>
      <c r="AN143" s="62">
        <f ca="1">AVERAGE(OFFSET($AM$3,0,0,'Données projet'!$E$10+1,1))-AVERAGE(OFFSET($H$3,0,0,'Données projet'!$E$10+1,1))</f>
        <v>259.74478933784656</v>
      </c>
      <c r="AO143" s="62">
        <f t="shared" si="144"/>
        <v>223.74038909289646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6.3550942286383367E-14</v>
      </c>
      <c r="BF143" s="14">
        <f t="shared" si="145"/>
        <v>1.0064464192543978E-12</v>
      </c>
      <c r="BG143" s="22">
        <f t="shared" si="115"/>
        <v>1.8635787380168604E-12</v>
      </c>
      <c r="BH143" s="62">
        <f t="shared" si="116"/>
        <v>293.33333333333519</v>
      </c>
      <c r="BI143" s="62">
        <f ca="1">AVERAGE(OFFSET($BH$3,0,0,'Données projet'!$E$11+1,1))-AVERAGE(OFFSET($H$3,0,0,'Données projet'!$E$11+1,1))</f>
        <v>365.70510182727895</v>
      </c>
      <c r="BJ143" s="62">
        <f t="shared" si="146"/>
        <v>436.23833844962525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0.82515195313260525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5.1218616162215425E-16</v>
      </c>
      <c r="BS143" s="24">
        <f t="shared" si="117"/>
        <v>0.82515195313260581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-1.7053025658242404E-13</v>
      </c>
      <c r="O144" s="14">
        <f>N144*VLOOKUP('Données projet'!$B$9,Paramètres!$A$1:$I$89,3,0)*VLOOKUP('Données projet'!$B$9,Paramètres!$A$1:$I$89,5,0)</f>
        <v>-1.0197709343628959E-13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207.99520960626666</v>
      </c>
      <c r="T144" s="62">
        <f t="shared" si="142"/>
        <v>306.39565990874775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14.229424466247115</v>
      </c>
      <c r="AA144" s="23">
        <f>EXP(-LN(2)/25)*AA143+(1-EXP(-LN(2)/25))/(LN(2)/25)*Calculateur!V144*Calculateur!X144*VLOOKUP('Données projet'!$B$9,Paramètres!$A$1:$I$89,3,0)*0.475*44/12</f>
        <v>0.37014286440262151</v>
      </c>
      <c r="AB144" s="23">
        <f>EXP(-LN(2)/2)*AB143+(1-EXP(-LN(2)/2))/(LN(2)/2)*V144*Y144*VLOOKUP('Données projet'!$B$9,Paramètres!$A$1:$I$89,3,0)*0.475*44/12</f>
        <v>1.2089679245280638E-12</v>
      </c>
      <c r="AC144" s="24">
        <f t="shared" si="111"/>
        <v>14.599567330650947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5.3205440053716299E-14</v>
      </c>
      <c r="AK144" s="14">
        <f t="shared" si="143"/>
        <v>8.602146238565607E-13</v>
      </c>
      <c r="AL144" s="22">
        <f t="shared" si="112"/>
        <v>1.590873277977066E-12</v>
      </c>
      <c r="AM144" s="62">
        <f t="shared" si="113"/>
        <v>293.33333333333491</v>
      </c>
      <c r="AN144" s="62">
        <f ca="1">AVERAGE(OFFSET($AM$3,0,0,'Données projet'!$E$10+1,1))-AVERAGE(OFFSET($H$3,0,0,'Données projet'!$E$10+1,1))</f>
        <v>259.74478933784656</v>
      </c>
      <c r="AO144" s="62">
        <f t="shared" si="144"/>
        <v>223.74038909289646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6.3550942286383367E-14</v>
      </c>
      <c r="BF144" s="14">
        <f t="shared" si="145"/>
        <v>1.0064464192543978E-12</v>
      </c>
      <c r="BG144" s="22">
        <f t="shared" si="115"/>
        <v>1.8635787380168604E-12</v>
      </c>
      <c r="BH144" s="62">
        <f t="shared" si="116"/>
        <v>293.33333333333519</v>
      </c>
      <c r="BI144" s="62">
        <f ca="1">AVERAGE(OFFSET($BH$3,0,0,'Données projet'!$E$11+1,1))-AVERAGE(OFFSET($H$3,0,0,'Données projet'!$E$11+1,1))</f>
        <v>365.70510182727895</v>
      </c>
      <c r="BJ144" s="62">
        <f t="shared" si="146"/>
        <v>436.23833844962525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0.80897122662467025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3.6217030811293429E-16</v>
      </c>
      <c r="BS144" s="24">
        <f t="shared" si="117"/>
        <v>0.80897122662467058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-1.7053025658242404E-13</v>
      </c>
      <c r="O145" s="14">
        <f>N145*VLOOKUP('Données projet'!$B$9,Paramètres!$A$1:$I$89,3,0)*VLOOKUP('Données projet'!$B$9,Paramètres!$A$1:$I$89,5,0)</f>
        <v>-1.0197709343628959E-13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207.99520960626666</v>
      </c>
      <c r="T145" s="62">
        <f t="shared" si="142"/>
        <v>306.39565990874775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13.950394131555944</v>
      </c>
      <c r="AA145" s="23">
        <f>EXP(-LN(2)/25)*AA144+(1-EXP(-LN(2)/25))/(LN(2)/25)*Calculateur!V145*Calculateur!X145*VLOOKUP('Données projet'!$B$9,Paramètres!$A$1:$I$89,3,0)*0.475*44/12</f>
        <v>0.36002128831056457</v>
      </c>
      <c r="AB145" s="23">
        <f>EXP(-LN(2)/2)*AB144+(1-EXP(-LN(2)/2))/(LN(2)/2)*V145*Y145*VLOOKUP('Données projet'!$B$9,Paramètres!$A$1:$I$89,3,0)*0.475*44/12</f>
        <v>8.5486941767082015E-13</v>
      </c>
      <c r="AC145" s="24">
        <f t="shared" si="111"/>
        <v>14.310415419867363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5.3205440053716299E-14</v>
      </c>
      <c r="AK145" s="14">
        <f t="shared" si="143"/>
        <v>8.602146238565607E-13</v>
      </c>
      <c r="AL145" s="22">
        <f t="shared" si="112"/>
        <v>1.590873277977066E-12</v>
      </c>
      <c r="AM145" s="62">
        <f t="shared" si="113"/>
        <v>293.33333333333491</v>
      </c>
      <c r="AN145" s="62">
        <f ca="1">AVERAGE(OFFSET($AM$3,0,0,'Données projet'!$E$10+1,1))-AVERAGE(OFFSET($H$3,0,0,'Données projet'!$E$10+1,1))</f>
        <v>259.74478933784656</v>
      </c>
      <c r="AO145" s="62">
        <f t="shared" si="144"/>
        <v>223.74038909289646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6.3550942286383367E-14</v>
      </c>
      <c r="BF145" s="14">
        <f t="shared" si="145"/>
        <v>1.0064464192543978E-12</v>
      </c>
      <c r="BG145" s="22">
        <f t="shared" si="115"/>
        <v>1.8635787380168604E-12</v>
      </c>
      <c r="BH145" s="62">
        <f t="shared" si="116"/>
        <v>293.33333333333519</v>
      </c>
      <c r="BI145" s="62">
        <f ca="1">AVERAGE(OFFSET($BH$3,0,0,'Données projet'!$E$11+1,1))-AVERAGE(OFFSET($H$3,0,0,'Données projet'!$E$11+1,1))</f>
        <v>365.70510182727895</v>
      </c>
      <c r="BJ145" s="62">
        <f t="shared" si="146"/>
        <v>436.23833844962525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0.79310779429428713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2.5609308081107713E-16</v>
      </c>
      <c r="BS145" s="24">
        <f t="shared" si="117"/>
        <v>0.79310779429428735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-1.7053025658242404E-13</v>
      </c>
      <c r="O146" s="14">
        <f>N146*VLOOKUP('Données projet'!$B$9,Paramètres!$A$1:$I$89,3,0)*VLOOKUP('Données projet'!$B$9,Paramètres!$A$1:$I$89,5,0)</f>
        <v>-1.0197709343628959E-13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207.99520960626666</v>
      </c>
      <c r="T146" s="62">
        <f t="shared" si="142"/>
        <v>306.39565990874775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13.676835411536368</v>
      </c>
      <c r="AA146" s="23">
        <f>EXP(-LN(2)/25)*AA145+(1-EXP(-LN(2)/25))/(LN(2)/25)*Calculateur!V146*Calculateur!X146*VLOOKUP('Données projet'!$B$9,Paramètres!$A$1:$I$89,3,0)*0.475*44/12</f>
        <v>0.35017648724901546</v>
      </c>
      <c r="AB146" s="23">
        <f>EXP(-LN(2)/2)*AB145+(1-EXP(-LN(2)/2))/(LN(2)/2)*V146*Y146*VLOOKUP('Données projet'!$B$9,Paramètres!$A$1:$I$89,3,0)*0.475*44/12</f>
        <v>6.0448396226403192E-13</v>
      </c>
      <c r="AC146" s="24">
        <f t="shared" si="111"/>
        <v>14.027011898785988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5.3205440053716299E-14</v>
      </c>
      <c r="AK146" s="14">
        <f t="shared" si="143"/>
        <v>8.602146238565607E-13</v>
      </c>
      <c r="AL146" s="22">
        <f t="shared" si="112"/>
        <v>1.590873277977066E-12</v>
      </c>
      <c r="AM146" s="62">
        <f t="shared" si="113"/>
        <v>293.33333333333491</v>
      </c>
      <c r="AN146" s="62">
        <f ca="1">AVERAGE(OFFSET($AM$3,0,0,'Données projet'!$E$10+1,1))-AVERAGE(OFFSET($H$3,0,0,'Données projet'!$E$10+1,1))</f>
        <v>259.74478933784656</v>
      </c>
      <c r="AO146" s="62">
        <f t="shared" si="144"/>
        <v>223.74038909289646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6.3550942286383367E-14</v>
      </c>
      <c r="BF146" s="14">
        <f t="shared" si="145"/>
        <v>1.0064464192543978E-12</v>
      </c>
      <c r="BG146" s="22">
        <f t="shared" si="115"/>
        <v>1.8635787380168604E-12</v>
      </c>
      <c r="BH146" s="62">
        <f t="shared" si="116"/>
        <v>293.33333333333519</v>
      </c>
      <c r="BI146" s="62">
        <f ca="1">AVERAGE(OFFSET($BH$3,0,0,'Données projet'!$E$11+1,1))-AVERAGE(OFFSET($H$3,0,0,'Données projet'!$E$11+1,1))</f>
        <v>365.70510182727895</v>
      </c>
      <c r="BJ146" s="62">
        <f t="shared" si="146"/>
        <v>436.23833844962525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0.77755543419616457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1.8108515405646715E-16</v>
      </c>
      <c r="BS146" s="24">
        <f t="shared" si="117"/>
        <v>0.7775554341961648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-1.7053025658242404E-13</v>
      </c>
      <c r="O147" s="14">
        <f>N147*VLOOKUP('Données projet'!$B$9,Paramètres!$A$1:$I$89,3,0)*VLOOKUP('Données projet'!$B$9,Paramètres!$A$1:$I$89,5,0)</f>
        <v>-1.0197709343628959E-13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207.99520960626666</v>
      </c>
      <c r="T147" s="62">
        <f t="shared" si="142"/>
        <v>306.39565990874775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13.408641011162032</v>
      </c>
      <c r="AA147" s="23">
        <f>EXP(-LN(2)/25)*AA146+(1-EXP(-LN(2)/25))/(LN(2)/25)*Calculateur!V147*Calculateur!X147*VLOOKUP('Données projet'!$B$9,Paramètres!$A$1:$I$89,3,0)*0.475*44/12</f>
        <v>0.34060089279021</v>
      </c>
      <c r="AB147" s="23">
        <f>EXP(-LN(2)/2)*AB146+(1-EXP(-LN(2)/2))/(LN(2)/2)*V147*Y147*VLOOKUP('Données projet'!$B$9,Paramètres!$A$1:$I$89,3,0)*0.475*44/12</f>
        <v>4.2743470883541007E-13</v>
      </c>
      <c r="AC147" s="24">
        <f t="shared" si="111"/>
        <v>13.749241903952671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5.3205440053716299E-14</v>
      </c>
      <c r="AK147" s="14">
        <f t="shared" si="143"/>
        <v>8.602146238565607E-13</v>
      </c>
      <c r="AL147" s="22">
        <f t="shared" si="112"/>
        <v>1.590873277977066E-12</v>
      </c>
      <c r="AM147" s="62">
        <f t="shared" si="113"/>
        <v>293.33333333333491</v>
      </c>
      <c r="AN147" s="62">
        <f ca="1">AVERAGE(OFFSET($AM$3,0,0,'Données projet'!$E$10+1,1))-AVERAGE(OFFSET($H$3,0,0,'Données projet'!$E$10+1,1))</f>
        <v>259.74478933784656</v>
      </c>
      <c r="AO147" s="62">
        <f t="shared" si="144"/>
        <v>223.74038909289646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6.3550942286383367E-14</v>
      </c>
      <c r="BF147" s="14">
        <f t="shared" si="145"/>
        <v>1.0064464192543978E-12</v>
      </c>
      <c r="BG147" s="22">
        <f t="shared" si="115"/>
        <v>1.8635787380168604E-12</v>
      </c>
      <c r="BH147" s="62">
        <f t="shared" si="116"/>
        <v>293.33333333333519</v>
      </c>
      <c r="BI147" s="62">
        <f ca="1">AVERAGE(OFFSET($BH$3,0,0,'Données projet'!$E$11+1,1))-AVERAGE(OFFSET($H$3,0,0,'Données projet'!$E$11+1,1))</f>
        <v>365.70510182727895</v>
      </c>
      <c r="BJ147" s="62">
        <f t="shared" si="146"/>
        <v>436.23833844962525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0.7623080463935632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1.2804654040553856E-16</v>
      </c>
      <c r="BS147" s="24">
        <f t="shared" si="117"/>
        <v>0.76230804639356331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-1.7053025658242404E-13</v>
      </c>
      <c r="O148" s="14">
        <f>N148*VLOOKUP('Données projet'!$B$9,Paramètres!$A$1:$I$89,3,0)*VLOOKUP('Données projet'!$B$9,Paramètres!$A$1:$I$89,5,0)</f>
        <v>-1.0197709343628959E-13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207.99520960626666</v>
      </c>
      <c r="T148" s="62">
        <f t="shared" si="142"/>
        <v>306.39565990874775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13.145705739396606</v>
      </c>
      <c r="AA148" s="23">
        <f>EXP(-LN(2)/25)*AA147+(1-EXP(-LN(2)/25))/(LN(2)/25)*Calculateur!V148*Calculateur!X148*VLOOKUP('Données projet'!$B$9,Paramètres!$A$1:$I$89,3,0)*0.475*44/12</f>
        <v>0.33128714346543919</v>
      </c>
      <c r="AB148" s="23">
        <f>EXP(-LN(2)/2)*AB147+(1-EXP(-LN(2)/2))/(LN(2)/2)*V148*Y148*VLOOKUP('Données projet'!$B$9,Paramètres!$A$1:$I$89,3,0)*0.475*44/12</f>
        <v>3.0224198113201596E-13</v>
      </c>
      <c r="AC148" s="24">
        <f t="shared" si="111"/>
        <v>13.476992882862348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5.3205440053716299E-14</v>
      </c>
      <c r="AK148" s="14">
        <f t="shared" si="143"/>
        <v>8.602146238565607E-13</v>
      </c>
      <c r="AL148" s="22">
        <f t="shared" si="112"/>
        <v>1.590873277977066E-12</v>
      </c>
      <c r="AM148" s="62">
        <f t="shared" si="113"/>
        <v>293.33333333333491</v>
      </c>
      <c r="AN148" s="62">
        <f ca="1">AVERAGE(OFFSET($AM$3,0,0,'Données projet'!$E$10+1,1))-AVERAGE(OFFSET($H$3,0,0,'Données projet'!$E$10+1,1))</f>
        <v>259.74478933784656</v>
      </c>
      <c r="AO148" s="62">
        <f t="shared" si="144"/>
        <v>223.74038909289646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6.3550942286383367E-14</v>
      </c>
      <c r="BF148" s="14">
        <f t="shared" si="145"/>
        <v>1.0064464192543978E-12</v>
      </c>
      <c r="BG148" s="22">
        <f t="shared" si="115"/>
        <v>1.8635787380168604E-12</v>
      </c>
      <c r="BH148" s="62">
        <f t="shared" si="116"/>
        <v>293.33333333333519</v>
      </c>
      <c r="BI148" s="62">
        <f ca="1">AVERAGE(OFFSET($BH$3,0,0,'Données projet'!$E$11+1,1))-AVERAGE(OFFSET($H$3,0,0,'Données projet'!$E$11+1,1))</f>
        <v>365.70510182727895</v>
      </c>
      <c r="BJ148" s="62">
        <f t="shared" si="146"/>
        <v>436.23833844962525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0.74735965056578257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9.0542577028233573E-17</v>
      </c>
      <c r="BS148" s="24">
        <f t="shared" si="117"/>
        <v>0.74735965056578268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-1.7053025658242404E-13</v>
      </c>
      <c r="O149" s="14">
        <f>N149*VLOOKUP('Données projet'!$B$9,Paramètres!$A$1:$I$89,3,0)*VLOOKUP('Données projet'!$B$9,Paramètres!$A$1:$I$89,5,0)</f>
        <v>-1.0197709343628959E-13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207.99520960626666</v>
      </c>
      <c r="T149" s="62">
        <f t="shared" si="142"/>
        <v>306.39565990874775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12.887926467935818</v>
      </c>
      <c r="AA149" s="23">
        <f>EXP(-LN(2)/25)*AA148+(1-EXP(-LN(2)/25))/(LN(2)/25)*Calculateur!V149*Calculateur!X149*VLOOKUP('Données projet'!$B$9,Paramètres!$A$1:$I$89,3,0)*0.475*44/12</f>
        <v>0.32222807910574303</v>
      </c>
      <c r="AB149" s="23">
        <f>EXP(-LN(2)/2)*AB148+(1-EXP(-LN(2)/2))/(LN(2)/2)*V149*Y149*VLOOKUP('Données projet'!$B$9,Paramètres!$A$1:$I$89,3,0)*0.475*44/12</f>
        <v>2.1371735441770504E-13</v>
      </c>
      <c r="AC149" s="24">
        <f t="shared" si="111"/>
        <v>13.210154547041775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5.3205440053716299E-14</v>
      </c>
      <c r="AK149" s="14">
        <f t="shared" si="143"/>
        <v>8.602146238565607E-13</v>
      </c>
      <c r="AL149" s="22">
        <f t="shared" si="112"/>
        <v>1.590873277977066E-12</v>
      </c>
      <c r="AM149" s="62">
        <f t="shared" si="113"/>
        <v>293.33333333333491</v>
      </c>
      <c r="AN149" s="62">
        <f ca="1">AVERAGE(OFFSET($AM$3,0,0,'Données projet'!$E$10+1,1))-AVERAGE(OFFSET($H$3,0,0,'Données projet'!$E$10+1,1))</f>
        <v>259.74478933784656</v>
      </c>
      <c r="AO149" s="62">
        <f t="shared" si="144"/>
        <v>223.74038909289646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6.3550942286383367E-14</v>
      </c>
      <c r="BF149" s="14">
        <f t="shared" si="145"/>
        <v>1.0064464192543978E-12</v>
      </c>
      <c r="BG149" s="22">
        <f t="shared" si="115"/>
        <v>1.8635787380168604E-12</v>
      </c>
      <c r="BH149" s="62">
        <f t="shared" si="116"/>
        <v>293.33333333333519</v>
      </c>
      <c r="BI149" s="62">
        <f ca="1">AVERAGE(OFFSET($BH$3,0,0,'Données projet'!$E$11+1,1))-AVERAGE(OFFSET($H$3,0,0,'Données projet'!$E$11+1,1))</f>
        <v>365.70510182727895</v>
      </c>
      <c r="BJ149" s="62">
        <f t="shared" si="146"/>
        <v>436.23833844962525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0.73270438366256352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6.4023270202769281E-17</v>
      </c>
      <c r="BS149" s="24">
        <f t="shared" si="117"/>
        <v>0.73270438366256363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-1.7053025658242404E-13</v>
      </c>
      <c r="O150" s="14">
        <f>N150*VLOOKUP('Données projet'!$B$9,Paramètres!$A$1:$I$89,3,0)*VLOOKUP('Données projet'!$B$9,Paramètres!$A$1:$I$89,5,0)</f>
        <v>-1.0197709343628959E-13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207.99520960626666</v>
      </c>
      <c r="T150" s="62">
        <f t="shared" si="142"/>
        <v>306.39565990874775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12.635202090758547</v>
      </c>
      <c r="AA150" s="23">
        <f>EXP(-LN(2)/25)*AA149+(1-EXP(-LN(2)/25))/(LN(2)/25)*Calculateur!V150*Calculateur!X150*VLOOKUP('Données projet'!$B$9,Paramètres!$A$1:$I$89,3,0)*0.475*44/12</f>
        <v>0.31341673533735825</v>
      </c>
      <c r="AB150" s="23">
        <f>EXP(-LN(2)/2)*AB149+(1-EXP(-LN(2)/2))/(LN(2)/2)*V150*Y150*VLOOKUP('Données projet'!$B$9,Paramètres!$A$1:$I$89,3,0)*0.475*44/12</f>
        <v>1.5112099056600798E-13</v>
      </c>
      <c r="AC150" s="24">
        <f t="shared" si="111"/>
        <v>12.948618826096057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5.3205440053716299E-14</v>
      </c>
      <c r="AK150" s="14">
        <f t="shared" si="143"/>
        <v>8.602146238565607E-13</v>
      </c>
      <c r="AL150" s="22">
        <f t="shared" si="112"/>
        <v>1.590873277977066E-12</v>
      </c>
      <c r="AM150" s="62">
        <f t="shared" si="113"/>
        <v>293.33333333333491</v>
      </c>
      <c r="AN150" s="62">
        <f ca="1">AVERAGE(OFFSET($AM$3,0,0,'Données projet'!$E$10+1,1))-AVERAGE(OFFSET($H$3,0,0,'Données projet'!$E$10+1,1))</f>
        <v>259.74478933784656</v>
      </c>
      <c r="AO150" s="62">
        <f t="shared" si="144"/>
        <v>223.74038909289646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6.3550942286383367E-14</v>
      </c>
      <c r="BF150" s="14">
        <f t="shared" si="145"/>
        <v>1.0064464192543978E-12</v>
      </c>
      <c r="BG150" s="22">
        <f t="shared" si="115"/>
        <v>1.8635787380168604E-12</v>
      </c>
      <c r="BH150" s="62">
        <f t="shared" si="116"/>
        <v>293.33333333333519</v>
      </c>
      <c r="BI150" s="62">
        <f ca="1">AVERAGE(OFFSET($BH$3,0,0,'Données projet'!$E$11+1,1))-AVERAGE(OFFSET($H$3,0,0,'Données projet'!$E$11+1,1))</f>
        <v>365.70510182727895</v>
      </c>
      <c r="BJ150" s="62">
        <f t="shared" si="146"/>
        <v>436.23833844962525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0.71833649760448648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4.5271288514116787E-17</v>
      </c>
      <c r="BS150" s="24">
        <f t="shared" si="117"/>
        <v>0.71833649760448648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-1.7053025658242404E-13</v>
      </c>
      <c r="O151" s="14">
        <f>N151*VLOOKUP('Données projet'!$B$9,Paramètres!$A$1:$I$89,3,0)*VLOOKUP('Données projet'!$B$9,Paramètres!$A$1:$I$89,5,0)</f>
        <v>-1.0197709343628959E-13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207.99520960626666</v>
      </c>
      <c r="T151" s="62">
        <f t="shared" si="142"/>
        <v>306.39565990874775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12.387433484471073</v>
      </c>
      <c r="AA151" s="23">
        <f>EXP(-LN(2)/25)*AA150+(1-EXP(-LN(2)/25))/(LN(2)/25)*Calculateur!V151*Calculateur!X151*VLOOKUP('Données projet'!$B$9,Paramètres!$A$1:$I$89,3,0)*0.475*44/12</f>
        <v>0.30484633822768842</v>
      </c>
      <c r="AB151" s="23">
        <f>EXP(-LN(2)/2)*AB150+(1-EXP(-LN(2)/2))/(LN(2)/2)*V151*Y151*VLOOKUP('Données projet'!$B$9,Paramètres!$A$1:$I$89,3,0)*0.475*44/12</f>
        <v>1.0685867720885252E-13</v>
      </c>
      <c r="AC151" s="24">
        <f t="shared" si="111"/>
        <v>12.692279822698868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5.3205440053716299E-14</v>
      </c>
      <c r="AK151" s="14">
        <f t="shared" si="143"/>
        <v>8.602146238565607E-13</v>
      </c>
      <c r="AL151" s="22">
        <f t="shared" si="112"/>
        <v>1.590873277977066E-12</v>
      </c>
      <c r="AM151" s="62">
        <f t="shared" si="113"/>
        <v>293.33333333333491</v>
      </c>
      <c r="AN151" s="62">
        <f ca="1">AVERAGE(OFFSET($AM$3,0,0,'Données projet'!$E$10+1,1))-AVERAGE(OFFSET($H$3,0,0,'Données projet'!$E$10+1,1))</f>
        <v>259.74478933784656</v>
      </c>
      <c r="AO151" s="62">
        <f t="shared" si="144"/>
        <v>223.74038909289646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6.3550942286383367E-14</v>
      </c>
      <c r="BF151" s="14">
        <f t="shared" si="145"/>
        <v>1.0064464192543978E-12</v>
      </c>
      <c r="BG151" s="22">
        <f t="shared" si="115"/>
        <v>1.8635787380168604E-12</v>
      </c>
      <c r="BH151" s="62">
        <f t="shared" si="116"/>
        <v>293.33333333333519</v>
      </c>
      <c r="BI151" s="62">
        <f ca="1">AVERAGE(OFFSET($BH$3,0,0,'Données projet'!$E$11+1,1))-AVERAGE(OFFSET($H$3,0,0,'Données projet'!$E$11+1,1))</f>
        <v>365.70510182727895</v>
      </c>
      <c r="BJ151" s="62">
        <f t="shared" si="146"/>
        <v>436.23833844962525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0.70425035702846306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3.2011635101384641E-17</v>
      </c>
      <c r="BS151" s="24">
        <f t="shared" si="117"/>
        <v>0.70425035702846306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-1.7053025658242404E-13</v>
      </c>
      <c r="O152" s="14">
        <f>N152*VLOOKUP('Données projet'!$B$9,Paramètres!$A$1:$I$89,3,0)*VLOOKUP('Données projet'!$B$9,Paramètres!$A$1:$I$89,5,0)</f>
        <v>-1.0197709343628959E-13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207.99520960626666</v>
      </c>
      <c r="T152" s="62">
        <f t="shared" si="142"/>
        <v>306.39565990874775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12.144523469428968</v>
      </c>
      <c r="AA152" s="23">
        <f>EXP(-LN(2)/25)*AA151+(1-EXP(-LN(2)/25))/(LN(2)/25)*Calculateur!V152*Calculateur!X152*VLOOKUP('Données projet'!$B$9,Paramètres!$A$1:$I$89,3,0)*0.475*44/12</f>
        <v>0.29651029907768006</v>
      </c>
      <c r="AB152" s="23">
        <f>EXP(-LN(2)/2)*AB151+(1-EXP(-LN(2)/2))/(LN(2)/2)*V152*Y152*VLOOKUP('Données projet'!$B$9,Paramètres!$A$1:$I$89,3,0)*0.475*44/12</f>
        <v>7.556049528300399E-14</v>
      </c>
      <c r="AC152" s="24">
        <f t="shared" si="111"/>
        <v>12.441033768506724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5.3205440053716299E-14</v>
      </c>
      <c r="AK152" s="14">
        <f t="shared" si="143"/>
        <v>8.602146238565607E-13</v>
      </c>
      <c r="AL152" s="22">
        <f t="shared" si="112"/>
        <v>1.590873277977066E-12</v>
      </c>
      <c r="AM152" s="62">
        <f t="shared" si="113"/>
        <v>293.33333333333491</v>
      </c>
      <c r="AN152" s="62">
        <f ca="1">AVERAGE(OFFSET($AM$3,0,0,'Données projet'!$E$10+1,1))-AVERAGE(OFFSET($H$3,0,0,'Données projet'!$E$10+1,1))</f>
        <v>259.74478933784656</v>
      </c>
      <c r="AO152" s="62">
        <f t="shared" si="144"/>
        <v>223.74038909289646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6.3550942286383367E-14</v>
      </c>
      <c r="BF152" s="14">
        <f t="shared" si="145"/>
        <v>1.0064464192543978E-12</v>
      </c>
      <c r="BG152" s="22">
        <f t="shared" si="115"/>
        <v>1.8635787380168604E-12</v>
      </c>
      <c r="BH152" s="62">
        <f t="shared" si="116"/>
        <v>293.33333333333519</v>
      </c>
      <c r="BI152" s="62">
        <f ca="1">AVERAGE(OFFSET($BH$3,0,0,'Données projet'!$E$11+1,1))-AVERAGE(OFFSET($H$3,0,0,'Données projet'!$E$11+1,1))</f>
        <v>365.70510182727895</v>
      </c>
      <c r="BJ152" s="62">
        <f t="shared" si="146"/>
        <v>436.23833844962525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0.69044043707743807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2.2635644257058393E-17</v>
      </c>
      <c r="BS152" s="24">
        <f t="shared" si="117"/>
        <v>0.69044043707743807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-1.7053025658242404E-13</v>
      </c>
      <c r="O153" s="14">
        <f>N153*VLOOKUP('Données projet'!$B$9,Paramètres!$A$1:$I$89,3,0)*VLOOKUP('Données projet'!$B$9,Paramètres!$A$1:$I$89,5,0)</f>
        <v>-1.0197709343628959E-13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207.99520960626666</v>
      </c>
      <c r="T153" s="62">
        <f t="shared" si="142"/>
        <v>306.39565990874775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11.90637677162136</v>
      </c>
      <c r="AA153" s="23">
        <f>EXP(-LN(2)/25)*AA152+(1-EXP(-LN(2)/25))/(LN(2)/25)*Calculateur!V153*Calculateur!X153*VLOOKUP('Données projet'!$B$9,Paramètres!$A$1:$I$89,3,0)*0.475*44/12</f>
        <v>0.28840220935660194</v>
      </c>
      <c r="AB153" s="23">
        <f>EXP(-LN(2)/2)*AB152+(1-EXP(-LN(2)/2))/(LN(2)/2)*V153*Y153*VLOOKUP('Données projet'!$B$9,Paramètres!$A$1:$I$89,3,0)*0.475*44/12</f>
        <v>5.3429338604426259E-14</v>
      </c>
      <c r="AC153" s="24">
        <f t="shared" si="111"/>
        <v>12.194778980978016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5.3205440053716299E-14</v>
      </c>
      <c r="AK153" s="14">
        <f t="shared" si="143"/>
        <v>8.602146238565607E-13</v>
      </c>
      <c r="AL153" s="22">
        <f t="shared" si="112"/>
        <v>1.590873277977066E-12</v>
      </c>
      <c r="AM153" s="62">
        <f t="shared" si="113"/>
        <v>293.33333333333491</v>
      </c>
      <c r="AN153" s="62">
        <f ca="1">AVERAGE(OFFSET($AM$3,0,0,'Données projet'!$E$10+1,1))-AVERAGE(OFFSET($H$3,0,0,'Données projet'!$E$10+1,1))</f>
        <v>259.74478933784656</v>
      </c>
      <c r="AO153" s="62">
        <f t="shared" si="144"/>
        <v>223.74038909289646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6.3550942286383367E-14</v>
      </c>
      <c r="BF153" s="14">
        <f t="shared" si="145"/>
        <v>1.0064464192543978E-12</v>
      </c>
      <c r="BG153" s="22">
        <f t="shared" si="115"/>
        <v>1.8635787380168604E-12</v>
      </c>
      <c r="BH153" s="62">
        <f t="shared" si="116"/>
        <v>293.33333333333519</v>
      </c>
      <c r="BI153" s="62">
        <f ca="1">AVERAGE(OFFSET($BH$3,0,0,'Données projet'!$E$11+1,1))-AVERAGE(OFFSET($H$3,0,0,'Données projet'!$E$11+1,1))</f>
        <v>365.70510182727895</v>
      </c>
      <c r="BJ153" s="62">
        <f t="shared" si="146"/>
        <v>436.23833844962525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0.67690132123343327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1.600581755069232E-17</v>
      </c>
      <c r="BS153" s="24">
        <f t="shared" si="117"/>
        <v>0.67690132123343327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-1.7053025658242404E-13</v>
      </c>
      <c r="O154" s="14">
        <f>N154*VLOOKUP('Données projet'!$B$9,Paramètres!$A$1:$I$89,3,0)*VLOOKUP('Données projet'!$B$9,Paramètres!$A$1:$I$89,5,0)</f>
        <v>-1.0197709343628959E-13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207.99520960626666</v>
      </c>
      <c r="T154" s="62">
        <f t="shared" si="142"/>
        <v>306.39565990874775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11.672899985302616</v>
      </c>
      <c r="AA154" s="23">
        <f>EXP(-LN(2)/25)*AA153+(1-EXP(-LN(2)/25))/(LN(2)/25)*Calculateur!V154*Calculateur!X154*VLOOKUP('Données projet'!$B$9,Paramètres!$A$1:$I$89,3,0)*0.475*44/12</f>
        <v>0.28051583577533262</v>
      </c>
      <c r="AB154" s="23">
        <f>EXP(-LN(2)/2)*AB153+(1-EXP(-LN(2)/2))/(LN(2)/2)*V154*Y154*VLOOKUP('Données projet'!$B$9,Paramètres!$A$1:$I$89,3,0)*0.475*44/12</f>
        <v>3.7780247641501995E-14</v>
      </c>
      <c r="AC154" s="24">
        <f t="shared" ref="AC154:AC203" si="163">SUM(Z154:AB154)</f>
        <v>11.953415821077986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5.3205440053716299E-14</v>
      </c>
      <c r="AK154" s="14">
        <f t="shared" ref="AK154:AK203" si="164">EXP(-1.0587+0.8836*LN(AJ154)+0.284)</f>
        <v>8.602146238565607E-13</v>
      </c>
      <c r="AL154" s="22">
        <f t="shared" ref="AL154:AL203" si="165">(AJ154+AK154)*0.475*44/12</f>
        <v>1.590873277977066E-12</v>
      </c>
      <c r="AM154" s="62">
        <f t="shared" si="113"/>
        <v>293.33333333333491</v>
      </c>
      <c r="AN154" s="62">
        <f ca="1">AVERAGE(OFFSET($AM$3,0,0,'Données projet'!$E$10+1,1))-AVERAGE(OFFSET($H$3,0,0,'Données projet'!$E$10+1,1))</f>
        <v>259.74478933784656</v>
      </c>
      <c r="AO154" s="62">
        <f t="shared" si="144"/>
        <v>223.74038909289646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6.3550942286383367E-14</v>
      </c>
      <c r="BF154" s="14">
        <f t="shared" ref="BF154:BF203" si="167">EXP(-1.0587+0.8836*LN(BE154)+0.284)</f>
        <v>1.0064464192543978E-12</v>
      </c>
      <c r="BG154" s="22">
        <f t="shared" ref="BG154:BG203" si="168">(BE154+BF154)*0.475*44/12</f>
        <v>1.8635787380168604E-12</v>
      </c>
      <c r="BH154" s="62">
        <f t="shared" si="116"/>
        <v>293.33333333333519</v>
      </c>
      <c r="BI154" s="62">
        <f ca="1">AVERAGE(OFFSET($BH$3,0,0,'Données projet'!$E$11+1,1))-AVERAGE(OFFSET($H$3,0,0,'Données projet'!$E$11+1,1))</f>
        <v>365.70510182727895</v>
      </c>
      <c r="BJ154" s="62">
        <f t="shared" si="146"/>
        <v>436.23833844962525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0.66362769919308418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1.1317822128529197E-17</v>
      </c>
      <c r="BS154" s="24">
        <f t="shared" ref="BS154:BS203" si="169">SUM(BP154:BR154)</f>
        <v>0.66362769919308418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-1.7053025658242404E-13</v>
      </c>
      <c r="O155" s="14">
        <f>N155*VLOOKUP('Données projet'!$B$9,Paramètres!$A$1:$I$89,3,0)*VLOOKUP('Données projet'!$B$9,Paramètres!$A$1:$I$89,5,0)</f>
        <v>-1.0197709343628959E-13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207.99520960626666</v>
      </c>
      <c r="T155" s="62">
        <f t="shared" si="142"/>
        <v>306.39565990874775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11.444001536356804</v>
      </c>
      <c r="AA155" s="23">
        <f>EXP(-LN(2)/25)*AA154+(1-EXP(-LN(2)/25))/(LN(2)/25)*Calculateur!V155*Calculateur!X155*VLOOKUP('Données projet'!$B$9,Paramètres!$A$1:$I$89,3,0)*0.475*44/12</f>
        <v>0.27284511549436946</v>
      </c>
      <c r="AB155" s="23">
        <f>EXP(-LN(2)/2)*AB154+(1-EXP(-LN(2)/2))/(LN(2)/2)*V155*Y155*VLOOKUP('Données projet'!$B$9,Paramètres!$A$1:$I$89,3,0)*0.475*44/12</f>
        <v>2.671466930221313E-14</v>
      </c>
      <c r="AC155" s="24">
        <f t="shared" si="163"/>
        <v>11.716846651851201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5.3205440053716299E-14</v>
      </c>
      <c r="AK155" s="14">
        <f t="shared" si="164"/>
        <v>8.602146238565607E-13</v>
      </c>
      <c r="AL155" s="22">
        <f t="shared" si="165"/>
        <v>1.590873277977066E-12</v>
      </c>
      <c r="AM155" s="62">
        <f t="shared" si="113"/>
        <v>293.33333333333491</v>
      </c>
      <c r="AN155" s="62">
        <f ca="1">AVERAGE(OFFSET($AM$3,0,0,'Données projet'!$E$10+1,1))-AVERAGE(OFFSET($H$3,0,0,'Données projet'!$E$10+1,1))</f>
        <v>259.74478933784656</v>
      </c>
      <c r="AO155" s="62">
        <f t="shared" si="144"/>
        <v>223.74038909289646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6.3550942286383367E-14</v>
      </c>
      <c r="BF155" s="14">
        <f t="shared" si="167"/>
        <v>1.0064464192543978E-12</v>
      </c>
      <c r="BG155" s="22">
        <f t="shared" si="168"/>
        <v>1.8635787380168604E-12</v>
      </c>
      <c r="BH155" s="62">
        <f t="shared" si="116"/>
        <v>293.33333333333519</v>
      </c>
      <c r="BI155" s="62">
        <f ca="1">AVERAGE(OFFSET($BH$3,0,0,'Données projet'!$E$11+1,1))-AVERAGE(OFFSET($H$3,0,0,'Données projet'!$E$11+1,1))</f>
        <v>365.70510182727895</v>
      </c>
      <c r="BJ155" s="62">
        <f t="shared" si="146"/>
        <v>436.23833844962525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0.65061436478483625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8.0029087753461602E-18</v>
      </c>
      <c r="BS155" s="24">
        <f t="shared" si="169"/>
        <v>0.65061436478483625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-1.7053025658242404E-13</v>
      </c>
      <c r="O156" s="14">
        <f>N156*VLOOKUP('Données projet'!$B$9,Paramètres!$A$1:$I$89,3,0)*VLOOKUP('Données projet'!$B$9,Paramètres!$A$1:$I$89,5,0)</f>
        <v>-1.0197709343628959E-13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207.99520960626666</v>
      </c>
      <c r="T156" s="62">
        <f t="shared" si="142"/>
        <v>306.39565990874775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11.219591646380552</v>
      </c>
      <c r="AA156" s="23">
        <f>EXP(-LN(2)/25)*AA155+(1-EXP(-LN(2)/25))/(LN(2)/25)*Calculateur!V156*Calculateur!X156*VLOOKUP('Données projet'!$B$9,Paramètres!$A$1:$I$89,3,0)*0.475*44/12</f>
        <v>0.26538415146287492</v>
      </c>
      <c r="AB156" s="23">
        <f>EXP(-LN(2)/2)*AB155+(1-EXP(-LN(2)/2))/(LN(2)/2)*V156*Y156*VLOOKUP('Données projet'!$B$9,Paramètres!$A$1:$I$89,3,0)*0.475*44/12</f>
        <v>1.8890123820750997E-14</v>
      </c>
      <c r="AC156" s="24">
        <f t="shared" si="163"/>
        <v>11.484975797843447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5.3205440053716299E-14</v>
      </c>
      <c r="AK156" s="14">
        <f t="shared" si="164"/>
        <v>8.602146238565607E-13</v>
      </c>
      <c r="AL156" s="22">
        <f t="shared" si="165"/>
        <v>1.590873277977066E-12</v>
      </c>
      <c r="AM156" s="62">
        <f t="shared" si="113"/>
        <v>293.33333333333491</v>
      </c>
      <c r="AN156" s="62">
        <f ca="1">AVERAGE(OFFSET($AM$3,0,0,'Données projet'!$E$10+1,1))-AVERAGE(OFFSET($H$3,0,0,'Données projet'!$E$10+1,1))</f>
        <v>259.74478933784656</v>
      </c>
      <c r="AO156" s="62">
        <f t="shared" si="144"/>
        <v>223.74038909289646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6.3550942286383367E-14</v>
      </c>
      <c r="BF156" s="14">
        <f t="shared" si="167"/>
        <v>1.0064464192543978E-12</v>
      </c>
      <c r="BG156" s="22">
        <f t="shared" si="168"/>
        <v>1.8635787380168604E-12</v>
      </c>
      <c r="BH156" s="62">
        <f t="shared" si="116"/>
        <v>293.33333333333519</v>
      </c>
      <c r="BI156" s="62">
        <f ca="1">AVERAGE(OFFSET($BH$3,0,0,'Données projet'!$E$11+1,1))-AVERAGE(OFFSET($H$3,0,0,'Données projet'!$E$11+1,1))</f>
        <v>365.70510182727895</v>
      </c>
      <c r="BJ156" s="62">
        <f t="shared" si="146"/>
        <v>436.23833844962525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0.63785621392698388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5.6589110642645983E-18</v>
      </c>
      <c r="BS156" s="24">
        <f t="shared" si="169"/>
        <v>0.63785621392698388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-1.7053025658242404E-13</v>
      </c>
      <c r="O157" s="14">
        <f>N157*VLOOKUP('Données projet'!$B$9,Paramètres!$A$1:$I$89,3,0)*VLOOKUP('Données projet'!$B$9,Paramètres!$A$1:$I$89,5,0)</f>
        <v>-1.0197709343628959E-13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207.99520960626666</v>
      </c>
      <c r="T157" s="62">
        <f t="shared" si="142"/>
        <v>306.39565990874775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10.999582297470216</v>
      </c>
      <c r="AA157" s="23">
        <f>EXP(-LN(2)/25)*AA156+(1-EXP(-LN(2)/25))/(LN(2)/25)*Calculateur!V157*Calculateur!X157*VLOOKUP('Données projet'!$B$9,Paramètres!$A$1:$I$89,3,0)*0.475*44/12</f>
        <v>0.25812720788517662</v>
      </c>
      <c r="AB157" s="23">
        <f>EXP(-LN(2)/2)*AB156+(1-EXP(-LN(2)/2))/(LN(2)/2)*V157*Y157*VLOOKUP('Données projet'!$B$9,Paramètres!$A$1:$I$89,3,0)*0.475*44/12</f>
        <v>1.3357334651106565E-14</v>
      </c>
      <c r="AC157" s="24">
        <f t="shared" si="163"/>
        <v>11.257709505355407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5.3205440053716299E-14</v>
      </c>
      <c r="AK157" s="14">
        <f t="shared" si="164"/>
        <v>8.602146238565607E-13</v>
      </c>
      <c r="AL157" s="22">
        <f t="shared" si="165"/>
        <v>1.590873277977066E-12</v>
      </c>
      <c r="AM157" s="62">
        <f t="shared" si="113"/>
        <v>293.33333333333491</v>
      </c>
      <c r="AN157" s="62">
        <f ca="1">AVERAGE(OFFSET($AM$3,0,0,'Données projet'!$E$10+1,1))-AVERAGE(OFFSET($H$3,0,0,'Données projet'!$E$10+1,1))</f>
        <v>259.74478933784656</v>
      </c>
      <c r="AO157" s="62">
        <f t="shared" si="144"/>
        <v>223.74038909289646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6.3550942286383367E-14</v>
      </c>
      <c r="BF157" s="14">
        <f t="shared" si="167"/>
        <v>1.0064464192543978E-12</v>
      </c>
      <c r="BG157" s="22">
        <f t="shared" si="168"/>
        <v>1.8635787380168604E-12</v>
      </c>
      <c r="BH157" s="62">
        <f t="shared" si="116"/>
        <v>293.33333333333519</v>
      </c>
      <c r="BI157" s="62">
        <f ca="1">AVERAGE(OFFSET($BH$3,0,0,'Données projet'!$E$11+1,1))-AVERAGE(OFFSET($H$3,0,0,'Données projet'!$E$11+1,1))</f>
        <v>365.70510182727895</v>
      </c>
      <c r="BJ157" s="62">
        <f t="shared" si="146"/>
        <v>436.23833844962525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0.62534824262575039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4.0014543876730801E-18</v>
      </c>
      <c r="BS157" s="24">
        <f t="shared" si="169"/>
        <v>0.62534824262575039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-1.7053025658242404E-13</v>
      </c>
      <c r="O158" s="14">
        <f>N158*VLOOKUP('Données projet'!$B$9,Paramètres!$A$1:$I$89,3,0)*VLOOKUP('Données projet'!$B$9,Paramètres!$A$1:$I$89,5,0)</f>
        <v>-1.0197709343628959E-13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207.99520960626666</v>
      </c>
      <c r="T158" s="62">
        <f t="shared" si="142"/>
        <v>306.39565990874775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10.78388719769956</v>
      </c>
      <c r="AA158" s="23">
        <f>EXP(-LN(2)/25)*AA157+(1-EXP(-LN(2)/25))/(LN(2)/25)*Calculateur!V158*Calculateur!X158*VLOOKUP('Données projet'!$B$9,Paramètres!$A$1:$I$89,3,0)*0.475*44/12</f>
        <v>0.25106870581123658</v>
      </c>
      <c r="AB158" s="23">
        <f>EXP(-LN(2)/2)*AB157+(1-EXP(-LN(2)/2))/(LN(2)/2)*V158*Y158*VLOOKUP('Données projet'!$B$9,Paramètres!$A$1:$I$89,3,0)*0.475*44/12</f>
        <v>9.4450619103754987E-15</v>
      </c>
      <c r="AC158" s="24">
        <f t="shared" si="163"/>
        <v>11.034955903510806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5.3205440053716299E-14</v>
      </c>
      <c r="AK158" s="14">
        <f t="shared" si="164"/>
        <v>8.602146238565607E-13</v>
      </c>
      <c r="AL158" s="22">
        <f t="shared" si="165"/>
        <v>1.590873277977066E-12</v>
      </c>
      <c r="AM158" s="62">
        <f t="shared" si="113"/>
        <v>293.33333333333491</v>
      </c>
      <c r="AN158" s="62">
        <f ca="1">AVERAGE(OFFSET($AM$3,0,0,'Données projet'!$E$10+1,1))-AVERAGE(OFFSET($H$3,0,0,'Données projet'!$E$10+1,1))</f>
        <v>259.74478933784656</v>
      </c>
      <c r="AO158" s="62">
        <f t="shared" si="144"/>
        <v>223.74038909289646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6.3550942286383367E-14</v>
      </c>
      <c r="BF158" s="14">
        <f t="shared" si="167"/>
        <v>1.0064464192543978E-12</v>
      </c>
      <c r="BG158" s="22">
        <f t="shared" si="168"/>
        <v>1.8635787380168604E-12</v>
      </c>
      <c r="BH158" s="62">
        <f t="shared" si="116"/>
        <v>293.33333333333519</v>
      </c>
      <c r="BI158" s="62">
        <f ca="1">AVERAGE(OFFSET($BH$3,0,0,'Données projet'!$E$11+1,1))-AVERAGE(OFFSET($H$3,0,0,'Données projet'!$E$11+1,1))</f>
        <v>365.70510182727895</v>
      </c>
      <c r="BJ158" s="62">
        <f t="shared" si="146"/>
        <v>436.23833844962525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0.61308554501262491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2.8294555321322992E-18</v>
      </c>
      <c r="BS158" s="24">
        <f t="shared" si="169"/>
        <v>0.61308554501262491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-1.7053025658242404E-13</v>
      </c>
      <c r="O159" s="14">
        <f>N159*VLOOKUP('Données projet'!$B$9,Paramètres!$A$1:$I$89,3,0)*VLOOKUP('Données projet'!$B$9,Paramètres!$A$1:$I$89,5,0)</f>
        <v>-1.0197709343628959E-13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207.99520960626666</v>
      </c>
      <c r="T159" s="62">
        <f t="shared" si="142"/>
        <v>306.39565990874775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10.572421747274385</v>
      </c>
      <c r="AA159" s="23">
        <f>EXP(-LN(2)/25)*AA158+(1-EXP(-LN(2)/25))/(LN(2)/25)*Calculateur!V159*Calculateur!X159*VLOOKUP('Données projet'!$B$9,Paramètres!$A$1:$I$89,3,0)*0.475*44/12</f>
        <v>0.24420321884769891</v>
      </c>
      <c r="AB159" s="23">
        <f>EXP(-LN(2)/2)*AB158+(1-EXP(-LN(2)/2))/(LN(2)/2)*V159*Y159*VLOOKUP('Données projet'!$B$9,Paramètres!$A$1:$I$89,3,0)*0.475*44/12</f>
        <v>6.6786673255532824E-15</v>
      </c>
      <c r="AC159" s="24">
        <f t="shared" si="163"/>
        <v>10.816624966122092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5.3205440053716299E-14</v>
      </c>
      <c r="AK159" s="14">
        <f t="shared" si="164"/>
        <v>8.602146238565607E-13</v>
      </c>
      <c r="AL159" s="22">
        <f t="shared" si="165"/>
        <v>1.590873277977066E-12</v>
      </c>
      <c r="AM159" s="62">
        <f t="shared" si="113"/>
        <v>293.33333333333491</v>
      </c>
      <c r="AN159" s="62">
        <f ca="1">AVERAGE(OFFSET($AM$3,0,0,'Données projet'!$E$10+1,1))-AVERAGE(OFFSET($H$3,0,0,'Données projet'!$E$10+1,1))</f>
        <v>259.74478933784656</v>
      </c>
      <c r="AO159" s="62">
        <f t="shared" si="144"/>
        <v>223.74038909289646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6.3550942286383367E-14</v>
      </c>
      <c r="BF159" s="14">
        <f t="shared" si="167"/>
        <v>1.0064464192543978E-12</v>
      </c>
      <c r="BG159" s="22">
        <f t="shared" si="168"/>
        <v>1.8635787380168604E-12</v>
      </c>
      <c r="BH159" s="62">
        <f t="shared" si="116"/>
        <v>293.33333333333519</v>
      </c>
      <c r="BI159" s="62">
        <f ca="1">AVERAGE(OFFSET($BH$3,0,0,'Données projet'!$E$11+1,1))-AVERAGE(OFFSET($H$3,0,0,'Données projet'!$E$11+1,1))</f>
        <v>365.70510182727895</v>
      </c>
      <c r="BJ159" s="62">
        <f t="shared" si="146"/>
        <v>436.23833844962525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0.60106331142018576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2.00072719383654E-18</v>
      </c>
      <c r="BS159" s="24">
        <f t="shared" si="169"/>
        <v>0.60106331142018576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-1.7053025658242404E-13</v>
      </c>
      <c r="O160" s="14">
        <f>N160*VLOOKUP('Données projet'!$B$9,Paramètres!$A$1:$I$89,3,0)*VLOOKUP('Données projet'!$B$9,Paramètres!$A$1:$I$89,5,0)</f>
        <v>-1.0197709343628959E-13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207.99520960626666</v>
      </c>
      <c r="T160" s="62">
        <f t="shared" si="142"/>
        <v>306.39565990874775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10.365103005350859</v>
      </c>
      <c r="AA160" s="23">
        <f>EXP(-LN(2)/25)*AA159+(1-EXP(-LN(2)/25))/(LN(2)/25)*Calculateur!V160*Calculateur!X160*VLOOKUP('Données projet'!$B$9,Paramètres!$A$1:$I$89,3,0)*0.475*44/12</f>
        <v>0.23752546898621943</v>
      </c>
      <c r="AB160" s="23">
        <f>EXP(-LN(2)/2)*AB159+(1-EXP(-LN(2)/2))/(LN(2)/2)*V160*Y160*VLOOKUP('Données projet'!$B$9,Paramètres!$A$1:$I$89,3,0)*0.475*44/12</f>
        <v>4.7225309551877494E-15</v>
      </c>
      <c r="AC160" s="24">
        <f t="shared" si="163"/>
        <v>10.602628474337084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5.3205440053716299E-14</v>
      </c>
      <c r="AK160" s="14">
        <f t="shared" si="164"/>
        <v>8.602146238565607E-13</v>
      </c>
      <c r="AL160" s="22">
        <f t="shared" si="165"/>
        <v>1.590873277977066E-12</v>
      </c>
      <c r="AM160" s="62">
        <f t="shared" si="113"/>
        <v>293.33333333333491</v>
      </c>
      <c r="AN160" s="62">
        <f ca="1">AVERAGE(OFFSET($AM$3,0,0,'Données projet'!$E$10+1,1))-AVERAGE(OFFSET($H$3,0,0,'Données projet'!$E$10+1,1))</f>
        <v>259.74478933784656</v>
      </c>
      <c r="AO160" s="62">
        <f t="shared" si="144"/>
        <v>223.74038909289646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6.3550942286383367E-14</v>
      </c>
      <c r="BF160" s="14">
        <f t="shared" si="167"/>
        <v>1.0064464192543978E-12</v>
      </c>
      <c r="BG160" s="22">
        <f t="shared" si="168"/>
        <v>1.8635787380168604E-12</v>
      </c>
      <c r="BH160" s="62">
        <f t="shared" si="116"/>
        <v>293.33333333333519</v>
      </c>
      <c r="BI160" s="62">
        <f ca="1">AVERAGE(OFFSET($BH$3,0,0,'Données projet'!$E$11+1,1))-AVERAGE(OFFSET($H$3,0,0,'Données projet'!$E$11+1,1))</f>
        <v>365.70510182727895</v>
      </c>
      <c r="BJ160" s="62">
        <f t="shared" si="146"/>
        <v>436.23833844962525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0.58927682649565594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1.4147277660661496E-18</v>
      </c>
      <c r="BS160" s="24">
        <f t="shared" si="169"/>
        <v>0.58927682649565594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-1.7053025658242404E-13</v>
      </c>
      <c r="O161" s="14">
        <f>N161*VLOOKUP('Données projet'!$B$9,Paramètres!$A$1:$I$89,3,0)*VLOOKUP('Données projet'!$B$9,Paramètres!$A$1:$I$89,5,0)</f>
        <v>-1.0197709343628959E-13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207.99520960626666</v>
      </c>
      <c r="T161" s="62">
        <f t="shared" si="142"/>
        <v>306.39565990874775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10.161849657504508</v>
      </c>
      <c r="AA161" s="23">
        <f>EXP(-LN(2)/25)*AA160+(1-EXP(-LN(2)/25))/(LN(2)/25)*Calculateur!V161*Calculateur!X161*VLOOKUP('Données projet'!$B$9,Paramètres!$A$1:$I$89,3,0)*0.475*44/12</f>
        <v>0.23103032254586972</v>
      </c>
      <c r="AB161" s="23">
        <f>EXP(-LN(2)/2)*AB160+(1-EXP(-LN(2)/2))/(LN(2)/2)*V161*Y161*VLOOKUP('Données projet'!$B$9,Paramètres!$A$1:$I$89,3,0)*0.475*44/12</f>
        <v>3.3393336627766412E-15</v>
      </c>
      <c r="AC161" s="24">
        <f t="shared" si="163"/>
        <v>10.392879980050381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5.3205440053716299E-14</v>
      </c>
      <c r="AK161" s="14">
        <f t="shared" si="164"/>
        <v>8.602146238565607E-13</v>
      </c>
      <c r="AL161" s="22">
        <f t="shared" si="165"/>
        <v>1.590873277977066E-12</v>
      </c>
      <c r="AM161" s="62">
        <f t="shared" si="113"/>
        <v>293.33333333333491</v>
      </c>
      <c r="AN161" s="62">
        <f ca="1">AVERAGE(OFFSET($AM$3,0,0,'Données projet'!$E$10+1,1))-AVERAGE(OFFSET($H$3,0,0,'Données projet'!$E$10+1,1))</f>
        <v>259.74478933784656</v>
      </c>
      <c r="AO161" s="62">
        <f t="shared" si="144"/>
        <v>223.74038909289646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6.3550942286383367E-14</v>
      </c>
      <c r="BF161" s="14">
        <f t="shared" si="167"/>
        <v>1.0064464192543978E-12</v>
      </c>
      <c r="BG161" s="22">
        <f t="shared" si="168"/>
        <v>1.8635787380168604E-12</v>
      </c>
      <c r="BH161" s="62">
        <f t="shared" si="116"/>
        <v>293.33333333333519</v>
      </c>
      <c r="BI161" s="62">
        <f ca="1">AVERAGE(OFFSET($BH$3,0,0,'Données projet'!$E$11+1,1))-AVERAGE(OFFSET($H$3,0,0,'Données projet'!$E$11+1,1))</f>
        <v>365.70510182727895</v>
      </c>
      <c r="BJ161" s="62">
        <f t="shared" si="146"/>
        <v>436.23833844962525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0.57772146735145014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1.00036359691827E-18</v>
      </c>
      <c r="BS161" s="24">
        <f t="shared" si="169"/>
        <v>0.57772146735145014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-1.7053025658242404E-13</v>
      </c>
      <c r="O162" s="14">
        <f>N162*VLOOKUP('Données projet'!$B$9,Paramètres!$A$1:$I$89,3,0)*VLOOKUP('Données projet'!$B$9,Paramètres!$A$1:$I$89,5,0)</f>
        <v>-1.0197709343628959E-13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207.99520960626666</v>
      </c>
      <c r="T162" s="62">
        <f t="shared" si="142"/>
        <v>306.39565990874775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9.9625819838371221</v>
      </c>
      <c r="AA162" s="23">
        <f>EXP(-LN(2)/25)*AA161+(1-EXP(-LN(2)/25))/(LN(2)/25)*Calculateur!V162*Calculateur!X162*VLOOKUP('Données projet'!$B$9,Paramètres!$A$1:$I$89,3,0)*0.475*44/12</f>
        <v>0.22471278622649626</v>
      </c>
      <c r="AB162" s="23">
        <f>EXP(-LN(2)/2)*AB161+(1-EXP(-LN(2)/2))/(LN(2)/2)*V162*Y162*VLOOKUP('Données projet'!$B$9,Paramètres!$A$1:$I$89,3,0)*0.475*44/12</f>
        <v>2.3612654775938747E-15</v>
      </c>
      <c r="AC162" s="24">
        <f t="shared" si="163"/>
        <v>10.18729477006362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5.3205440053716299E-14</v>
      </c>
      <c r="AK162" s="14">
        <f t="shared" si="164"/>
        <v>8.602146238565607E-13</v>
      </c>
      <c r="AL162" s="22">
        <f t="shared" si="165"/>
        <v>1.590873277977066E-12</v>
      </c>
      <c r="AM162" s="62">
        <f t="shared" si="113"/>
        <v>293.33333333333491</v>
      </c>
      <c r="AN162" s="62">
        <f ca="1">AVERAGE(OFFSET($AM$3,0,0,'Données projet'!$E$10+1,1))-AVERAGE(OFFSET($H$3,0,0,'Données projet'!$E$10+1,1))</f>
        <v>259.74478933784656</v>
      </c>
      <c r="AO162" s="62">
        <f t="shared" si="144"/>
        <v>223.74038909289646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6.3550942286383367E-14</v>
      </c>
      <c r="BF162" s="14">
        <f t="shared" si="167"/>
        <v>1.0064464192543978E-12</v>
      </c>
      <c r="BG162" s="22">
        <f t="shared" si="168"/>
        <v>1.8635787380168604E-12</v>
      </c>
      <c r="BH162" s="62">
        <f t="shared" si="116"/>
        <v>293.33333333333519</v>
      </c>
      <c r="BI162" s="62">
        <f ca="1">AVERAGE(OFFSET($BH$3,0,0,'Données projet'!$E$11+1,1))-AVERAGE(OFFSET($H$3,0,0,'Données projet'!$E$11+1,1))</f>
        <v>365.70510182727895</v>
      </c>
      <c r="BJ162" s="62">
        <f t="shared" si="146"/>
        <v>436.23833844962525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0.56639270175198908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7.0736388303307479E-19</v>
      </c>
      <c r="BS162" s="24">
        <f t="shared" si="169"/>
        <v>0.56639270175198908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-1.7053025658242404E-13</v>
      </c>
      <c r="O163" s="14">
        <f>N163*VLOOKUP('Données projet'!$B$9,Paramètres!$A$1:$I$89,3,0)*VLOOKUP('Données projet'!$B$9,Paramètres!$A$1:$I$89,5,0)</f>
        <v>-1.0197709343628959E-13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207.99520960626666</v>
      </c>
      <c r="T163" s="62">
        <f t="shared" si="142"/>
        <v>306.39565990874775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9.7672218277090739</v>
      </c>
      <c r="AA163" s="23">
        <f>EXP(-LN(2)/25)*AA162+(1-EXP(-LN(2)/25))/(LN(2)/25)*Calculateur!V163*Calculateur!X163*VLOOKUP('Données projet'!$B$9,Paramètres!$A$1:$I$89,3,0)*0.475*44/12</f>
        <v>0.21856800327000089</v>
      </c>
      <c r="AB163" s="23">
        <f>EXP(-LN(2)/2)*AB162+(1-EXP(-LN(2)/2))/(LN(2)/2)*V163*Y163*VLOOKUP('Données projet'!$B$9,Paramètres!$A$1:$I$89,3,0)*0.475*44/12</f>
        <v>1.6696668313883206E-15</v>
      </c>
      <c r="AC163" s="24">
        <f t="shared" si="163"/>
        <v>9.9857898309790762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5.3205440053716299E-14</v>
      </c>
      <c r="AK163" s="14">
        <f t="shared" si="164"/>
        <v>8.602146238565607E-13</v>
      </c>
      <c r="AL163" s="22">
        <f t="shared" si="165"/>
        <v>1.590873277977066E-12</v>
      </c>
      <c r="AM163" s="62">
        <f t="shared" si="113"/>
        <v>293.33333333333491</v>
      </c>
      <c r="AN163" s="62">
        <f ca="1">AVERAGE(OFFSET($AM$3,0,0,'Données projet'!$E$10+1,1))-AVERAGE(OFFSET($H$3,0,0,'Données projet'!$E$10+1,1))</f>
        <v>259.74478933784656</v>
      </c>
      <c r="AO163" s="62">
        <f t="shared" si="144"/>
        <v>223.74038909289646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6.3550942286383367E-14</v>
      </c>
      <c r="BF163" s="14">
        <f t="shared" si="167"/>
        <v>1.0064464192543978E-12</v>
      </c>
      <c r="BG163" s="22">
        <f t="shared" si="168"/>
        <v>1.8635787380168604E-12</v>
      </c>
      <c r="BH163" s="62">
        <f t="shared" si="116"/>
        <v>293.33333333333519</v>
      </c>
      <c r="BI163" s="62">
        <f ca="1">AVERAGE(OFFSET($BH$3,0,0,'Données projet'!$E$11+1,1))-AVERAGE(OFFSET($H$3,0,0,'Données projet'!$E$11+1,1))</f>
        <v>365.70510182727895</v>
      </c>
      <c r="BJ163" s="62">
        <f t="shared" si="146"/>
        <v>436.23833844962525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0.5552860863360688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5.0018179845913501E-19</v>
      </c>
      <c r="BS163" s="24">
        <f t="shared" si="169"/>
        <v>0.5552860863360688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-1.7053025658242404E-13</v>
      </c>
      <c r="O164" s="14">
        <f>N164*VLOOKUP('Données projet'!$B$9,Paramètres!$A$1:$I$89,3,0)*VLOOKUP('Données projet'!$B$9,Paramètres!$A$1:$I$89,5,0)</f>
        <v>-1.0197709343628959E-13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207.99520960626666</v>
      </c>
      <c r="T164" s="62">
        <f t="shared" si="142"/>
        <v>306.39565990874775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9.5756925650847684</v>
      </c>
      <c r="AA164" s="23">
        <f>EXP(-LN(2)/25)*AA163+(1-EXP(-LN(2)/25))/(LN(2)/25)*Calculateur!V164*Calculateur!X164*VLOOKUP('Données projet'!$B$9,Paramètres!$A$1:$I$89,3,0)*0.475*44/12</f>
        <v>0.21259124972659096</v>
      </c>
      <c r="AB164" s="23">
        <f>EXP(-LN(2)/2)*AB163+(1-EXP(-LN(2)/2))/(LN(2)/2)*V164*Y164*VLOOKUP('Données projet'!$B$9,Paramètres!$A$1:$I$89,3,0)*0.475*44/12</f>
        <v>1.1806327387969373E-15</v>
      </c>
      <c r="AC164" s="24">
        <f t="shared" si="163"/>
        <v>9.7882838148113613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5.3205440053716299E-14</v>
      </c>
      <c r="AK164" s="14">
        <f t="shared" si="164"/>
        <v>8.602146238565607E-13</v>
      </c>
      <c r="AL164" s="22">
        <f t="shared" si="165"/>
        <v>1.590873277977066E-12</v>
      </c>
      <c r="AM164" s="62">
        <f t="shared" si="113"/>
        <v>293.33333333333491</v>
      </c>
      <c r="AN164" s="62">
        <f ca="1">AVERAGE(OFFSET($AM$3,0,0,'Données projet'!$E$10+1,1))-AVERAGE(OFFSET($H$3,0,0,'Données projet'!$E$10+1,1))</f>
        <v>259.74478933784656</v>
      </c>
      <c r="AO164" s="62">
        <f t="shared" si="144"/>
        <v>223.74038909289646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6.3550942286383367E-14</v>
      </c>
      <c r="BF164" s="14">
        <f t="shared" si="167"/>
        <v>1.0064464192543978E-12</v>
      </c>
      <c r="BG164" s="22">
        <f t="shared" si="168"/>
        <v>1.8635787380168604E-12</v>
      </c>
      <c r="BH164" s="62">
        <f t="shared" si="116"/>
        <v>293.33333333333519</v>
      </c>
      <c r="BI164" s="62">
        <f ca="1">AVERAGE(OFFSET($BH$3,0,0,'Données projet'!$E$11+1,1))-AVERAGE(OFFSET($H$3,0,0,'Données projet'!$E$11+1,1))</f>
        <v>365.70510182727895</v>
      </c>
      <c r="BJ164" s="62">
        <f t="shared" si="146"/>
        <v>436.23833844962525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0.54439726487408824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3.536819415165374E-19</v>
      </c>
      <c r="BS164" s="24">
        <f t="shared" si="169"/>
        <v>0.54439726487408824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-1.7053025658242404E-13</v>
      </c>
      <c r="O165" s="14">
        <f>N165*VLOOKUP('Données projet'!$B$9,Paramètres!$A$1:$I$89,3,0)*VLOOKUP('Données projet'!$B$9,Paramètres!$A$1:$I$89,5,0)</f>
        <v>-1.0197709343628959E-13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207.99520960626666</v>
      </c>
      <c r="T165" s="62">
        <f t="shared" si="142"/>
        <v>306.39565990874775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9.3879190744792105</v>
      </c>
      <c r="AA165" s="23">
        <f>EXP(-LN(2)/25)*AA164+(1-EXP(-LN(2)/25))/(LN(2)/25)*Calculateur!V165*Calculateur!X165*VLOOKUP('Données projet'!$B$9,Paramètres!$A$1:$I$89,3,0)*0.475*44/12</f>
        <v>0.2067779308231294</v>
      </c>
      <c r="AB165" s="23">
        <f>EXP(-LN(2)/2)*AB164+(1-EXP(-LN(2)/2))/(LN(2)/2)*V165*Y165*VLOOKUP('Données projet'!$B$9,Paramètres!$A$1:$I$89,3,0)*0.475*44/12</f>
        <v>8.348334156941603E-16</v>
      </c>
      <c r="AC165" s="24">
        <f t="shared" si="163"/>
        <v>9.5946970053023399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5.3205440053716299E-14</v>
      </c>
      <c r="AK165" s="14">
        <f t="shared" si="164"/>
        <v>8.602146238565607E-13</v>
      </c>
      <c r="AL165" s="22">
        <f t="shared" si="165"/>
        <v>1.590873277977066E-12</v>
      </c>
      <c r="AM165" s="62">
        <f t="shared" si="113"/>
        <v>293.33333333333491</v>
      </c>
      <c r="AN165" s="62">
        <f ca="1">AVERAGE(OFFSET($AM$3,0,0,'Données projet'!$E$10+1,1))-AVERAGE(OFFSET($H$3,0,0,'Données projet'!$E$10+1,1))</f>
        <v>259.74478933784656</v>
      </c>
      <c r="AO165" s="62">
        <f t="shared" si="144"/>
        <v>223.74038909289646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6.3550942286383367E-14</v>
      </c>
      <c r="BF165" s="14">
        <f t="shared" si="167"/>
        <v>1.0064464192543978E-12</v>
      </c>
      <c r="BG165" s="22">
        <f t="shared" si="168"/>
        <v>1.8635787380168604E-12</v>
      </c>
      <c r="BH165" s="62">
        <f t="shared" si="116"/>
        <v>293.33333333333519</v>
      </c>
      <c r="BI165" s="62">
        <f ca="1">AVERAGE(OFFSET($BH$3,0,0,'Données projet'!$E$11+1,1))-AVERAGE(OFFSET($H$3,0,0,'Données projet'!$E$11+1,1))</f>
        <v>365.70510182727895</v>
      </c>
      <c r="BJ165" s="62">
        <f t="shared" si="146"/>
        <v>436.23833844962525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0.53372196655945181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2.5009089922956751E-19</v>
      </c>
      <c r="BS165" s="24">
        <f t="shared" si="169"/>
        <v>0.53372196655945181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-1.7053025658242404E-13</v>
      </c>
      <c r="O166" s="14">
        <f>N166*VLOOKUP('Données projet'!$B$9,Paramètres!$A$1:$I$89,3,0)*VLOOKUP('Données projet'!$B$9,Paramètres!$A$1:$I$89,5,0)</f>
        <v>-1.0197709343628959E-13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207.99520960626666</v>
      </c>
      <c r="T166" s="62">
        <f t="shared" si="142"/>
        <v>306.39565990874775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9.2038277074939074</v>
      </c>
      <c r="AA166" s="23">
        <f>EXP(-LN(2)/25)*AA165+(1-EXP(-LN(2)/25))/(LN(2)/25)*Calculateur!V166*Calculateur!X166*VLOOKUP('Données projet'!$B$9,Paramètres!$A$1:$I$89,3,0)*0.475*44/12</f>
        <v>0.20112357743079215</v>
      </c>
      <c r="AB166" s="23">
        <f>EXP(-LN(2)/2)*AB165+(1-EXP(-LN(2)/2))/(LN(2)/2)*V166*Y166*VLOOKUP('Données projet'!$B$9,Paramètres!$A$1:$I$89,3,0)*0.475*44/12</f>
        <v>5.9031636939846867E-16</v>
      </c>
      <c r="AC166" s="24">
        <f t="shared" si="163"/>
        <v>9.4049512849246995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5.3205440053716299E-14</v>
      </c>
      <c r="AK166" s="14">
        <f t="shared" si="164"/>
        <v>8.602146238565607E-13</v>
      </c>
      <c r="AL166" s="22">
        <f t="shared" si="165"/>
        <v>1.590873277977066E-12</v>
      </c>
      <c r="AM166" s="62">
        <f t="shared" si="113"/>
        <v>293.33333333333491</v>
      </c>
      <c r="AN166" s="62">
        <f ca="1">AVERAGE(OFFSET($AM$3,0,0,'Données projet'!$E$10+1,1))-AVERAGE(OFFSET($H$3,0,0,'Données projet'!$E$10+1,1))</f>
        <v>259.74478933784656</v>
      </c>
      <c r="AO166" s="62">
        <f t="shared" si="144"/>
        <v>223.74038909289646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6.3550942286383367E-14</v>
      </c>
      <c r="BF166" s="14">
        <f t="shared" si="167"/>
        <v>1.0064464192543978E-12</v>
      </c>
      <c r="BG166" s="22">
        <f t="shared" si="168"/>
        <v>1.8635787380168604E-12</v>
      </c>
      <c r="BH166" s="62">
        <f t="shared" si="116"/>
        <v>293.33333333333519</v>
      </c>
      <c r="BI166" s="62">
        <f ca="1">AVERAGE(OFFSET($BH$3,0,0,'Données projet'!$E$11+1,1))-AVERAGE(OFFSET($H$3,0,0,'Données projet'!$E$11+1,1))</f>
        <v>365.70510182727895</v>
      </c>
      <c r="BJ166" s="62">
        <f t="shared" si="146"/>
        <v>436.23833844962525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0.5232560043334763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1.768409707582687E-19</v>
      </c>
      <c r="BS166" s="24">
        <f t="shared" si="169"/>
        <v>0.5232560043334763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-1.7053025658242404E-13</v>
      </c>
      <c r="O167" s="14">
        <f>N167*VLOOKUP('Données projet'!$B$9,Paramètres!$A$1:$I$89,3,0)*VLOOKUP('Données projet'!$B$9,Paramètres!$A$1:$I$89,5,0)</f>
        <v>-1.0197709343628959E-13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207.99520960626666</v>
      </c>
      <c r="T167" s="62">
        <f t="shared" si="142"/>
        <v>306.39565990874775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9.0233462599305394</v>
      </c>
      <c r="AA167" s="23">
        <f>EXP(-LN(2)/25)*AA166+(1-EXP(-LN(2)/25))/(LN(2)/25)*Calculateur!V167*Calculateur!X167*VLOOKUP('Données projet'!$B$9,Paramètres!$A$1:$I$89,3,0)*0.475*44/12</f>
        <v>0.19562384262931787</v>
      </c>
      <c r="AB167" s="23">
        <f>EXP(-LN(2)/2)*AB166+(1-EXP(-LN(2)/2))/(LN(2)/2)*V167*Y167*VLOOKUP('Données projet'!$B$9,Paramètres!$A$1:$I$89,3,0)*0.475*44/12</f>
        <v>4.1741670784708015E-16</v>
      </c>
      <c r="AC167" s="24">
        <f t="shared" si="163"/>
        <v>9.218970102559858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5.3205440053716299E-14</v>
      </c>
      <c r="AK167" s="14">
        <f t="shared" si="164"/>
        <v>8.602146238565607E-13</v>
      </c>
      <c r="AL167" s="22">
        <f t="shared" si="165"/>
        <v>1.590873277977066E-12</v>
      </c>
      <c r="AM167" s="62">
        <f t="shared" si="113"/>
        <v>293.33333333333491</v>
      </c>
      <c r="AN167" s="62">
        <f ca="1">AVERAGE(OFFSET($AM$3,0,0,'Données projet'!$E$10+1,1))-AVERAGE(OFFSET($H$3,0,0,'Données projet'!$E$10+1,1))</f>
        <v>259.74478933784656</v>
      </c>
      <c r="AO167" s="62">
        <f t="shared" si="144"/>
        <v>223.74038909289646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6.3550942286383367E-14</v>
      </c>
      <c r="BF167" s="14">
        <f t="shared" si="167"/>
        <v>1.0064464192543978E-12</v>
      </c>
      <c r="BG167" s="22">
        <f t="shared" si="168"/>
        <v>1.8635787380168604E-12</v>
      </c>
      <c r="BH167" s="62">
        <f t="shared" si="116"/>
        <v>293.33333333333519</v>
      </c>
      <c r="BI167" s="62">
        <f ca="1">AVERAGE(OFFSET($BH$3,0,0,'Données projet'!$E$11+1,1))-AVERAGE(OFFSET($H$3,0,0,'Données projet'!$E$11+1,1))</f>
        <v>365.70510182727895</v>
      </c>
      <c r="BJ167" s="62">
        <f t="shared" si="146"/>
        <v>436.23833844962525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0.51299527324314553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1.2504544961478375E-19</v>
      </c>
      <c r="BS167" s="24">
        <f t="shared" si="169"/>
        <v>0.51299527324314553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-1.7053025658242404E-13</v>
      </c>
      <c r="O168" s="14">
        <f>N168*VLOOKUP('Données projet'!$B$9,Paramètres!$A$1:$I$89,3,0)*VLOOKUP('Données projet'!$B$9,Paramètres!$A$1:$I$89,5,0)</f>
        <v>-1.0197709343628959E-13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207.99520960626666</v>
      </c>
      <c r="T168" s="62">
        <f t="shared" si="142"/>
        <v>306.39565990874775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8.8464039434710759</v>
      </c>
      <c r="AA168" s="23">
        <f>EXP(-LN(2)/25)*AA167+(1-EXP(-LN(2)/25))/(LN(2)/25)*Calculateur!V168*Calculateur!X168*VLOOKUP('Données projet'!$B$9,Paramètres!$A$1:$I$89,3,0)*0.475*44/12</f>
        <v>0.19027449836520838</v>
      </c>
      <c r="AB168" s="23">
        <f>EXP(-LN(2)/2)*AB167+(1-EXP(-LN(2)/2))/(LN(2)/2)*V168*Y168*VLOOKUP('Données projet'!$B$9,Paramètres!$A$1:$I$89,3,0)*0.475*44/12</f>
        <v>2.9515818469923433E-16</v>
      </c>
      <c r="AC168" s="24">
        <f t="shared" si="163"/>
        <v>9.0366784418362851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5.3205440053716299E-14</v>
      </c>
      <c r="AK168" s="14">
        <f t="shared" si="164"/>
        <v>8.602146238565607E-13</v>
      </c>
      <c r="AL168" s="22">
        <f t="shared" si="165"/>
        <v>1.590873277977066E-12</v>
      </c>
      <c r="AM168" s="62">
        <f t="shared" si="113"/>
        <v>293.33333333333491</v>
      </c>
      <c r="AN168" s="62">
        <f ca="1">AVERAGE(OFFSET($AM$3,0,0,'Données projet'!$E$10+1,1))-AVERAGE(OFFSET($H$3,0,0,'Données projet'!$E$10+1,1))</f>
        <v>259.74478933784656</v>
      </c>
      <c r="AO168" s="62">
        <f t="shared" si="144"/>
        <v>223.74038909289646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6.3550942286383367E-14</v>
      </c>
      <c r="BF168" s="14">
        <f t="shared" si="167"/>
        <v>1.0064464192543978E-12</v>
      </c>
      <c r="BG168" s="22">
        <f t="shared" si="168"/>
        <v>1.8635787380168604E-12</v>
      </c>
      <c r="BH168" s="62">
        <f t="shared" si="116"/>
        <v>293.33333333333519</v>
      </c>
      <c r="BI168" s="62">
        <f ca="1">AVERAGE(OFFSET($BH$3,0,0,'Données projet'!$E$11+1,1))-AVERAGE(OFFSET($H$3,0,0,'Données projet'!$E$11+1,1))</f>
        <v>365.70510182727895</v>
      </c>
      <c r="BJ168" s="62">
        <f t="shared" si="146"/>
        <v>436.23833844962525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0.50293574883106817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8.8420485379134349E-20</v>
      </c>
      <c r="BS168" s="24">
        <f t="shared" si="169"/>
        <v>0.50293574883106817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-1.7053025658242404E-13</v>
      </c>
      <c r="O169" s="14">
        <f>N169*VLOOKUP('Données projet'!$B$9,Paramètres!$A$1:$I$89,3,0)*VLOOKUP('Données projet'!$B$9,Paramètres!$A$1:$I$89,5,0)</f>
        <v>-1.0197709343628959E-13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207.99520960626666</v>
      </c>
      <c r="T169" s="62">
        <f t="shared" si="142"/>
        <v>306.39565990874775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8.6729313579132246</v>
      </c>
      <c r="AA169" s="23">
        <f>EXP(-LN(2)/25)*AA168+(1-EXP(-LN(2)/25))/(LN(2)/25)*Calculateur!V169*Calculateur!X169*VLOOKUP('Données projet'!$B$9,Paramètres!$A$1:$I$89,3,0)*0.475*44/12</f>
        <v>0.18507143220131075</v>
      </c>
      <c r="AB169" s="23">
        <f>EXP(-LN(2)/2)*AB168+(1-EXP(-LN(2)/2))/(LN(2)/2)*V169*Y169*VLOOKUP('Données projet'!$B$9,Paramètres!$A$1:$I$89,3,0)*0.475*44/12</f>
        <v>2.0870835392354007E-16</v>
      </c>
      <c r="AC169" s="24">
        <f t="shared" si="163"/>
        <v>8.8580027901145346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5.3205440053716299E-14</v>
      </c>
      <c r="AK169" s="14">
        <f t="shared" si="164"/>
        <v>8.602146238565607E-13</v>
      </c>
      <c r="AL169" s="22">
        <f t="shared" si="165"/>
        <v>1.590873277977066E-12</v>
      </c>
      <c r="AM169" s="62">
        <f t="shared" si="113"/>
        <v>293.33333333333491</v>
      </c>
      <c r="AN169" s="62">
        <f ca="1">AVERAGE(OFFSET($AM$3,0,0,'Données projet'!$E$10+1,1))-AVERAGE(OFFSET($H$3,0,0,'Données projet'!$E$10+1,1))</f>
        <v>259.74478933784656</v>
      </c>
      <c r="AO169" s="62">
        <f t="shared" si="144"/>
        <v>223.74038909289646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6.3550942286383367E-14</v>
      </c>
      <c r="BF169" s="14">
        <f t="shared" si="167"/>
        <v>1.0064464192543978E-12</v>
      </c>
      <c r="BG169" s="22">
        <f t="shared" si="168"/>
        <v>1.8635787380168604E-12</v>
      </c>
      <c r="BH169" s="62">
        <f t="shared" si="116"/>
        <v>293.33333333333519</v>
      </c>
      <c r="BI169" s="62">
        <f ca="1">AVERAGE(OFFSET($BH$3,0,0,'Données projet'!$E$11+1,1))-AVERAGE(OFFSET($H$3,0,0,'Données projet'!$E$11+1,1))</f>
        <v>365.70510182727895</v>
      </c>
      <c r="BJ169" s="62">
        <f t="shared" si="146"/>
        <v>436.23833844962525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0.49307348555700764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6.2522724807391876E-20</v>
      </c>
      <c r="BS169" s="24">
        <f t="shared" si="169"/>
        <v>0.49307348555700764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-1.7053025658242404E-13</v>
      </c>
      <c r="O170" s="14">
        <f>N170*VLOOKUP('Données projet'!$B$9,Paramètres!$A$1:$I$89,3,0)*VLOOKUP('Données projet'!$B$9,Paramètres!$A$1:$I$89,5,0)</f>
        <v>-1.0197709343628959E-13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207.99520960626666</v>
      </c>
      <c r="T170" s="62">
        <f t="shared" si="142"/>
        <v>306.39565990874775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8.5028604639503342</v>
      </c>
      <c r="AA170" s="23">
        <f>EXP(-LN(2)/25)*AA169+(1-EXP(-LN(2)/25))/(LN(2)/25)*Calculateur!V170*Calculateur!X170*VLOOKUP('Données projet'!$B$9,Paramètres!$A$1:$I$89,3,0)*0.475*44/12</f>
        <v>0.18001064415528228</v>
      </c>
      <c r="AB170" s="23">
        <f>EXP(-LN(2)/2)*AB169+(1-EXP(-LN(2)/2))/(LN(2)/2)*V170*Y170*VLOOKUP('Données projet'!$B$9,Paramètres!$A$1:$I$89,3,0)*0.475*44/12</f>
        <v>1.4757909234961717E-16</v>
      </c>
      <c r="AC170" s="24">
        <f t="shared" si="163"/>
        <v>8.6828711081056174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5.3205440053716299E-14</v>
      </c>
      <c r="AK170" s="14">
        <f t="shared" si="164"/>
        <v>8.602146238565607E-13</v>
      </c>
      <c r="AL170" s="22">
        <f t="shared" si="165"/>
        <v>1.590873277977066E-12</v>
      </c>
      <c r="AM170" s="62">
        <f t="shared" si="113"/>
        <v>293.33333333333491</v>
      </c>
      <c r="AN170" s="62">
        <f ca="1">AVERAGE(OFFSET($AM$3,0,0,'Données projet'!$E$10+1,1))-AVERAGE(OFFSET($H$3,0,0,'Données projet'!$E$10+1,1))</f>
        <v>259.74478933784656</v>
      </c>
      <c r="AO170" s="62">
        <f t="shared" si="144"/>
        <v>223.74038909289646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6.3550942286383367E-14</v>
      </c>
      <c r="BF170" s="14">
        <f t="shared" si="167"/>
        <v>1.0064464192543978E-12</v>
      </c>
      <c r="BG170" s="22">
        <f t="shared" si="168"/>
        <v>1.8635787380168604E-12</v>
      </c>
      <c r="BH170" s="62">
        <f t="shared" si="116"/>
        <v>293.33333333333519</v>
      </c>
      <c r="BI170" s="62">
        <f ca="1">AVERAGE(OFFSET($BH$3,0,0,'Données projet'!$E$11+1,1))-AVERAGE(OFFSET($H$3,0,0,'Données projet'!$E$11+1,1))</f>
        <v>365.70510182727895</v>
      </c>
      <c r="BJ170" s="62">
        <f t="shared" si="146"/>
        <v>436.23833844962525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0.48340461525036482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4.4210242689567174E-20</v>
      </c>
      <c r="BS170" s="24">
        <f t="shared" si="169"/>
        <v>0.48340461525036482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-1.7053025658242404E-13</v>
      </c>
      <c r="O171" s="14">
        <f>N171*VLOOKUP('Données projet'!$B$9,Paramètres!$A$1:$I$89,3,0)*VLOOKUP('Données projet'!$B$9,Paramètres!$A$1:$I$89,5,0)</f>
        <v>-1.0197709343628959E-13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207.99520960626666</v>
      </c>
      <c r="T171" s="62">
        <f t="shared" si="142"/>
        <v>306.39565990874775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8.3361245564850535</v>
      </c>
      <c r="AA171" s="23">
        <f>EXP(-LN(2)/25)*AA170+(1-EXP(-LN(2)/25))/(LN(2)/25)*Calculateur!V171*Calculateur!X171*VLOOKUP('Données projet'!$B$9,Paramètres!$A$1:$I$89,3,0)*0.475*44/12</f>
        <v>0.17508824362450773</v>
      </c>
      <c r="AB171" s="23">
        <f>EXP(-LN(2)/2)*AB170+(1-EXP(-LN(2)/2))/(LN(2)/2)*V171*Y171*VLOOKUP('Données projet'!$B$9,Paramètres!$A$1:$I$89,3,0)*0.475*44/12</f>
        <v>1.0435417696177004E-16</v>
      </c>
      <c r="AC171" s="24">
        <f t="shared" si="163"/>
        <v>8.5112128001095613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5.3205440053716299E-14</v>
      </c>
      <c r="AK171" s="14">
        <f t="shared" si="164"/>
        <v>8.602146238565607E-13</v>
      </c>
      <c r="AL171" s="22">
        <f t="shared" si="165"/>
        <v>1.590873277977066E-12</v>
      </c>
      <c r="AM171" s="62">
        <f t="shared" si="113"/>
        <v>293.33333333333491</v>
      </c>
      <c r="AN171" s="62">
        <f ca="1">AVERAGE(OFFSET($AM$3,0,0,'Données projet'!$E$10+1,1))-AVERAGE(OFFSET($H$3,0,0,'Données projet'!$E$10+1,1))</f>
        <v>259.74478933784656</v>
      </c>
      <c r="AO171" s="62">
        <f t="shared" si="144"/>
        <v>223.74038909289646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6.3550942286383367E-14</v>
      </c>
      <c r="BF171" s="14">
        <f t="shared" si="167"/>
        <v>1.0064464192543978E-12</v>
      </c>
      <c r="BG171" s="22">
        <f t="shared" si="168"/>
        <v>1.8635787380168604E-12</v>
      </c>
      <c r="BH171" s="62">
        <f t="shared" si="116"/>
        <v>293.33333333333519</v>
      </c>
      <c r="BI171" s="62">
        <f ca="1">AVERAGE(OFFSET($BH$3,0,0,'Données projet'!$E$11+1,1))-AVERAGE(OFFSET($H$3,0,0,'Données projet'!$E$11+1,1))</f>
        <v>365.70510182727895</v>
      </c>
      <c r="BJ171" s="62">
        <f t="shared" si="146"/>
        <v>436.23833844962525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0.4739253455930067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3.1261362403695938E-20</v>
      </c>
      <c r="BS171" s="24">
        <f t="shared" si="169"/>
        <v>0.4739253455930067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-1.7053025658242404E-13</v>
      </c>
      <c r="O172" s="14">
        <f>N172*VLOOKUP('Données projet'!$B$9,Paramètres!$A$1:$I$89,3,0)*VLOOKUP('Données projet'!$B$9,Paramètres!$A$1:$I$89,5,0)</f>
        <v>-1.0197709343628959E-13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207.99520960626666</v>
      </c>
      <c r="T172" s="62">
        <f t="shared" si="142"/>
        <v>306.39565990874775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8.1726582384663047</v>
      </c>
      <c r="AA172" s="23">
        <f>EXP(-LN(2)/25)*AA171+(1-EXP(-LN(2)/25))/(LN(2)/25)*Calculateur!V172*Calculateur!X172*VLOOKUP('Données projet'!$B$9,Paramètres!$A$1:$I$89,3,0)*0.475*44/12</f>
        <v>0.170300446395105</v>
      </c>
      <c r="AB172" s="23">
        <f>EXP(-LN(2)/2)*AB171+(1-EXP(-LN(2)/2))/(LN(2)/2)*V172*Y172*VLOOKUP('Données projet'!$B$9,Paramètres!$A$1:$I$89,3,0)*0.475*44/12</f>
        <v>7.3789546174808584E-17</v>
      </c>
      <c r="AC172" s="24">
        <f t="shared" si="163"/>
        <v>8.3429586848614097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5.3205440053716299E-14</v>
      </c>
      <c r="AK172" s="14">
        <f t="shared" si="164"/>
        <v>8.602146238565607E-13</v>
      </c>
      <c r="AL172" s="22">
        <f t="shared" si="165"/>
        <v>1.590873277977066E-12</v>
      </c>
      <c r="AM172" s="62">
        <f t="shared" si="113"/>
        <v>293.33333333333491</v>
      </c>
      <c r="AN172" s="62">
        <f ca="1">AVERAGE(OFFSET($AM$3,0,0,'Données projet'!$E$10+1,1))-AVERAGE(OFFSET($H$3,0,0,'Données projet'!$E$10+1,1))</f>
        <v>259.74478933784656</v>
      </c>
      <c r="AO172" s="62">
        <f t="shared" si="144"/>
        <v>223.74038909289646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6.3550942286383367E-14</v>
      </c>
      <c r="BF172" s="14">
        <f t="shared" si="167"/>
        <v>1.0064464192543978E-12</v>
      </c>
      <c r="BG172" s="22">
        <f t="shared" si="168"/>
        <v>1.8635787380168604E-12</v>
      </c>
      <c r="BH172" s="62">
        <f t="shared" si="116"/>
        <v>293.33333333333519</v>
      </c>
      <c r="BI172" s="62">
        <f ca="1">AVERAGE(OFFSET($BH$3,0,0,'Données projet'!$E$11+1,1))-AVERAGE(OFFSET($H$3,0,0,'Données projet'!$E$11+1,1))</f>
        <v>365.70510182727895</v>
      </c>
      <c r="BJ172" s="62">
        <f t="shared" si="146"/>
        <v>436.23833844962525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0.46463195863184575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2.2105121344783587E-20</v>
      </c>
      <c r="BS172" s="24">
        <f t="shared" si="169"/>
        <v>0.46463195863184575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-1.7053025658242404E-13</v>
      </c>
      <c r="O173" s="14">
        <f>N173*VLOOKUP('Données projet'!$B$9,Paramètres!$A$1:$I$89,3,0)*VLOOKUP('Données projet'!$B$9,Paramètres!$A$1:$I$89,5,0)</f>
        <v>-1.0197709343628959E-13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207.99520960626666</v>
      </c>
      <c r="T173" s="62">
        <f t="shared" si="142"/>
        <v>306.39565990874775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8.0123973952392955</v>
      </c>
      <c r="AA173" s="23">
        <f>EXP(-LN(2)/25)*AA172+(1-EXP(-LN(2)/25))/(LN(2)/25)*Calculateur!V173*Calculateur!X173*VLOOKUP('Données projet'!$B$9,Paramètres!$A$1:$I$89,3,0)*0.475*44/12</f>
        <v>0.1656435717327196</v>
      </c>
      <c r="AB173" s="23">
        <f>EXP(-LN(2)/2)*AB172+(1-EXP(-LN(2)/2))/(LN(2)/2)*V173*Y173*VLOOKUP('Données projet'!$B$9,Paramètres!$A$1:$I$89,3,0)*0.475*44/12</f>
        <v>5.2177088480885019E-17</v>
      </c>
      <c r="AC173" s="24">
        <f t="shared" si="163"/>
        <v>8.1780409669720147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5.3205440053716299E-14</v>
      </c>
      <c r="AK173" s="14">
        <f t="shared" si="164"/>
        <v>8.602146238565607E-13</v>
      </c>
      <c r="AL173" s="22">
        <f t="shared" si="165"/>
        <v>1.590873277977066E-12</v>
      </c>
      <c r="AM173" s="62">
        <f t="shared" si="113"/>
        <v>293.33333333333491</v>
      </c>
      <c r="AN173" s="62">
        <f ca="1">AVERAGE(OFFSET($AM$3,0,0,'Données projet'!$E$10+1,1))-AVERAGE(OFFSET($H$3,0,0,'Données projet'!$E$10+1,1))</f>
        <v>259.74478933784656</v>
      </c>
      <c r="AO173" s="62">
        <f t="shared" si="144"/>
        <v>223.74038909289646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6.3550942286383367E-14</v>
      </c>
      <c r="BF173" s="14">
        <f t="shared" si="167"/>
        <v>1.0064464192543978E-12</v>
      </c>
      <c r="BG173" s="22">
        <f t="shared" si="168"/>
        <v>1.8635787380168604E-12</v>
      </c>
      <c r="BH173" s="62">
        <f t="shared" si="116"/>
        <v>293.33333333333519</v>
      </c>
      <c r="BI173" s="62">
        <f ca="1">AVERAGE(OFFSET($BH$3,0,0,'Données projet'!$E$11+1,1))-AVERAGE(OFFSET($H$3,0,0,'Données projet'!$E$11+1,1))</f>
        <v>365.70510182727895</v>
      </c>
      <c r="BJ173" s="62">
        <f t="shared" si="146"/>
        <v>436.23833844962525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0.45552080932058686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1.5630681201847969E-20</v>
      </c>
      <c r="BS173" s="24">
        <f t="shared" si="169"/>
        <v>0.45552080932058686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-1.7053025658242404E-13</v>
      </c>
      <c r="O174" s="14">
        <f>N174*VLOOKUP('Données projet'!$B$9,Paramètres!$A$1:$I$89,3,0)*VLOOKUP('Données projet'!$B$9,Paramètres!$A$1:$I$89,5,0)</f>
        <v>-1.0197709343628959E-13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207.99520960626666</v>
      </c>
      <c r="T174" s="62">
        <f t="shared" si="142"/>
        <v>306.39565990874775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7.8552791693985053</v>
      </c>
      <c r="AA174" s="23">
        <f>EXP(-LN(2)/25)*AA173+(1-EXP(-LN(2)/25))/(LN(2)/25)*Calculateur!V174*Calculateur!X174*VLOOKUP('Données projet'!$B$9,Paramètres!$A$1:$I$89,3,0)*0.475*44/12</f>
        <v>0.16111403955287151</v>
      </c>
      <c r="AB174" s="23">
        <f>EXP(-LN(2)/2)*AB173+(1-EXP(-LN(2)/2))/(LN(2)/2)*V174*Y174*VLOOKUP('Données projet'!$B$9,Paramètres!$A$1:$I$89,3,0)*0.475*44/12</f>
        <v>3.6894773087404292E-17</v>
      </c>
      <c r="AC174" s="24">
        <f t="shared" si="163"/>
        <v>8.0163932089513761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5.3205440053716299E-14</v>
      </c>
      <c r="AK174" s="14">
        <f t="shared" si="164"/>
        <v>8.602146238565607E-13</v>
      </c>
      <c r="AL174" s="22">
        <f t="shared" si="165"/>
        <v>1.590873277977066E-12</v>
      </c>
      <c r="AM174" s="62">
        <f t="shared" si="113"/>
        <v>293.33333333333491</v>
      </c>
      <c r="AN174" s="62">
        <f ca="1">AVERAGE(OFFSET($AM$3,0,0,'Données projet'!$E$10+1,1))-AVERAGE(OFFSET($H$3,0,0,'Données projet'!$E$10+1,1))</f>
        <v>259.74478933784656</v>
      </c>
      <c r="AO174" s="62">
        <f t="shared" si="144"/>
        <v>223.74038909289646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6.3550942286383367E-14</v>
      </c>
      <c r="BF174" s="14">
        <f t="shared" si="167"/>
        <v>1.0064464192543978E-12</v>
      </c>
      <c r="BG174" s="22">
        <f t="shared" si="168"/>
        <v>1.8635787380168604E-12</v>
      </c>
      <c r="BH174" s="62">
        <f t="shared" si="116"/>
        <v>293.33333333333519</v>
      </c>
      <c r="BI174" s="62">
        <f ca="1">AVERAGE(OFFSET($BH$3,0,0,'Données projet'!$E$11+1,1))-AVERAGE(OFFSET($H$3,0,0,'Données projet'!$E$11+1,1))</f>
        <v>365.70510182727895</v>
      </c>
      <c r="BJ174" s="62">
        <f t="shared" si="146"/>
        <v>436.23833844962525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0.44658832409006938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1.1052560672391794E-20</v>
      </c>
      <c r="BS174" s="24">
        <f t="shared" si="169"/>
        <v>0.44658832409006938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-1.7053025658242404E-13</v>
      </c>
      <c r="O175" s="14">
        <f>N175*VLOOKUP('Données projet'!$B$9,Paramètres!$A$1:$I$89,3,0)*VLOOKUP('Données projet'!$B$9,Paramètres!$A$1:$I$89,5,0)</f>
        <v>-1.0197709343628959E-13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207.99520960626666</v>
      </c>
      <c r="T175" s="62">
        <f t="shared" si="142"/>
        <v>306.39565990874775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7.7012419361337976</v>
      </c>
      <c r="AA175" s="23">
        <f>EXP(-LN(2)/25)*AA174+(1-EXP(-LN(2)/25))/(LN(2)/25)*Calculateur!V175*Calculateur!X175*VLOOKUP('Données projet'!$B$9,Paramètres!$A$1:$I$89,3,0)*0.475*44/12</f>
        <v>0.15670836766867913</v>
      </c>
      <c r="AB175" s="23">
        <f>EXP(-LN(2)/2)*AB174+(1-EXP(-LN(2)/2))/(LN(2)/2)*V175*Y175*VLOOKUP('Données projet'!$B$9,Paramètres!$A$1:$I$89,3,0)*0.475*44/12</f>
        <v>2.6088544240442509E-17</v>
      </c>
      <c r="AC175" s="24">
        <f t="shared" si="163"/>
        <v>7.8579503038024772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5.3205440053716299E-14</v>
      </c>
      <c r="AK175" s="14">
        <f t="shared" si="164"/>
        <v>8.602146238565607E-13</v>
      </c>
      <c r="AL175" s="22">
        <f t="shared" si="165"/>
        <v>1.590873277977066E-12</v>
      </c>
      <c r="AM175" s="62">
        <f t="shared" si="113"/>
        <v>293.33333333333491</v>
      </c>
      <c r="AN175" s="62">
        <f ca="1">AVERAGE(OFFSET($AM$3,0,0,'Données projet'!$E$10+1,1))-AVERAGE(OFFSET($H$3,0,0,'Données projet'!$E$10+1,1))</f>
        <v>259.74478933784656</v>
      </c>
      <c r="AO175" s="62">
        <f t="shared" si="144"/>
        <v>223.74038909289646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6.3550942286383367E-14</v>
      </c>
      <c r="BF175" s="14">
        <f t="shared" si="167"/>
        <v>1.0064464192543978E-12</v>
      </c>
      <c r="BG175" s="22">
        <f t="shared" si="168"/>
        <v>1.8635787380168604E-12</v>
      </c>
      <c r="BH175" s="62">
        <f t="shared" si="116"/>
        <v>293.33333333333519</v>
      </c>
      <c r="BI175" s="62">
        <f ca="1">AVERAGE(OFFSET($BH$3,0,0,'Données projet'!$E$11+1,1))-AVERAGE(OFFSET($H$3,0,0,'Données projet'!$E$11+1,1))</f>
        <v>365.70510182727895</v>
      </c>
      <c r="BJ175" s="62">
        <f t="shared" si="146"/>
        <v>436.23833844962525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0.43783099944664433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7.8153406009239845E-21</v>
      </c>
      <c r="BS175" s="24">
        <f t="shared" si="169"/>
        <v>0.43783099944664433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-1.7053025658242404E-13</v>
      </c>
      <c r="O176" s="14">
        <f>N176*VLOOKUP('Données projet'!$B$9,Paramètres!$A$1:$I$89,3,0)*VLOOKUP('Données projet'!$B$9,Paramètres!$A$1:$I$89,5,0)</f>
        <v>-1.0197709343628959E-13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207.99520960626666</v>
      </c>
      <c r="T176" s="62">
        <f t="shared" si="142"/>
        <v>306.39565990874775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7.5502252790599753</v>
      </c>
      <c r="AA176" s="23">
        <f>EXP(-LN(2)/25)*AA175+(1-EXP(-LN(2)/25))/(LN(2)/25)*Calculateur!V176*Calculateur!X176*VLOOKUP('Données projet'!$B$9,Paramètres!$A$1:$I$89,3,0)*0.475*44/12</f>
        <v>0.15242316911384421</v>
      </c>
      <c r="AB176" s="23">
        <f>EXP(-LN(2)/2)*AB175+(1-EXP(-LN(2)/2))/(LN(2)/2)*V176*Y176*VLOOKUP('Données projet'!$B$9,Paramètres!$A$1:$I$89,3,0)*0.475*44/12</f>
        <v>1.8447386543702146E-17</v>
      </c>
      <c r="AC176" s="24">
        <f t="shared" si="163"/>
        <v>7.7026484481738198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5.3205440053716299E-14</v>
      </c>
      <c r="AK176" s="14">
        <f t="shared" si="164"/>
        <v>8.602146238565607E-13</v>
      </c>
      <c r="AL176" s="22">
        <f t="shared" si="165"/>
        <v>1.590873277977066E-12</v>
      </c>
      <c r="AM176" s="62">
        <f t="shared" si="113"/>
        <v>293.33333333333491</v>
      </c>
      <c r="AN176" s="62">
        <f ca="1">AVERAGE(OFFSET($AM$3,0,0,'Données projet'!$E$10+1,1))-AVERAGE(OFFSET($H$3,0,0,'Données projet'!$E$10+1,1))</f>
        <v>259.74478933784656</v>
      </c>
      <c r="AO176" s="62">
        <f t="shared" si="144"/>
        <v>223.74038909289646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6.3550942286383367E-14</v>
      </c>
      <c r="BF176" s="14">
        <f t="shared" si="167"/>
        <v>1.0064464192543978E-12</v>
      </c>
      <c r="BG176" s="22">
        <f t="shared" si="168"/>
        <v>1.8635787380168604E-12</v>
      </c>
      <c r="BH176" s="62">
        <f t="shared" si="116"/>
        <v>293.33333333333519</v>
      </c>
      <c r="BI176" s="62">
        <f ca="1">AVERAGE(OFFSET($BH$3,0,0,'Données projet'!$E$11+1,1))-AVERAGE(OFFSET($H$3,0,0,'Données projet'!$E$11+1,1))</f>
        <v>365.70510182727895</v>
      </c>
      <c r="BJ176" s="62">
        <f t="shared" si="146"/>
        <v>436.23833844962525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0.42924540059803623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5.5262803361958968E-21</v>
      </c>
      <c r="BS176" s="24">
        <f t="shared" si="169"/>
        <v>0.42924540059803623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-1.7053025658242404E-13</v>
      </c>
      <c r="O177" s="14">
        <f>N177*VLOOKUP('Données projet'!$B$9,Paramètres!$A$1:$I$89,3,0)*VLOOKUP('Données projet'!$B$9,Paramètres!$A$1:$I$89,5,0)</f>
        <v>-1.0197709343628959E-13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207.99520960626666</v>
      </c>
      <c r="T177" s="62">
        <f t="shared" si="142"/>
        <v>306.39565990874775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7.4021699665203053</v>
      </c>
      <c r="AA177" s="23">
        <f>EXP(-LN(2)/25)*AA176+(1-EXP(-LN(2)/25))/(LN(2)/25)*Calculateur!V177*Calculateur!X177*VLOOKUP('Données projet'!$B$9,Paramètres!$A$1:$I$89,3,0)*0.475*44/12</f>
        <v>0.14825514953884003</v>
      </c>
      <c r="AB177" s="23">
        <f>EXP(-LN(2)/2)*AB176+(1-EXP(-LN(2)/2))/(LN(2)/2)*V177*Y177*VLOOKUP('Données projet'!$B$9,Paramètres!$A$1:$I$89,3,0)*0.475*44/12</f>
        <v>1.3044272120221255E-17</v>
      </c>
      <c r="AC177" s="24">
        <f t="shared" si="163"/>
        <v>7.5504251160591451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5.3205440053716299E-14</v>
      </c>
      <c r="AK177" s="14">
        <f t="shared" si="164"/>
        <v>8.602146238565607E-13</v>
      </c>
      <c r="AL177" s="22">
        <f t="shared" si="165"/>
        <v>1.590873277977066E-12</v>
      </c>
      <c r="AM177" s="62">
        <f t="shared" si="113"/>
        <v>293.33333333333491</v>
      </c>
      <c r="AN177" s="62">
        <f ca="1">AVERAGE(OFFSET($AM$3,0,0,'Données projet'!$E$10+1,1))-AVERAGE(OFFSET($H$3,0,0,'Données projet'!$E$10+1,1))</f>
        <v>259.74478933784656</v>
      </c>
      <c r="AO177" s="62">
        <f t="shared" si="144"/>
        <v>223.74038909289646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6.3550942286383367E-14</v>
      </c>
      <c r="BF177" s="14">
        <f t="shared" si="167"/>
        <v>1.0064464192543978E-12</v>
      </c>
      <c r="BG177" s="22">
        <f t="shared" si="168"/>
        <v>1.8635787380168604E-12</v>
      </c>
      <c r="BH177" s="62">
        <f t="shared" si="116"/>
        <v>293.33333333333519</v>
      </c>
      <c r="BI177" s="62">
        <f ca="1">AVERAGE(OFFSET($BH$3,0,0,'Données projet'!$E$11+1,1))-AVERAGE(OFFSET($H$3,0,0,'Données projet'!$E$11+1,1))</f>
        <v>365.70510182727895</v>
      </c>
      <c r="BJ177" s="62">
        <f t="shared" si="146"/>
        <v>436.23833844962525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0.42082816010615115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3.9076703004619923E-21</v>
      </c>
      <c r="BS177" s="24">
        <f t="shared" si="169"/>
        <v>0.42082816010615115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-1.7053025658242404E-13</v>
      </c>
      <c r="O178" s="14">
        <f>N178*VLOOKUP('Données projet'!$B$9,Paramètres!$A$1:$I$89,3,0)*VLOOKUP('Données projet'!$B$9,Paramètres!$A$1:$I$89,5,0)</f>
        <v>-1.0197709343628959E-13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207.99520960626666</v>
      </c>
      <c r="T178" s="62">
        <f t="shared" si="142"/>
        <v>306.39565990874775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7.2570179283547143</v>
      </c>
      <c r="AA178" s="23">
        <f>EXP(-LN(2)/25)*AA177+(1-EXP(-LN(2)/25))/(LN(2)/25)*Calculateur!V178*Calculateur!X178*VLOOKUP('Données projet'!$B$9,Paramètres!$A$1:$I$89,3,0)*0.475*44/12</f>
        <v>0.14420110467830097</v>
      </c>
      <c r="AB178" s="23">
        <f>EXP(-LN(2)/2)*AB177+(1-EXP(-LN(2)/2))/(LN(2)/2)*V178*Y178*VLOOKUP('Données projet'!$B$9,Paramètres!$A$1:$I$89,3,0)*0.475*44/12</f>
        <v>9.223693271851073E-18</v>
      </c>
      <c r="AC178" s="24">
        <f t="shared" si="163"/>
        <v>7.4012190330330156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5.3205440053716299E-14</v>
      </c>
      <c r="AK178" s="14">
        <f t="shared" si="164"/>
        <v>8.602146238565607E-13</v>
      </c>
      <c r="AL178" s="22">
        <f t="shared" si="165"/>
        <v>1.590873277977066E-12</v>
      </c>
      <c r="AM178" s="62">
        <f t="shared" si="113"/>
        <v>293.33333333333491</v>
      </c>
      <c r="AN178" s="62">
        <f ca="1">AVERAGE(OFFSET($AM$3,0,0,'Données projet'!$E$10+1,1))-AVERAGE(OFFSET($H$3,0,0,'Données projet'!$E$10+1,1))</f>
        <v>259.74478933784656</v>
      </c>
      <c r="AO178" s="62">
        <f t="shared" si="144"/>
        <v>223.74038909289646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6.3550942286383367E-14</v>
      </c>
      <c r="BF178" s="14">
        <f t="shared" si="167"/>
        <v>1.0064464192543978E-12</v>
      </c>
      <c r="BG178" s="22">
        <f t="shared" si="168"/>
        <v>1.8635787380168604E-12</v>
      </c>
      <c r="BH178" s="62">
        <f t="shared" si="116"/>
        <v>293.33333333333519</v>
      </c>
      <c r="BI178" s="62">
        <f ca="1">AVERAGE(OFFSET($BH$3,0,0,'Données projet'!$E$11+1,1))-AVERAGE(OFFSET($H$3,0,0,'Données projet'!$E$11+1,1))</f>
        <v>365.70510182727895</v>
      </c>
      <c r="BJ178" s="62">
        <f t="shared" si="146"/>
        <v>436.23833844962525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0.41257597656630218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2.7631401680979484E-21</v>
      </c>
      <c r="BS178" s="24">
        <f t="shared" si="169"/>
        <v>0.41257597656630218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-1.7053025658242404E-13</v>
      </c>
      <c r="O179" s="14">
        <f>N179*VLOOKUP('Données projet'!$B$9,Paramètres!$A$1:$I$89,3,0)*VLOOKUP('Données projet'!$B$9,Paramètres!$A$1:$I$89,5,0)</f>
        <v>-1.0197709343628959E-13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207.99520960626666</v>
      </c>
      <c r="T179" s="62">
        <f t="shared" si="142"/>
        <v>306.39565990874775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7.1147122331235497</v>
      </c>
      <c r="AA179" s="23">
        <f>EXP(-LN(2)/25)*AA178+(1-EXP(-LN(2)/25))/(LN(2)/25)*Calculateur!V179*Calculateur!X179*VLOOKUP('Données projet'!$B$9,Paramètres!$A$1:$I$89,3,0)*0.475*44/12</f>
        <v>0.14025791788766631</v>
      </c>
      <c r="AB179" s="23">
        <f>EXP(-LN(2)/2)*AB178+(1-EXP(-LN(2)/2))/(LN(2)/2)*V179*Y179*VLOOKUP('Données projet'!$B$9,Paramètres!$A$1:$I$89,3,0)*0.475*44/12</f>
        <v>6.5221360601106273E-18</v>
      </c>
      <c r="AC179" s="24">
        <f t="shared" si="163"/>
        <v>7.2549701510112161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5.3205440053716299E-14</v>
      </c>
      <c r="AK179" s="14">
        <f t="shared" si="164"/>
        <v>8.602146238565607E-13</v>
      </c>
      <c r="AL179" s="22">
        <f t="shared" si="165"/>
        <v>1.590873277977066E-12</v>
      </c>
      <c r="AM179" s="62">
        <f t="shared" si="113"/>
        <v>293.33333333333491</v>
      </c>
      <c r="AN179" s="62">
        <f ca="1">AVERAGE(OFFSET($AM$3,0,0,'Données projet'!$E$10+1,1))-AVERAGE(OFFSET($H$3,0,0,'Données projet'!$E$10+1,1))</f>
        <v>259.74478933784656</v>
      </c>
      <c r="AO179" s="62">
        <f t="shared" si="144"/>
        <v>223.74038909289646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6.3550942286383367E-14</v>
      </c>
      <c r="BF179" s="14">
        <f t="shared" si="167"/>
        <v>1.0064464192543978E-12</v>
      </c>
      <c r="BG179" s="22">
        <f t="shared" si="168"/>
        <v>1.8635787380168604E-12</v>
      </c>
      <c r="BH179" s="62">
        <f t="shared" si="116"/>
        <v>293.33333333333519</v>
      </c>
      <c r="BI179" s="62">
        <f ca="1">AVERAGE(OFFSET($BH$3,0,0,'Données projet'!$E$11+1,1))-AVERAGE(OFFSET($H$3,0,0,'Données projet'!$E$11+1,1))</f>
        <v>365.70510182727895</v>
      </c>
      <c r="BJ179" s="62">
        <f t="shared" si="146"/>
        <v>436.23833844962525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0.40448561331233468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1.9538351502309961E-21</v>
      </c>
      <c r="BS179" s="24">
        <f t="shared" si="169"/>
        <v>0.40448561331233468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-1.7053025658242404E-13</v>
      </c>
      <c r="O180" s="14">
        <f>N180*VLOOKUP('Données projet'!$B$9,Paramètres!$A$1:$I$89,3,0)*VLOOKUP('Données projet'!$B$9,Paramètres!$A$1:$I$89,5,0)</f>
        <v>-1.0197709343628959E-13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207.99520960626666</v>
      </c>
      <c r="T180" s="62">
        <f t="shared" si="142"/>
        <v>306.39565990874775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6.9751970657779649</v>
      </c>
      <c r="AA180" s="23">
        <f>EXP(-LN(2)/25)*AA179+(1-EXP(-LN(2)/25))/(LN(2)/25)*Calculateur!V180*Calculateur!X180*VLOOKUP('Données projet'!$B$9,Paramètres!$A$1:$I$89,3,0)*0.475*44/12</f>
        <v>0.13642255774718473</v>
      </c>
      <c r="AB180" s="23">
        <f>EXP(-LN(2)/2)*AB179+(1-EXP(-LN(2)/2))/(LN(2)/2)*V180*Y180*VLOOKUP('Données projet'!$B$9,Paramètres!$A$1:$I$89,3,0)*0.475*44/12</f>
        <v>4.6118466359255365E-18</v>
      </c>
      <c r="AC180" s="24">
        <f t="shared" si="163"/>
        <v>7.1116196235251499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5.3205440053716299E-14</v>
      </c>
      <c r="AK180" s="14">
        <f t="shared" si="164"/>
        <v>8.602146238565607E-13</v>
      </c>
      <c r="AL180" s="22">
        <f t="shared" si="165"/>
        <v>1.590873277977066E-12</v>
      </c>
      <c r="AM180" s="62">
        <f t="shared" si="113"/>
        <v>293.33333333333491</v>
      </c>
      <c r="AN180" s="62">
        <f ca="1">AVERAGE(OFFSET($AM$3,0,0,'Données projet'!$E$10+1,1))-AVERAGE(OFFSET($H$3,0,0,'Données projet'!$E$10+1,1))</f>
        <v>259.74478933784656</v>
      </c>
      <c r="AO180" s="62">
        <f t="shared" si="144"/>
        <v>223.74038909289646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6.3550942286383367E-14</v>
      </c>
      <c r="BF180" s="14">
        <f t="shared" si="167"/>
        <v>1.0064464192543978E-12</v>
      </c>
      <c r="BG180" s="22">
        <f t="shared" si="168"/>
        <v>1.8635787380168604E-12</v>
      </c>
      <c r="BH180" s="62">
        <f t="shared" si="116"/>
        <v>293.33333333333519</v>
      </c>
      <c r="BI180" s="62">
        <f ca="1">AVERAGE(OFFSET($BH$3,0,0,'Données projet'!$E$11+1,1))-AVERAGE(OFFSET($H$3,0,0,'Données projet'!$E$11+1,1))</f>
        <v>365.70510182727895</v>
      </c>
      <c r="BJ180" s="62">
        <f t="shared" si="146"/>
        <v>436.23833844962525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0.39655389714714312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1.3815700840489742E-21</v>
      </c>
      <c r="BS180" s="24">
        <f t="shared" si="169"/>
        <v>0.39655389714714312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-1.7053025658242404E-13</v>
      </c>
      <c r="O181" s="14">
        <f>N181*VLOOKUP('Données projet'!$B$9,Paramètres!$A$1:$I$89,3,0)*VLOOKUP('Données projet'!$B$9,Paramètres!$A$1:$I$89,5,0)</f>
        <v>-1.0197709343628959E-13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207.99520960626666</v>
      </c>
      <c r="T181" s="62">
        <f t="shared" si="142"/>
        <v>306.39565990874775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6.838417705768177</v>
      </c>
      <c r="AA181" s="23">
        <f>EXP(-LN(2)/25)*AA180+(1-EXP(-LN(2)/25))/(LN(2)/25)*Calculateur!V181*Calculateur!X181*VLOOKUP('Données projet'!$B$9,Paramètres!$A$1:$I$89,3,0)*0.475*44/12</f>
        <v>0.13269207573143746</v>
      </c>
      <c r="AB181" s="23">
        <f>EXP(-LN(2)/2)*AB180+(1-EXP(-LN(2)/2))/(LN(2)/2)*V181*Y181*VLOOKUP('Données projet'!$B$9,Paramètres!$A$1:$I$89,3,0)*0.475*44/12</f>
        <v>3.2610680300553137E-18</v>
      </c>
      <c r="AC181" s="24">
        <f t="shared" si="163"/>
        <v>6.9711097814996146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5.3205440053716299E-14</v>
      </c>
      <c r="AK181" s="14">
        <f t="shared" si="164"/>
        <v>8.602146238565607E-13</v>
      </c>
      <c r="AL181" s="22">
        <f t="shared" si="165"/>
        <v>1.590873277977066E-12</v>
      </c>
      <c r="AM181" s="62">
        <f t="shared" si="113"/>
        <v>293.33333333333491</v>
      </c>
      <c r="AN181" s="62">
        <f ca="1">AVERAGE(OFFSET($AM$3,0,0,'Données projet'!$E$10+1,1))-AVERAGE(OFFSET($H$3,0,0,'Données projet'!$E$10+1,1))</f>
        <v>259.74478933784656</v>
      </c>
      <c r="AO181" s="62">
        <f t="shared" si="144"/>
        <v>223.74038909289646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6.3550942286383367E-14</v>
      </c>
      <c r="BF181" s="14">
        <f t="shared" si="167"/>
        <v>1.0064464192543978E-12</v>
      </c>
      <c r="BG181" s="22">
        <f t="shared" si="168"/>
        <v>1.8635787380168604E-12</v>
      </c>
      <c r="BH181" s="62">
        <f t="shared" si="116"/>
        <v>293.33333333333519</v>
      </c>
      <c r="BI181" s="62">
        <f ca="1">AVERAGE(OFFSET($BH$3,0,0,'Données projet'!$E$11+1,1))-AVERAGE(OFFSET($H$3,0,0,'Données projet'!$E$11+1,1))</f>
        <v>365.70510182727895</v>
      </c>
      <c r="BJ181" s="62">
        <f t="shared" si="146"/>
        <v>436.23833844962525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0.38877771709808184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9.7691757511549807E-22</v>
      </c>
      <c r="BS181" s="24">
        <f t="shared" si="169"/>
        <v>0.38877771709808184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-1.7053025658242404E-13</v>
      </c>
      <c r="O182" s="14">
        <f>N182*VLOOKUP('Données projet'!$B$9,Paramètres!$A$1:$I$89,3,0)*VLOOKUP('Données projet'!$B$9,Paramètres!$A$1:$I$89,5,0)</f>
        <v>-1.0197709343628959E-13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207.99520960626666</v>
      </c>
      <c r="T182" s="62">
        <f t="shared" si="142"/>
        <v>306.39565990874775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6.7043205055810091</v>
      </c>
      <c r="AA182" s="23">
        <f>EXP(-LN(2)/25)*AA181+(1-EXP(-LN(2)/25))/(LN(2)/25)*Calculateur!V182*Calculateur!X182*VLOOKUP('Données projet'!$B$9,Paramètres!$A$1:$I$89,3,0)*0.475*44/12</f>
        <v>0.12906360394258831</v>
      </c>
      <c r="AB182" s="23">
        <f>EXP(-LN(2)/2)*AB181+(1-EXP(-LN(2)/2))/(LN(2)/2)*V182*Y182*VLOOKUP('Données projet'!$B$9,Paramètres!$A$1:$I$89,3,0)*0.475*44/12</f>
        <v>2.3059233179627682E-18</v>
      </c>
      <c r="AC182" s="24">
        <f t="shared" si="163"/>
        <v>6.8333841095235979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5.3205440053716299E-14</v>
      </c>
      <c r="AK182" s="14">
        <f t="shared" si="164"/>
        <v>8.602146238565607E-13</v>
      </c>
      <c r="AL182" s="22">
        <f t="shared" si="165"/>
        <v>1.590873277977066E-12</v>
      </c>
      <c r="AM182" s="62">
        <f t="shared" si="113"/>
        <v>293.33333333333491</v>
      </c>
      <c r="AN182" s="62">
        <f ca="1">AVERAGE(OFFSET($AM$3,0,0,'Données projet'!$E$10+1,1))-AVERAGE(OFFSET($H$3,0,0,'Données projet'!$E$10+1,1))</f>
        <v>259.74478933784656</v>
      </c>
      <c r="AO182" s="62">
        <f t="shared" si="144"/>
        <v>223.74038909289646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6.3550942286383367E-14</v>
      </c>
      <c r="BF182" s="14">
        <f t="shared" si="167"/>
        <v>1.0064464192543978E-12</v>
      </c>
      <c r="BG182" s="22">
        <f t="shared" si="168"/>
        <v>1.8635787380168604E-12</v>
      </c>
      <c r="BH182" s="62">
        <f t="shared" si="116"/>
        <v>293.33333333333519</v>
      </c>
      <c r="BI182" s="62">
        <f ca="1">AVERAGE(OFFSET($BH$3,0,0,'Données projet'!$E$11+1,1))-AVERAGE(OFFSET($H$3,0,0,'Données projet'!$E$11+1,1))</f>
        <v>365.70510182727895</v>
      </c>
      <c r="BJ182" s="62">
        <f t="shared" si="146"/>
        <v>436.23833844962525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0.38115402319678116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6.907850420244871E-22</v>
      </c>
      <c r="BS182" s="24">
        <f t="shared" si="169"/>
        <v>0.38115402319678116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-1.7053025658242404E-13</v>
      </c>
      <c r="O183" s="14">
        <f>N183*VLOOKUP('Données projet'!$B$9,Paramètres!$A$1:$I$89,3,0)*VLOOKUP('Données projet'!$B$9,Paramètres!$A$1:$I$89,5,0)</f>
        <v>-1.0197709343628959E-13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207.99520960626666</v>
      </c>
      <c r="T183" s="62">
        <f t="shared" si="142"/>
        <v>306.39565990874775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6.5728528696982957</v>
      </c>
      <c r="AA183" s="23">
        <f>EXP(-LN(2)/25)*AA182+(1-EXP(-LN(2)/25))/(LN(2)/25)*Calculateur!V183*Calculateur!X183*VLOOKUP('Données projet'!$B$9,Paramètres!$A$1:$I$89,3,0)*0.475*44/12</f>
        <v>0.12553435290561829</v>
      </c>
      <c r="AB183" s="23">
        <f>EXP(-LN(2)/2)*AB182+(1-EXP(-LN(2)/2))/(LN(2)/2)*V183*Y183*VLOOKUP('Données projet'!$B$9,Paramètres!$A$1:$I$89,3,0)*0.475*44/12</f>
        <v>1.6305340150276568E-18</v>
      </c>
      <c r="AC183" s="24">
        <f t="shared" si="163"/>
        <v>6.6983872226039143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5.3205440053716299E-14</v>
      </c>
      <c r="AK183" s="14">
        <f t="shared" si="164"/>
        <v>8.602146238565607E-13</v>
      </c>
      <c r="AL183" s="22">
        <f t="shared" si="165"/>
        <v>1.590873277977066E-12</v>
      </c>
      <c r="AM183" s="62">
        <f t="shared" si="113"/>
        <v>293.33333333333491</v>
      </c>
      <c r="AN183" s="62">
        <f ca="1">AVERAGE(OFFSET($AM$3,0,0,'Données projet'!$E$10+1,1))-AVERAGE(OFFSET($H$3,0,0,'Données projet'!$E$10+1,1))</f>
        <v>259.74478933784656</v>
      </c>
      <c r="AO183" s="62">
        <f t="shared" si="144"/>
        <v>223.74038909289646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6.3550942286383367E-14</v>
      </c>
      <c r="BF183" s="14">
        <f t="shared" si="167"/>
        <v>1.0064464192543978E-12</v>
      </c>
      <c r="BG183" s="22">
        <f t="shared" si="168"/>
        <v>1.8635787380168604E-12</v>
      </c>
      <c r="BH183" s="62">
        <f t="shared" si="116"/>
        <v>293.33333333333519</v>
      </c>
      <c r="BI183" s="62">
        <f ca="1">AVERAGE(OFFSET($BH$3,0,0,'Données projet'!$E$11+1,1))-AVERAGE(OFFSET($H$3,0,0,'Données projet'!$E$11+1,1))</f>
        <v>365.70510182727895</v>
      </c>
      <c r="BJ183" s="62">
        <f t="shared" si="146"/>
        <v>436.23833844962525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0.37367982528289084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4.8845878755774903E-22</v>
      </c>
      <c r="BS183" s="24">
        <f t="shared" si="169"/>
        <v>0.37367982528289084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-1.7053025658242404E-13</v>
      </c>
      <c r="O184" s="14">
        <f>N184*VLOOKUP('Données projet'!$B$9,Paramètres!$A$1:$I$89,3,0)*VLOOKUP('Données projet'!$B$9,Paramètres!$A$1:$I$89,5,0)</f>
        <v>-1.0197709343628959E-13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207.99520960626666</v>
      </c>
      <c r="T184" s="62">
        <f t="shared" si="142"/>
        <v>306.39565990874775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6.443963233967902</v>
      </c>
      <c r="AA184" s="23">
        <f>EXP(-LN(2)/25)*AA183+(1-EXP(-LN(2)/25))/(LN(2)/25)*Calculateur!V184*Calculateur!X184*VLOOKUP('Données projet'!$B$9,Paramètres!$A$1:$I$89,3,0)*0.475*44/12</f>
        <v>0.12210160942384946</v>
      </c>
      <c r="AB184" s="23">
        <f>EXP(-LN(2)/2)*AB183+(1-EXP(-LN(2)/2))/(LN(2)/2)*V184*Y184*VLOOKUP('Données projet'!$B$9,Paramètres!$A$1:$I$89,3,0)*0.475*44/12</f>
        <v>1.1529616589813841E-18</v>
      </c>
      <c r="AC184" s="24">
        <f t="shared" si="163"/>
        <v>6.5660648433917519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5.3205440053716299E-14</v>
      </c>
      <c r="AK184" s="14">
        <f t="shared" si="164"/>
        <v>8.602146238565607E-13</v>
      </c>
      <c r="AL184" s="22">
        <f t="shared" si="165"/>
        <v>1.590873277977066E-12</v>
      </c>
      <c r="AM184" s="62">
        <f t="shared" si="113"/>
        <v>293.33333333333491</v>
      </c>
      <c r="AN184" s="62">
        <f ca="1">AVERAGE(OFFSET($AM$3,0,0,'Données projet'!$E$10+1,1))-AVERAGE(OFFSET($H$3,0,0,'Données projet'!$E$10+1,1))</f>
        <v>259.74478933784656</v>
      </c>
      <c r="AO184" s="62">
        <f t="shared" si="144"/>
        <v>223.74038909289646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6.3550942286383367E-14</v>
      </c>
      <c r="BF184" s="14">
        <f t="shared" si="167"/>
        <v>1.0064464192543978E-12</v>
      </c>
      <c r="BG184" s="22">
        <f t="shared" si="168"/>
        <v>1.8635787380168604E-12</v>
      </c>
      <c r="BH184" s="62">
        <f t="shared" si="116"/>
        <v>293.33333333333519</v>
      </c>
      <c r="BI184" s="62">
        <f ca="1">AVERAGE(OFFSET($BH$3,0,0,'Données projet'!$E$11+1,1))-AVERAGE(OFFSET($H$3,0,0,'Données projet'!$E$11+1,1))</f>
        <v>365.70510182727895</v>
      </c>
      <c r="BJ184" s="62">
        <f t="shared" si="146"/>
        <v>436.23833844962525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0.36635219183128132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3.4539252101224355E-22</v>
      </c>
      <c r="BS184" s="24">
        <f t="shared" si="169"/>
        <v>0.36635219183128132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-1.7053025658242404E-13</v>
      </c>
      <c r="O185" s="14">
        <f>N185*VLOOKUP('Données projet'!$B$9,Paramètres!$A$1:$I$89,3,0)*VLOOKUP('Données projet'!$B$9,Paramètres!$A$1:$I$89,5,0)</f>
        <v>-1.0197709343628959E-13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207.99520960626666</v>
      </c>
      <c r="T185" s="62">
        <f t="shared" si="142"/>
        <v>306.39565990874775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6.3176010453792664</v>
      </c>
      <c r="AA185" s="23">
        <f>EXP(-LN(2)/25)*AA184+(1-EXP(-LN(2)/25))/(LN(2)/25)*Calculateur!V185*Calculateur!X185*VLOOKUP('Données projet'!$B$9,Paramètres!$A$1:$I$89,3,0)*0.475*44/12</f>
        <v>0.11876273449310971</v>
      </c>
      <c r="AB185" s="23">
        <f>EXP(-LN(2)/2)*AB184+(1-EXP(-LN(2)/2))/(LN(2)/2)*V185*Y185*VLOOKUP('Données projet'!$B$9,Paramètres!$A$1:$I$89,3,0)*0.475*44/12</f>
        <v>8.1526700751382842E-19</v>
      </c>
      <c r="AC185" s="24">
        <f t="shared" si="163"/>
        <v>6.4363637798723765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5.3205440053716299E-14</v>
      </c>
      <c r="AK185" s="14">
        <f t="shared" si="164"/>
        <v>8.602146238565607E-13</v>
      </c>
      <c r="AL185" s="22">
        <f t="shared" si="165"/>
        <v>1.590873277977066E-12</v>
      </c>
      <c r="AM185" s="62">
        <f t="shared" si="113"/>
        <v>293.33333333333491</v>
      </c>
      <c r="AN185" s="62">
        <f ca="1">AVERAGE(OFFSET($AM$3,0,0,'Données projet'!$E$10+1,1))-AVERAGE(OFFSET($H$3,0,0,'Données projet'!$E$10+1,1))</f>
        <v>259.74478933784656</v>
      </c>
      <c r="AO185" s="62">
        <f t="shared" si="144"/>
        <v>223.74038909289646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6.3550942286383367E-14</v>
      </c>
      <c r="BF185" s="14">
        <f t="shared" si="167"/>
        <v>1.0064464192543978E-12</v>
      </c>
      <c r="BG185" s="22">
        <f t="shared" si="168"/>
        <v>1.8635787380168604E-12</v>
      </c>
      <c r="BH185" s="62">
        <f t="shared" si="116"/>
        <v>293.33333333333519</v>
      </c>
      <c r="BI185" s="62">
        <f ca="1">AVERAGE(OFFSET($BH$3,0,0,'Données projet'!$E$11+1,1))-AVERAGE(OFFSET($H$3,0,0,'Données projet'!$E$11+1,1))</f>
        <v>365.70510182727895</v>
      </c>
      <c r="BJ185" s="62">
        <f t="shared" si="146"/>
        <v>436.23833844962525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0.3591682488022428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2.4422939377887452E-22</v>
      </c>
      <c r="BS185" s="24">
        <f t="shared" si="169"/>
        <v>0.3591682488022428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-1.7053025658242404E-13</v>
      </c>
      <c r="O186" s="14">
        <f>N186*VLOOKUP('Données projet'!$B$9,Paramètres!$A$1:$I$89,3,0)*VLOOKUP('Données projet'!$B$9,Paramètres!$A$1:$I$89,5,0)</f>
        <v>-1.0197709343628959E-13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207.99520960626666</v>
      </c>
      <c r="T186" s="62">
        <f t="shared" si="142"/>
        <v>306.39565990874775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6.1937167422355293</v>
      </c>
      <c r="AA186" s="23">
        <f>EXP(-LN(2)/25)*AA185+(1-EXP(-LN(2)/25))/(LN(2)/25)*Calculateur!V186*Calculateur!X186*VLOOKUP('Données projet'!$B$9,Paramètres!$A$1:$I$89,3,0)*0.475*44/12</f>
        <v>0.11551516127293486</v>
      </c>
      <c r="AB186" s="23">
        <f>EXP(-LN(2)/2)*AB185+(1-EXP(-LN(2)/2))/(LN(2)/2)*V186*Y186*VLOOKUP('Données projet'!$B$9,Paramètres!$A$1:$I$89,3,0)*0.475*44/12</f>
        <v>5.7648082949069206E-19</v>
      </c>
      <c r="AC186" s="24">
        <f t="shared" si="163"/>
        <v>6.3092319035084641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5.3205440053716299E-14</v>
      </c>
      <c r="AK186" s="14">
        <f t="shared" si="164"/>
        <v>8.602146238565607E-13</v>
      </c>
      <c r="AL186" s="22">
        <f t="shared" si="165"/>
        <v>1.590873277977066E-12</v>
      </c>
      <c r="AM186" s="62">
        <f t="shared" si="113"/>
        <v>293.33333333333491</v>
      </c>
      <c r="AN186" s="62">
        <f ca="1">AVERAGE(OFFSET($AM$3,0,0,'Données projet'!$E$10+1,1))-AVERAGE(OFFSET($H$3,0,0,'Données projet'!$E$10+1,1))</f>
        <v>259.74478933784656</v>
      </c>
      <c r="AO186" s="62">
        <f t="shared" si="144"/>
        <v>223.74038909289646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6.3550942286383367E-14</v>
      </c>
      <c r="BF186" s="14">
        <f t="shared" si="167"/>
        <v>1.0064464192543978E-12</v>
      </c>
      <c r="BG186" s="22">
        <f t="shared" si="168"/>
        <v>1.8635787380168604E-12</v>
      </c>
      <c r="BH186" s="62">
        <f t="shared" si="116"/>
        <v>293.33333333333519</v>
      </c>
      <c r="BI186" s="62">
        <f ca="1">AVERAGE(OFFSET($BH$3,0,0,'Données projet'!$E$11+1,1))-AVERAGE(OFFSET($H$3,0,0,'Données projet'!$E$11+1,1))</f>
        <v>365.70510182727895</v>
      </c>
      <c r="BJ186" s="62">
        <f t="shared" si="146"/>
        <v>436.23833844962525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0.35212517851423114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1.7269626050612178E-22</v>
      </c>
      <c r="BS186" s="24">
        <f t="shared" si="169"/>
        <v>0.35212517851423114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-1.7053025658242404E-13</v>
      </c>
      <c r="O187" s="14">
        <f>N187*VLOOKUP('Données projet'!$B$9,Paramètres!$A$1:$I$89,3,0)*VLOOKUP('Données projet'!$B$9,Paramètres!$A$1:$I$89,5,0)</f>
        <v>-1.0197709343628959E-13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207.99520960626666</v>
      </c>
      <c r="T187" s="62">
        <f t="shared" si="142"/>
        <v>306.39565990874775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6.0722617347144769</v>
      </c>
      <c r="AA187" s="23">
        <f>EXP(-LN(2)/25)*AA186+(1-EXP(-LN(2)/25))/(LN(2)/25)*Calculateur!V187*Calculateur!X187*VLOOKUP('Données projet'!$B$9,Paramètres!$A$1:$I$89,3,0)*0.475*44/12</f>
        <v>0.11235639311324813</v>
      </c>
      <c r="AB187" s="23">
        <f>EXP(-LN(2)/2)*AB186+(1-EXP(-LN(2)/2))/(LN(2)/2)*V187*Y187*VLOOKUP('Données projet'!$B$9,Paramètres!$A$1:$I$89,3,0)*0.475*44/12</f>
        <v>4.0763350375691421E-19</v>
      </c>
      <c r="AC187" s="24">
        <f t="shared" si="163"/>
        <v>6.1846181278277248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5.3205440053716299E-14</v>
      </c>
      <c r="AK187" s="14">
        <f t="shared" si="164"/>
        <v>8.602146238565607E-13</v>
      </c>
      <c r="AL187" s="22">
        <f t="shared" si="165"/>
        <v>1.590873277977066E-12</v>
      </c>
      <c r="AM187" s="62">
        <f t="shared" si="113"/>
        <v>293.33333333333491</v>
      </c>
      <c r="AN187" s="62">
        <f ca="1">AVERAGE(OFFSET($AM$3,0,0,'Données projet'!$E$10+1,1))-AVERAGE(OFFSET($H$3,0,0,'Données projet'!$E$10+1,1))</f>
        <v>259.74478933784656</v>
      </c>
      <c r="AO187" s="62">
        <f t="shared" si="144"/>
        <v>223.74038909289646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6.3550942286383367E-14</v>
      </c>
      <c r="BF187" s="14">
        <f t="shared" si="167"/>
        <v>1.0064464192543978E-12</v>
      </c>
      <c r="BG187" s="22">
        <f t="shared" si="168"/>
        <v>1.8635787380168604E-12</v>
      </c>
      <c r="BH187" s="62">
        <f t="shared" si="116"/>
        <v>293.33333333333519</v>
      </c>
      <c r="BI187" s="62">
        <f ca="1">AVERAGE(OFFSET($BH$3,0,0,'Données projet'!$E$11+1,1))-AVERAGE(OFFSET($H$3,0,0,'Données projet'!$E$11+1,1))</f>
        <v>365.70510182727895</v>
      </c>
      <c r="BJ187" s="62">
        <f t="shared" si="146"/>
        <v>436.23833844962525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0.3452202185387187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1.2211469688943726E-22</v>
      </c>
      <c r="BS187" s="24">
        <f t="shared" si="169"/>
        <v>0.3452202185387187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-1.7053025658242404E-13</v>
      </c>
      <c r="O188" s="14">
        <f>N188*VLOOKUP('Données projet'!$B$9,Paramètres!$A$1:$I$89,3,0)*VLOOKUP('Données projet'!$B$9,Paramètres!$A$1:$I$89,5,0)</f>
        <v>-1.0197709343628959E-13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207.99520960626666</v>
      </c>
      <c r="T188" s="62">
        <f t="shared" si="142"/>
        <v>306.39565990874775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5.9531883858106731</v>
      </c>
      <c r="AA188" s="23">
        <f>EXP(-LN(2)/25)*AA187+(1-EXP(-LN(2)/25))/(LN(2)/25)*Calculateur!V188*Calculateur!X188*VLOOKUP('Données projet'!$B$9,Paramètres!$A$1:$I$89,3,0)*0.475*44/12</f>
        <v>0.10928400163500045</v>
      </c>
      <c r="AB188" s="23">
        <f>EXP(-LN(2)/2)*AB187+(1-EXP(-LN(2)/2))/(LN(2)/2)*V188*Y188*VLOOKUP('Données projet'!$B$9,Paramètres!$A$1:$I$89,3,0)*0.475*44/12</f>
        <v>2.8824041474534603E-19</v>
      </c>
      <c r="AC188" s="24">
        <f t="shared" si="163"/>
        <v>6.0624723874456734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5.3205440053716299E-14</v>
      </c>
      <c r="AK188" s="14">
        <f t="shared" si="164"/>
        <v>8.602146238565607E-13</v>
      </c>
      <c r="AL188" s="22">
        <f t="shared" si="165"/>
        <v>1.590873277977066E-12</v>
      </c>
      <c r="AM188" s="62">
        <f t="shared" si="113"/>
        <v>293.33333333333491</v>
      </c>
      <c r="AN188" s="62">
        <f ca="1">AVERAGE(OFFSET($AM$3,0,0,'Données projet'!$E$10+1,1))-AVERAGE(OFFSET($H$3,0,0,'Données projet'!$E$10+1,1))</f>
        <v>259.74478933784656</v>
      </c>
      <c r="AO188" s="62">
        <f t="shared" si="144"/>
        <v>223.74038909289646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6.3550942286383367E-14</v>
      </c>
      <c r="BF188" s="14">
        <f t="shared" si="167"/>
        <v>1.0064464192543978E-12</v>
      </c>
      <c r="BG188" s="22">
        <f t="shared" si="168"/>
        <v>1.8635787380168604E-12</v>
      </c>
      <c r="BH188" s="62">
        <f t="shared" si="116"/>
        <v>293.33333333333519</v>
      </c>
      <c r="BI188" s="62">
        <f ca="1">AVERAGE(OFFSET($BH$3,0,0,'Données projet'!$E$11+1,1))-AVERAGE(OFFSET($H$3,0,0,'Données projet'!$E$11+1,1))</f>
        <v>365.70510182727895</v>
      </c>
      <c r="BJ188" s="62">
        <f t="shared" si="146"/>
        <v>436.23833844962525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0.3384506606167163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8.6348130253060888E-23</v>
      </c>
      <c r="BS188" s="24">
        <f t="shared" si="169"/>
        <v>0.3384506606167163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-1.7053025658242404E-13</v>
      </c>
      <c r="O189" s="14">
        <f>N189*VLOOKUP('Données projet'!$B$9,Paramètres!$A$1:$I$89,3,0)*VLOOKUP('Données projet'!$B$9,Paramètres!$A$1:$I$89,5,0)</f>
        <v>-1.0197709343628959E-13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207.99520960626666</v>
      </c>
      <c r="T189" s="62">
        <f t="shared" si="142"/>
        <v>306.39565990874775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5.8364499926513016</v>
      </c>
      <c r="AA189" s="23">
        <f>EXP(-LN(2)/25)*AA188+(1-EXP(-LN(2)/25))/(LN(2)/25)*Calculateur!V189*Calculateur!X189*VLOOKUP('Données projet'!$B$9,Paramètres!$A$1:$I$89,3,0)*0.475*44/12</f>
        <v>0.10629562486329548</v>
      </c>
      <c r="AB189" s="23">
        <f>EXP(-LN(2)/2)*AB188+(1-EXP(-LN(2)/2))/(LN(2)/2)*V189*Y189*VLOOKUP('Données projet'!$B$9,Paramètres!$A$1:$I$89,3,0)*0.475*44/12</f>
        <v>2.038167518784571E-19</v>
      </c>
      <c r="AC189" s="24">
        <f t="shared" si="163"/>
        <v>5.9427456175145972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5.3205440053716299E-14</v>
      </c>
      <c r="AK189" s="14">
        <f t="shared" si="164"/>
        <v>8.602146238565607E-13</v>
      </c>
      <c r="AL189" s="22">
        <f t="shared" si="165"/>
        <v>1.590873277977066E-12</v>
      </c>
      <c r="AM189" s="62">
        <f t="shared" si="113"/>
        <v>293.33333333333491</v>
      </c>
      <c r="AN189" s="62">
        <f ca="1">AVERAGE(OFFSET($AM$3,0,0,'Données projet'!$E$10+1,1))-AVERAGE(OFFSET($H$3,0,0,'Données projet'!$E$10+1,1))</f>
        <v>259.74478933784656</v>
      </c>
      <c r="AO189" s="62">
        <f t="shared" si="144"/>
        <v>223.74038909289646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6.3550942286383367E-14</v>
      </c>
      <c r="BF189" s="14">
        <f t="shared" si="167"/>
        <v>1.0064464192543978E-12</v>
      </c>
      <c r="BG189" s="22">
        <f t="shared" si="168"/>
        <v>1.8635787380168604E-12</v>
      </c>
      <c r="BH189" s="62">
        <f t="shared" si="116"/>
        <v>293.33333333333519</v>
      </c>
      <c r="BI189" s="62">
        <f ca="1">AVERAGE(OFFSET($BH$3,0,0,'Données projet'!$E$11+1,1))-AVERAGE(OFFSET($H$3,0,0,'Données projet'!$E$11+1,1))</f>
        <v>365.70510182727895</v>
      </c>
      <c r="BJ189" s="62">
        <f t="shared" si="146"/>
        <v>436.23833844962525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0.33181384959654175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6.1057348444718629E-23</v>
      </c>
      <c r="BS189" s="24">
        <f t="shared" si="169"/>
        <v>0.33181384959654175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-1.7053025658242404E-13</v>
      </c>
      <c r="O190" s="14">
        <f>N190*VLOOKUP('Données projet'!$B$9,Paramètres!$A$1:$I$89,3,0)*VLOOKUP('Données projet'!$B$9,Paramètres!$A$1:$I$89,5,0)</f>
        <v>-1.0197709343628959E-13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207.99520960626666</v>
      </c>
      <c r="T190" s="62">
        <f t="shared" si="142"/>
        <v>306.39565990874775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5.722000768178396</v>
      </c>
      <c r="AA190" s="23">
        <f>EXP(-LN(2)/25)*AA189+(1-EXP(-LN(2)/25))/(LN(2)/25)*Calculateur!V190*Calculateur!X190*VLOOKUP('Données projet'!$B$9,Paramètres!$A$1:$I$89,3,0)*0.475*44/12</f>
        <v>0.1033889654115647</v>
      </c>
      <c r="AB190" s="23">
        <f>EXP(-LN(2)/2)*AB189+(1-EXP(-LN(2)/2))/(LN(2)/2)*V190*Y190*VLOOKUP('Données projet'!$B$9,Paramètres!$A$1:$I$89,3,0)*0.475*44/12</f>
        <v>1.4412020737267302E-19</v>
      </c>
      <c r="AC190" s="24">
        <f t="shared" si="163"/>
        <v>5.8253897335899607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5.3205440053716299E-14</v>
      </c>
      <c r="AK190" s="14">
        <f t="shared" si="164"/>
        <v>8.602146238565607E-13</v>
      </c>
      <c r="AL190" s="22">
        <f t="shared" si="165"/>
        <v>1.590873277977066E-12</v>
      </c>
      <c r="AM190" s="62">
        <f t="shared" si="113"/>
        <v>293.33333333333491</v>
      </c>
      <c r="AN190" s="62">
        <f ca="1">AVERAGE(OFFSET($AM$3,0,0,'Données projet'!$E$10+1,1))-AVERAGE(OFFSET($H$3,0,0,'Données projet'!$E$10+1,1))</f>
        <v>259.74478933784656</v>
      </c>
      <c r="AO190" s="62">
        <f t="shared" si="144"/>
        <v>223.74038909289646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6.3550942286383367E-14</v>
      </c>
      <c r="BF190" s="14">
        <f t="shared" si="167"/>
        <v>1.0064464192543978E-12</v>
      </c>
      <c r="BG190" s="22">
        <f t="shared" si="168"/>
        <v>1.8635787380168604E-12</v>
      </c>
      <c r="BH190" s="62">
        <f t="shared" si="116"/>
        <v>293.33333333333519</v>
      </c>
      <c r="BI190" s="62">
        <f ca="1">AVERAGE(OFFSET($BH$3,0,0,'Données projet'!$E$11+1,1))-AVERAGE(OFFSET($H$3,0,0,'Données projet'!$E$11+1,1))</f>
        <v>365.70510182727895</v>
      </c>
      <c r="BJ190" s="62">
        <f t="shared" si="146"/>
        <v>436.23833844962525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0.32530718239241785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4.3174065126530444E-23</v>
      </c>
      <c r="BS190" s="24">
        <f t="shared" si="169"/>
        <v>0.32530718239241785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-1.7053025658242404E-13</v>
      </c>
      <c r="O191" s="14">
        <f>N191*VLOOKUP('Données projet'!$B$9,Paramètres!$A$1:$I$89,3,0)*VLOOKUP('Données projet'!$B$9,Paramètres!$A$1:$I$89,5,0)</f>
        <v>-1.0197709343628959E-13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207.99520960626666</v>
      </c>
      <c r="T191" s="62">
        <f t="shared" si="142"/>
        <v>306.39565990874775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5.6097958231902698</v>
      </c>
      <c r="AA191" s="23">
        <f>EXP(-LN(2)/25)*AA190+(1-EXP(-LN(2)/25))/(LN(2)/25)*Calculateur!V191*Calculateur!X191*VLOOKUP('Données projet'!$B$9,Paramètres!$A$1:$I$89,3,0)*0.475*44/12</f>
        <v>0.10056178871539607</v>
      </c>
      <c r="AB191" s="23">
        <f>EXP(-LN(2)/2)*AB190+(1-EXP(-LN(2)/2))/(LN(2)/2)*V191*Y191*VLOOKUP('Données projet'!$B$9,Paramètres!$A$1:$I$89,3,0)*0.475*44/12</f>
        <v>1.0190837593922855E-19</v>
      </c>
      <c r="AC191" s="24">
        <f t="shared" si="163"/>
        <v>5.7103576119056658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5.3205440053716299E-14</v>
      </c>
      <c r="AK191" s="14">
        <f t="shared" si="164"/>
        <v>8.602146238565607E-13</v>
      </c>
      <c r="AL191" s="22">
        <f t="shared" si="165"/>
        <v>1.590873277977066E-12</v>
      </c>
      <c r="AM191" s="62">
        <f t="shared" si="113"/>
        <v>293.33333333333491</v>
      </c>
      <c r="AN191" s="62">
        <f ca="1">AVERAGE(OFFSET($AM$3,0,0,'Données projet'!$E$10+1,1))-AVERAGE(OFFSET($H$3,0,0,'Données projet'!$E$10+1,1))</f>
        <v>259.74478933784656</v>
      </c>
      <c r="AO191" s="62">
        <f t="shared" si="144"/>
        <v>223.74038909289646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6.3550942286383367E-14</v>
      </c>
      <c r="BF191" s="14">
        <f t="shared" si="167"/>
        <v>1.0064464192543978E-12</v>
      </c>
      <c r="BG191" s="22">
        <f t="shared" si="168"/>
        <v>1.8635787380168604E-12</v>
      </c>
      <c r="BH191" s="62">
        <f t="shared" si="116"/>
        <v>293.33333333333519</v>
      </c>
      <c r="BI191" s="62">
        <f ca="1">AVERAGE(OFFSET($BH$3,0,0,'Données projet'!$E$11+1,1))-AVERAGE(OFFSET($H$3,0,0,'Données projet'!$E$11+1,1))</f>
        <v>365.70510182727895</v>
      </c>
      <c r="BJ191" s="62">
        <f t="shared" si="146"/>
        <v>436.23833844962525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0.31892810696349166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3.0528674222359315E-23</v>
      </c>
      <c r="BS191" s="24">
        <f t="shared" si="169"/>
        <v>0.31892810696349166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-1.7053025658242404E-13</v>
      </c>
      <c r="O192" s="14">
        <f>N192*VLOOKUP('Données projet'!$B$9,Paramètres!$A$1:$I$89,3,0)*VLOOKUP('Données projet'!$B$9,Paramètres!$A$1:$I$89,5,0)</f>
        <v>-1.0197709343628959E-13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207.99520960626666</v>
      </c>
      <c r="T192" s="62">
        <f t="shared" si="142"/>
        <v>306.39565990874775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5.4997911487351026</v>
      </c>
      <c r="AA192" s="23">
        <f>EXP(-LN(2)/25)*AA191+(1-EXP(-LN(2)/25))/(LN(2)/25)*Calculateur!V192*Calculateur!X192*VLOOKUP('Données projet'!$B$9,Paramètres!$A$1:$I$89,3,0)*0.475*44/12</f>
        <v>9.7811921314658934E-2</v>
      </c>
      <c r="AB192" s="23">
        <f>EXP(-LN(2)/2)*AB191+(1-EXP(-LN(2)/2))/(LN(2)/2)*V192*Y192*VLOOKUP('Données projet'!$B$9,Paramètres!$A$1:$I$89,3,0)*0.475*44/12</f>
        <v>7.2060103686336508E-20</v>
      </c>
      <c r="AC192" s="24">
        <f t="shared" si="163"/>
        <v>5.5976030700497619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5.3205440053716299E-14</v>
      </c>
      <c r="AK192" s="14">
        <f t="shared" si="164"/>
        <v>8.602146238565607E-13</v>
      </c>
      <c r="AL192" s="22">
        <f t="shared" si="165"/>
        <v>1.590873277977066E-12</v>
      </c>
      <c r="AM192" s="62">
        <f t="shared" si="113"/>
        <v>293.33333333333491</v>
      </c>
      <c r="AN192" s="62">
        <f ca="1">AVERAGE(OFFSET($AM$3,0,0,'Données projet'!$E$10+1,1))-AVERAGE(OFFSET($H$3,0,0,'Données projet'!$E$10+1,1))</f>
        <v>259.74478933784656</v>
      </c>
      <c r="AO192" s="62">
        <f t="shared" si="144"/>
        <v>223.74038909289646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6.3550942286383367E-14</v>
      </c>
      <c r="BF192" s="14">
        <f t="shared" si="167"/>
        <v>1.0064464192543978E-12</v>
      </c>
      <c r="BG192" s="22">
        <f t="shared" si="168"/>
        <v>1.8635787380168604E-12</v>
      </c>
      <c r="BH192" s="62">
        <f t="shared" si="116"/>
        <v>293.33333333333519</v>
      </c>
      <c r="BI192" s="62">
        <f ca="1">AVERAGE(OFFSET($BH$3,0,0,'Données projet'!$E$11+1,1))-AVERAGE(OFFSET($H$3,0,0,'Données projet'!$E$11+1,1))</f>
        <v>365.70510182727895</v>
      </c>
      <c r="BJ192" s="62">
        <f t="shared" si="146"/>
        <v>436.23833844962525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0.31267412131287492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2.1587032563265222E-23</v>
      </c>
      <c r="BS192" s="24">
        <f t="shared" si="169"/>
        <v>0.31267412131287492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-1.7053025658242404E-13</v>
      </c>
      <c r="O193" s="14">
        <f>N193*VLOOKUP('Données projet'!$B$9,Paramètres!$A$1:$I$89,3,0)*VLOOKUP('Données projet'!$B$9,Paramètres!$A$1:$I$89,5,0)</f>
        <v>-1.0197709343628959E-13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207.99520960626666</v>
      </c>
      <c r="T193" s="62">
        <f t="shared" si="142"/>
        <v>306.39565990874775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5.3919435988497746</v>
      </c>
      <c r="AA193" s="23">
        <f>EXP(-LN(2)/25)*AA192+(1-EXP(-LN(2)/25))/(LN(2)/25)*Calculateur!V193*Calculateur!X193*VLOOKUP('Données projet'!$B$9,Paramètres!$A$1:$I$89,3,0)*0.475*44/12</f>
        <v>9.5137249182604189E-2</v>
      </c>
      <c r="AB193" s="23">
        <f>EXP(-LN(2)/2)*AB192+(1-EXP(-LN(2)/2))/(LN(2)/2)*V193*Y193*VLOOKUP('Données projet'!$B$9,Paramètres!$A$1:$I$89,3,0)*0.475*44/12</f>
        <v>5.0954187969614276E-20</v>
      </c>
      <c r="AC193" s="24">
        <f t="shared" si="163"/>
        <v>5.4870808480323792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5.3205440053716299E-14</v>
      </c>
      <c r="AK193" s="14">
        <f t="shared" si="164"/>
        <v>8.602146238565607E-13</v>
      </c>
      <c r="AL193" s="22">
        <f t="shared" si="165"/>
        <v>1.590873277977066E-12</v>
      </c>
      <c r="AM193" s="62">
        <f t="shared" si="113"/>
        <v>293.33333333333491</v>
      </c>
      <c r="AN193" s="62">
        <f ca="1">AVERAGE(OFFSET($AM$3,0,0,'Données projet'!$E$10+1,1))-AVERAGE(OFFSET($H$3,0,0,'Données projet'!$E$10+1,1))</f>
        <v>259.74478933784656</v>
      </c>
      <c r="AO193" s="62">
        <f t="shared" si="144"/>
        <v>223.74038909289646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6.3550942286383367E-14</v>
      </c>
      <c r="BF193" s="14">
        <f t="shared" si="167"/>
        <v>1.0064464192543978E-12</v>
      </c>
      <c r="BG193" s="22">
        <f t="shared" si="168"/>
        <v>1.8635787380168604E-12</v>
      </c>
      <c r="BH193" s="62">
        <f t="shared" si="116"/>
        <v>293.33333333333519</v>
      </c>
      <c r="BI193" s="62">
        <f ca="1">AVERAGE(OFFSET($BH$3,0,0,'Données projet'!$E$11+1,1))-AVERAGE(OFFSET($H$3,0,0,'Données projet'!$E$11+1,1))</f>
        <v>365.70510182727895</v>
      </c>
      <c r="BJ193" s="62">
        <f t="shared" si="146"/>
        <v>436.23833844962525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0.30654277250631218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1.5264337111179657E-23</v>
      </c>
      <c r="BS193" s="24">
        <f t="shared" si="169"/>
        <v>0.30654277250631218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-1.7053025658242404E-13</v>
      </c>
      <c r="O194" s="14">
        <f>N194*VLOOKUP('Données projet'!$B$9,Paramètres!$A$1:$I$89,3,0)*VLOOKUP('Données projet'!$B$9,Paramètres!$A$1:$I$89,5,0)</f>
        <v>-1.0197709343628959E-13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207.99520960626666</v>
      </c>
      <c r="T194" s="62">
        <f t="shared" si="142"/>
        <v>306.39565990874775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5.286210873637188</v>
      </c>
      <c r="AA194" s="23">
        <f>EXP(-LN(2)/25)*AA193+(1-EXP(-LN(2)/25))/(LN(2)/25)*Calculateur!V194*Calculateur!X194*VLOOKUP('Données projet'!$B$9,Paramètres!$A$1:$I$89,3,0)*0.475*44/12</f>
        <v>9.2535716100655377E-2</v>
      </c>
      <c r="AB194" s="23">
        <f>EXP(-LN(2)/2)*AB193+(1-EXP(-LN(2)/2))/(LN(2)/2)*V194*Y194*VLOOKUP('Données projet'!$B$9,Paramètres!$A$1:$I$89,3,0)*0.475*44/12</f>
        <v>3.6030051843168254E-20</v>
      </c>
      <c r="AC194" s="24">
        <f t="shared" si="163"/>
        <v>5.378746589737843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5.3205440053716299E-14</v>
      </c>
      <c r="AK194" s="14">
        <f t="shared" si="164"/>
        <v>8.602146238565607E-13</v>
      </c>
      <c r="AL194" s="22">
        <f t="shared" si="165"/>
        <v>1.590873277977066E-12</v>
      </c>
      <c r="AM194" s="62">
        <f t="shared" si="113"/>
        <v>293.33333333333491</v>
      </c>
      <c r="AN194" s="62">
        <f ca="1">AVERAGE(OFFSET($AM$3,0,0,'Données projet'!$E$10+1,1))-AVERAGE(OFFSET($H$3,0,0,'Données projet'!$E$10+1,1))</f>
        <v>259.74478933784656</v>
      </c>
      <c r="AO194" s="62">
        <f t="shared" si="144"/>
        <v>223.74038909289646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6.3550942286383367E-14</v>
      </c>
      <c r="BF194" s="14">
        <f t="shared" si="167"/>
        <v>1.0064464192543978E-12</v>
      </c>
      <c r="BG194" s="22">
        <f t="shared" si="168"/>
        <v>1.8635787380168604E-12</v>
      </c>
      <c r="BH194" s="62">
        <f t="shared" si="116"/>
        <v>293.33333333333519</v>
      </c>
      <c r="BI194" s="62">
        <f ca="1">AVERAGE(OFFSET($BH$3,0,0,'Données projet'!$E$11+1,1))-AVERAGE(OFFSET($H$3,0,0,'Données projet'!$E$11+1,1))</f>
        <v>365.70510182727895</v>
      </c>
      <c r="BJ194" s="62">
        <f t="shared" si="146"/>
        <v>436.23833844962525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0.3005316557100926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1.0793516281632611E-23</v>
      </c>
      <c r="BS194" s="24">
        <f t="shared" si="169"/>
        <v>0.3005316557100926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-1.7053025658242404E-13</v>
      </c>
      <c r="O195" s="14">
        <f>N195*VLOOKUP('Données projet'!$B$9,Paramètres!$A$1:$I$89,3,0)*VLOOKUP('Données projet'!$B$9,Paramètres!$A$1:$I$89,5,0)</f>
        <v>-1.0197709343628959E-13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207.99520960626666</v>
      </c>
      <c r="T195" s="62">
        <f t="shared" si="142"/>
        <v>306.39565990874775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5.1825515026754259</v>
      </c>
      <c r="AA195" s="23">
        <f>EXP(-LN(2)/25)*AA194+(1-EXP(-LN(2)/25))/(LN(2)/25)*Calculateur!V195*Calculateur!X195*VLOOKUP('Données projet'!$B$9,Paramètres!$A$1:$I$89,3,0)*0.475*44/12</f>
        <v>9.0005322077641142E-2</v>
      </c>
      <c r="AB195" s="23">
        <f>EXP(-LN(2)/2)*AB194+(1-EXP(-LN(2)/2))/(LN(2)/2)*V195*Y195*VLOOKUP('Données projet'!$B$9,Paramètres!$A$1:$I$89,3,0)*0.475*44/12</f>
        <v>2.5477093984807138E-20</v>
      </c>
      <c r="AC195" s="24">
        <f t="shared" si="163"/>
        <v>5.2725568247530674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5.3205440053716299E-14</v>
      </c>
      <c r="AK195" s="14">
        <f t="shared" si="164"/>
        <v>8.602146238565607E-13</v>
      </c>
      <c r="AL195" s="22">
        <f t="shared" si="165"/>
        <v>1.590873277977066E-12</v>
      </c>
      <c r="AM195" s="62">
        <f t="shared" si="113"/>
        <v>293.33333333333491</v>
      </c>
      <c r="AN195" s="62">
        <f ca="1">AVERAGE(OFFSET($AM$3,0,0,'Données projet'!$E$10+1,1))-AVERAGE(OFFSET($H$3,0,0,'Données projet'!$E$10+1,1))</f>
        <v>259.74478933784656</v>
      </c>
      <c r="AO195" s="62">
        <f t="shared" si="144"/>
        <v>223.74038909289646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6.3550942286383367E-14</v>
      </c>
      <c r="BF195" s="14">
        <f t="shared" si="167"/>
        <v>1.0064464192543978E-12</v>
      </c>
      <c r="BG195" s="22">
        <f t="shared" si="168"/>
        <v>1.8635787380168604E-12</v>
      </c>
      <c r="BH195" s="62">
        <f t="shared" si="116"/>
        <v>293.33333333333519</v>
      </c>
      <c r="BI195" s="62">
        <f ca="1">AVERAGE(OFFSET($BH$3,0,0,'Données projet'!$E$11+1,1))-AVERAGE(OFFSET($H$3,0,0,'Données projet'!$E$11+1,1))</f>
        <v>365.70510182727895</v>
      </c>
      <c r="BJ195" s="62">
        <f t="shared" si="146"/>
        <v>436.23833844962525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0.29463841324782769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7.6321685555898286E-24</v>
      </c>
      <c r="BS195" s="24">
        <f t="shared" si="169"/>
        <v>0.29463841324782769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-1.7053025658242404E-13</v>
      </c>
      <c r="O196" s="14">
        <f>N196*VLOOKUP('Données projet'!$B$9,Paramètres!$A$1:$I$89,3,0)*VLOOKUP('Données projet'!$B$9,Paramètres!$A$1:$I$89,5,0)</f>
        <v>-1.0197709343628959E-13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207.99520960626666</v>
      </c>
      <c r="T196" s="62">
        <f t="shared" si="142"/>
        <v>306.39565990874775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5.0809248287522504</v>
      </c>
      <c r="AA196" s="23">
        <f>EXP(-LN(2)/25)*AA195+(1-EXP(-LN(2)/25))/(LN(2)/25)*Calculateur!V196*Calculateur!X196*VLOOKUP('Données projet'!$B$9,Paramètres!$A$1:$I$89,3,0)*0.475*44/12</f>
        <v>8.7544121812253864E-2</v>
      </c>
      <c r="AB196" s="23">
        <f>EXP(-LN(2)/2)*AB195+(1-EXP(-LN(2)/2))/(LN(2)/2)*V196*Y196*VLOOKUP('Données projet'!$B$9,Paramètres!$A$1:$I$89,3,0)*0.475*44/12</f>
        <v>1.8015025921584127E-20</v>
      </c>
      <c r="AC196" s="24">
        <f t="shared" si="163"/>
        <v>5.1684689505645043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5.3205440053716299E-14</v>
      </c>
      <c r="AK196" s="14">
        <f t="shared" si="164"/>
        <v>8.602146238565607E-13</v>
      </c>
      <c r="AL196" s="22">
        <f t="shared" si="165"/>
        <v>1.590873277977066E-12</v>
      </c>
      <c r="AM196" s="62">
        <f t="shared" ref="AM196:AM203" si="193">AL196+(AD196+AE196)*44/12</f>
        <v>293.33333333333491</v>
      </c>
      <c r="AN196" s="62">
        <f ca="1">AVERAGE(OFFSET($AM$3,0,0,'Données projet'!$E$10+1,1))-AVERAGE(OFFSET($H$3,0,0,'Données projet'!$E$10+1,1))</f>
        <v>259.74478933784656</v>
      </c>
      <c r="AO196" s="62">
        <f t="shared" si="144"/>
        <v>223.74038909289646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6.3550942286383367E-14</v>
      </c>
      <c r="BF196" s="14">
        <f t="shared" si="167"/>
        <v>1.0064464192543978E-12</v>
      </c>
      <c r="BG196" s="22">
        <f t="shared" si="168"/>
        <v>1.8635787380168604E-12</v>
      </c>
      <c r="BH196" s="62">
        <f t="shared" ref="BH196:BH203" si="194">BG196+(AY196+AZ196)*44/12</f>
        <v>293.33333333333519</v>
      </c>
      <c r="BI196" s="62">
        <f ca="1">AVERAGE(OFFSET($BH$3,0,0,'Données projet'!$E$11+1,1))-AVERAGE(OFFSET($H$3,0,0,'Données projet'!$E$11+1,1))</f>
        <v>365.70510182727895</v>
      </c>
      <c r="BJ196" s="62">
        <f t="shared" si="146"/>
        <v>436.23833844962525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0.28886073367572479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5.3967581408163055E-24</v>
      </c>
      <c r="BS196" s="24">
        <f t="shared" si="169"/>
        <v>0.28886073367572479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-1.7053025658242404E-13</v>
      </c>
      <c r="O197" s="14">
        <f>N197*VLOOKUP('Données projet'!$B$9,Paramètres!$A$1:$I$89,3,0)*VLOOKUP('Données projet'!$B$9,Paramètres!$A$1:$I$89,5,0)</f>
        <v>-1.0197709343628959E-13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207.99520960626666</v>
      </c>
      <c r="T197" s="62">
        <f t="shared" ref="T197:T203" si="204">$T$3</f>
        <v>306.39565990874775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4.9812909919185575</v>
      </c>
      <c r="AA197" s="23">
        <f>EXP(-LN(2)/25)*AA196+(1-EXP(-LN(2)/25))/(LN(2)/25)*Calculateur!V197*Calculateur!X197*VLOOKUP('Données projet'!$B$9,Paramètres!$A$1:$I$89,3,0)*0.475*44/12</f>
        <v>8.5150223197552499E-2</v>
      </c>
      <c r="AB197" s="23">
        <f>EXP(-LN(2)/2)*AB196+(1-EXP(-LN(2)/2))/(LN(2)/2)*V197*Y197*VLOOKUP('Données projet'!$B$9,Paramètres!$A$1:$I$89,3,0)*0.475*44/12</f>
        <v>1.2738546992403569E-20</v>
      </c>
      <c r="AC197" s="24">
        <f t="shared" si="163"/>
        <v>5.06644121511611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5.3205440053716299E-14</v>
      </c>
      <c r="AK197" s="14">
        <f t="shared" si="164"/>
        <v>8.602146238565607E-13</v>
      </c>
      <c r="AL197" s="22">
        <f t="shared" si="165"/>
        <v>1.590873277977066E-12</v>
      </c>
      <c r="AM197" s="62">
        <f t="shared" si="193"/>
        <v>293.33333333333491</v>
      </c>
      <c r="AN197" s="62">
        <f ca="1">AVERAGE(OFFSET($AM$3,0,0,'Données projet'!$E$10+1,1))-AVERAGE(OFFSET($H$3,0,0,'Données projet'!$E$10+1,1))</f>
        <v>259.74478933784656</v>
      </c>
      <c r="AO197" s="62">
        <f t="shared" ref="AO197:AO203" si="205">$AO$3</f>
        <v>223.74038909289646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6.3550942286383367E-14</v>
      </c>
      <c r="BF197" s="14">
        <f t="shared" si="167"/>
        <v>1.0064464192543978E-12</v>
      </c>
      <c r="BG197" s="22">
        <f t="shared" si="168"/>
        <v>1.8635787380168604E-12</v>
      </c>
      <c r="BH197" s="62">
        <f t="shared" si="194"/>
        <v>293.33333333333519</v>
      </c>
      <c r="BI197" s="62">
        <f ca="1">AVERAGE(OFFSET($BH$3,0,0,'Données projet'!$E$11+1,1))-AVERAGE(OFFSET($H$3,0,0,'Données projet'!$E$11+1,1))</f>
        <v>365.70510182727895</v>
      </c>
      <c r="BJ197" s="62">
        <f t="shared" ref="BJ197:BJ203" si="206">$BJ$3</f>
        <v>436.23833844962525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0.28319635087599426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3.8160842777949143E-24</v>
      </c>
      <c r="BS197" s="24">
        <f t="shared" si="169"/>
        <v>0.28319635087599426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-1.7053025658242404E-13</v>
      </c>
      <c r="O198" s="14">
        <f>N198*VLOOKUP('Données projet'!$B$9,Paramètres!$A$1:$I$89,3,0)*VLOOKUP('Données projet'!$B$9,Paramètres!$A$1:$I$89,5,0)</f>
        <v>-1.0197709343628959E-13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207.99520960626666</v>
      </c>
      <c r="T198" s="62">
        <f t="shared" si="204"/>
        <v>306.39565990874775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4.8836109138545334</v>
      </c>
      <c r="AA198" s="23">
        <f>EXP(-LN(2)/25)*AA197+(1-EXP(-LN(2)/25))/(LN(2)/25)*Calculateur!V198*Calculateur!X198*VLOOKUP('Données projet'!$B$9,Paramètres!$A$1:$I$89,3,0)*0.475*44/12</f>
        <v>8.2821785866359798E-2</v>
      </c>
      <c r="AB198" s="23">
        <f>EXP(-LN(2)/2)*AB197+(1-EXP(-LN(2)/2))/(LN(2)/2)*V198*Y198*VLOOKUP('Données projet'!$B$9,Paramètres!$A$1:$I$89,3,0)*0.475*44/12</f>
        <v>9.0075129607920634E-21</v>
      </c>
      <c r="AC198" s="24">
        <f t="shared" si="163"/>
        <v>4.966432699720893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5.3205440053716299E-14</v>
      </c>
      <c r="AK198" s="14">
        <f t="shared" si="164"/>
        <v>8.602146238565607E-13</v>
      </c>
      <c r="AL198" s="22">
        <f t="shared" si="165"/>
        <v>1.590873277977066E-12</v>
      </c>
      <c r="AM198" s="62">
        <f t="shared" si="193"/>
        <v>293.33333333333491</v>
      </c>
      <c r="AN198" s="62">
        <f ca="1">AVERAGE(OFFSET($AM$3,0,0,'Données projet'!$E$10+1,1))-AVERAGE(OFFSET($H$3,0,0,'Données projet'!$E$10+1,1))</f>
        <v>259.74478933784656</v>
      </c>
      <c r="AO198" s="62">
        <f t="shared" si="205"/>
        <v>223.74038909289646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6.3550942286383367E-14</v>
      </c>
      <c r="BF198" s="14">
        <f t="shared" si="167"/>
        <v>1.0064464192543978E-12</v>
      </c>
      <c r="BG198" s="22">
        <f t="shared" si="168"/>
        <v>1.8635787380168604E-12</v>
      </c>
      <c r="BH198" s="62">
        <f t="shared" si="194"/>
        <v>293.33333333333519</v>
      </c>
      <c r="BI198" s="62">
        <f ca="1">AVERAGE(OFFSET($BH$3,0,0,'Données projet'!$E$11+1,1))-AVERAGE(OFFSET($H$3,0,0,'Données projet'!$E$11+1,1))</f>
        <v>365.70510182727895</v>
      </c>
      <c r="BJ198" s="62">
        <f t="shared" si="206"/>
        <v>436.23833844962525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0.27764304316803412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2.6983790704081527E-24</v>
      </c>
      <c r="BS198" s="24">
        <f t="shared" si="169"/>
        <v>0.27764304316803412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-1.7053025658242404E-13</v>
      </c>
      <c r="O199" s="14">
        <f>N199*VLOOKUP('Données projet'!$B$9,Paramètres!$A$1:$I$89,3,0)*VLOOKUP('Données projet'!$B$9,Paramètres!$A$1:$I$89,5,0)</f>
        <v>-1.0197709343628959E-13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207.99520960626666</v>
      </c>
      <c r="T199" s="62">
        <f t="shared" si="204"/>
        <v>306.39565990874775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4.7878462825423806</v>
      </c>
      <c r="AA199" s="23">
        <f>EXP(-LN(2)/25)*AA198+(1-EXP(-LN(2)/25))/(LN(2)/25)*Calculateur!V199*Calculateur!X199*VLOOKUP('Données projet'!$B$9,Paramètres!$A$1:$I$89,3,0)*0.475*44/12</f>
        <v>8.0557019776435757E-2</v>
      </c>
      <c r="AB199" s="23">
        <f>EXP(-LN(2)/2)*AB198+(1-EXP(-LN(2)/2))/(LN(2)/2)*V199*Y199*VLOOKUP('Données projet'!$B$9,Paramètres!$A$1:$I$89,3,0)*0.475*44/12</f>
        <v>6.3692734962017845E-21</v>
      </c>
      <c r="AC199" s="24">
        <f t="shared" si="163"/>
        <v>4.868403302318816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5.3205440053716299E-14</v>
      </c>
      <c r="AK199" s="14">
        <f t="shared" si="164"/>
        <v>8.602146238565607E-13</v>
      </c>
      <c r="AL199" s="22">
        <f t="shared" si="165"/>
        <v>1.590873277977066E-12</v>
      </c>
      <c r="AM199" s="62">
        <f t="shared" si="193"/>
        <v>293.33333333333491</v>
      </c>
      <c r="AN199" s="62">
        <f ca="1">AVERAGE(OFFSET($AM$3,0,0,'Données projet'!$E$10+1,1))-AVERAGE(OFFSET($H$3,0,0,'Données projet'!$E$10+1,1))</f>
        <v>259.74478933784656</v>
      </c>
      <c r="AO199" s="62">
        <f t="shared" si="205"/>
        <v>223.74038909289646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6.3550942286383367E-14</v>
      </c>
      <c r="BF199" s="14">
        <f t="shared" si="167"/>
        <v>1.0064464192543978E-12</v>
      </c>
      <c r="BG199" s="22">
        <f t="shared" si="168"/>
        <v>1.8635787380168604E-12</v>
      </c>
      <c r="BH199" s="62">
        <f t="shared" si="194"/>
        <v>293.33333333333519</v>
      </c>
      <c r="BI199" s="62">
        <f ca="1">AVERAGE(OFFSET($BH$3,0,0,'Données projet'!$E$11+1,1))-AVERAGE(OFFSET($H$3,0,0,'Données projet'!$E$11+1,1))</f>
        <v>365.70510182727895</v>
      </c>
      <c r="BJ199" s="62">
        <f t="shared" si="206"/>
        <v>436.23833844962525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0.27219863243704384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1.9080421388974572E-24</v>
      </c>
      <c r="BS199" s="24">
        <f t="shared" si="169"/>
        <v>0.27219863243704384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-1.7053025658242404E-13</v>
      </c>
      <c r="O200" s="14">
        <f>N200*VLOOKUP('Données projet'!$B$9,Paramètres!$A$1:$I$89,3,0)*VLOOKUP('Données projet'!$B$9,Paramètres!$A$1:$I$89,5,0)</f>
        <v>-1.0197709343628959E-13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207.99520960626666</v>
      </c>
      <c r="T200" s="62">
        <f t="shared" si="204"/>
        <v>306.39565990874775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4.6939595372396017</v>
      </c>
      <c r="AA200" s="23">
        <f>EXP(-LN(2)/25)*AA199+(1-EXP(-LN(2)/25))/(LN(2)/25)*Calculateur!V200*Calculateur!X200*VLOOKUP('Données projet'!$B$9,Paramètres!$A$1:$I$89,3,0)*0.475*44/12</f>
        <v>7.8354183834339564E-2</v>
      </c>
      <c r="AB200" s="23">
        <f>EXP(-LN(2)/2)*AB199+(1-EXP(-LN(2)/2))/(LN(2)/2)*V200*Y200*VLOOKUP('Données projet'!$B$9,Paramètres!$A$1:$I$89,3,0)*0.475*44/12</f>
        <v>4.5037564803960317E-21</v>
      </c>
      <c r="AC200" s="24">
        <f t="shared" si="163"/>
        <v>4.7723137210739415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5.3205440053716299E-14</v>
      </c>
      <c r="AK200" s="14">
        <f t="shared" si="164"/>
        <v>8.602146238565607E-13</v>
      </c>
      <c r="AL200" s="22">
        <f t="shared" si="165"/>
        <v>1.590873277977066E-12</v>
      </c>
      <c r="AM200" s="62">
        <f t="shared" si="193"/>
        <v>293.33333333333491</v>
      </c>
      <c r="AN200" s="62">
        <f ca="1">AVERAGE(OFFSET($AM$3,0,0,'Données projet'!$E$10+1,1))-AVERAGE(OFFSET($H$3,0,0,'Données projet'!$E$10+1,1))</f>
        <v>259.74478933784656</v>
      </c>
      <c r="AO200" s="62">
        <f t="shared" si="205"/>
        <v>223.74038909289646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6.3550942286383367E-14</v>
      </c>
      <c r="BF200" s="14">
        <f t="shared" si="167"/>
        <v>1.0064464192543978E-12</v>
      </c>
      <c r="BG200" s="22">
        <f t="shared" si="168"/>
        <v>1.8635787380168604E-12</v>
      </c>
      <c r="BH200" s="62">
        <f t="shared" si="194"/>
        <v>293.33333333333519</v>
      </c>
      <c r="BI200" s="62">
        <f ca="1">AVERAGE(OFFSET($BH$3,0,0,'Données projet'!$E$11+1,1))-AVERAGE(OFFSET($H$3,0,0,'Données projet'!$E$11+1,1))</f>
        <v>365.70510182727895</v>
      </c>
      <c r="BJ200" s="62">
        <f t="shared" si="206"/>
        <v>436.23833844962525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0.26686098327972563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1.3491895352040764E-24</v>
      </c>
      <c r="BS200" s="24">
        <f t="shared" si="169"/>
        <v>0.26686098327972563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-1.7053025658242404E-13</v>
      </c>
      <c r="O201" s="14">
        <f>N201*VLOOKUP('Données projet'!$B$9,Paramètres!$A$1:$I$89,3,0)*VLOOKUP('Données projet'!$B$9,Paramètres!$A$1:$I$89,5,0)</f>
        <v>-1.0197709343628959E-13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207.99520960626666</v>
      </c>
      <c r="T201" s="62">
        <f t="shared" si="204"/>
        <v>306.39565990874775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4.6019138537469502</v>
      </c>
      <c r="AA201" s="23">
        <f>EXP(-LN(2)/25)*AA200+(1-EXP(-LN(2)/25))/(LN(2)/25)*Calculateur!V201*Calculateur!X201*VLOOKUP('Données projet'!$B$9,Paramètres!$A$1:$I$89,3,0)*0.475*44/12</f>
        <v>7.6211584556922105E-2</v>
      </c>
      <c r="AB201" s="23">
        <f>EXP(-LN(2)/2)*AB200+(1-EXP(-LN(2)/2))/(LN(2)/2)*V201*Y201*VLOOKUP('Données projet'!$B$9,Paramètres!$A$1:$I$89,3,0)*0.475*44/12</f>
        <v>3.1846367481008923E-21</v>
      </c>
      <c r="AC201" s="24">
        <f t="shared" si="163"/>
        <v>4.678125438303872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5.3205440053716299E-14</v>
      </c>
      <c r="AK201" s="14">
        <f t="shared" si="164"/>
        <v>8.602146238565607E-13</v>
      </c>
      <c r="AL201" s="22">
        <f t="shared" si="165"/>
        <v>1.590873277977066E-12</v>
      </c>
      <c r="AM201" s="62">
        <f t="shared" si="193"/>
        <v>293.33333333333491</v>
      </c>
      <c r="AN201" s="62">
        <f ca="1">AVERAGE(OFFSET($AM$3,0,0,'Données projet'!$E$10+1,1))-AVERAGE(OFFSET($H$3,0,0,'Données projet'!$E$10+1,1))</f>
        <v>259.74478933784656</v>
      </c>
      <c r="AO201" s="62">
        <f t="shared" si="205"/>
        <v>223.74038909289646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6.3550942286383367E-14</v>
      </c>
      <c r="BF201" s="14">
        <f t="shared" si="167"/>
        <v>1.0064464192543978E-12</v>
      </c>
      <c r="BG201" s="22">
        <f t="shared" si="168"/>
        <v>1.8635787380168604E-12</v>
      </c>
      <c r="BH201" s="62">
        <f t="shared" si="194"/>
        <v>293.33333333333519</v>
      </c>
      <c r="BI201" s="62">
        <f ca="1">AVERAGE(OFFSET($BH$3,0,0,'Données projet'!$E$11+1,1))-AVERAGE(OFFSET($H$3,0,0,'Données projet'!$E$11+1,1))</f>
        <v>365.70510182727895</v>
      </c>
      <c r="BJ201" s="62">
        <f t="shared" si="206"/>
        <v>436.23833844962525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0.26162800216673787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9.5402106944872858E-25</v>
      </c>
      <c r="BS201" s="24">
        <f t="shared" si="169"/>
        <v>0.26162800216673787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-1.7053025658242404E-13</v>
      </c>
      <c r="O202" s="14">
        <f>N202*VLOOKUP('Données projet'!$B$9,Paramètres!$A$1:$I$89,3,0)*VLOOKUP('Données projet'!$B$9,Paramètres!$A$1:$I$89,5,0)</f>
        <v>-1.0197709343628959E-13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207.99520960626666</v>
      </c>
      <c r="T202" s="62">
        <f t="shared" si="204"/>
        <v>306.39565990874775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4.5116731299652661</v>
      </c>
      <c r="AA202" s="23">
        <f>EXP(-LN(2)/25)*AA201+(1-EXP(-LN(2)/25))/(LN(2)/25)*Calculateur!V202*Calculateur!X202*VLOOKUP('Données projet'!$B$9,Paramètres!$A$1:$I$89,3,0)*0.475*44/12</f>
        <v>7.4127574769420015E-2</v>
      </c>
      <c r="AB202" s="23">
        <f>EXP(-LN(2)/2)*AB201+(1-EXP(-LN(2)/2))/(LN(2)/2)*V202*Y202*VLOOKUP('Données projet'!$B$9,Paramètres!$A$1:$I$89,3,0)*0.475*44/12</f>
        <v>2.2518782401980159E-21</v>
      </c>
      <c r="AC202" s="24">
        <f t="shared" si="163"/>
        <v>4.5858007047346865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5.3205440053716299E-14</v>
      </c>
      <c r="AK202" s="14">
        <f t="shared" si="164"/>
        <v>8.602146238565607E-13</v>
      </c>
      <c r="AL202" s="22">
        <f t="shared" si="165"/>
        <v>1.590873277977066E-12</v>
      </c>
      <c r="AM202" s="62">
        <f t="shared" si="193"/>
        <v>293.33333333333491</v>
      </c>
      <c r="AN202" s="62">
        <f ca="1">AVERAGE(OFFSET($AM$3,0,0,'Données projet'!$E$10+1,1))-AVERAGE(OFFSET($H$3,0,0,'Données projet'!$E$10+1,1))</f>
        <v>259.74478933784656</v>
      </c>
      <c r="AO202" s="62">
        <f t="shared" si="205"/>
        <v>223.74038909289646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6.3550942286383367E-14</v>
      </c>
      <c r="BF202" s="14">
        <f t="shared" si="167"/>
        <v>1.0064464192543978E-12</v>
      </c>
      <c r="BG202" s="22">
        <f t="shared" si="168"/>
        <v>1.8635787380168604E-12</v>
      </c>
      <c r="BH202" s="62">
        <f t="shared" si="194"/>
        <v>293.33333333333519</v>
      </c>
      <c r="BI202" s="62">
        <f ca="1">AVERAGE(OFFSET($BH$3,0,0,'Données projet'!$E$11+1,1))-AVERAGE(OFFSET($H$3,0,0,'Données projet'!$E$11+1,1))</f>
        <v>365.70510182727895</v>
      </c>
      <c r="BJ202" s="62">
        <f t="shared" si="206"/>
        <v>436.23833844962525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0.25649763662157249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6.7459476760203819E-25</v>
      </c>
      <c r="BS202" s="24">
        <f t="shared" si="169"/>
        <v>0.25649763662157249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-1.7053025658242404E-13</v>
      </c>
      <c r="O203" s="14">
        <f>N203*VLOOKUP('Données projet'!$B$9,Paramètres!$A$1:$I$89,3,0)*VLOOKUP('Données projet'!$B$9,Paramètres!$A$1:$I$89,5,0)</f>
        <v>-1.0197709343628959E-13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207.99520960626666</v>
      </c>
      <c r="T203" s="62">
        <f t="shared" si="204"/>
        <v>306.39565990874775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4.4232019717355344</v>
      </c>
      <c r="AA203" s="23">
        <f>EXP(-LN(2)/25)*AA202+(1-EXP(-LN(2)/25))/(LN(2)/25)*Calculateur!V203*Calculateur!X203*VLOOKUP('Données projet'!$B$9,Paramètres!$A$1:$I$89,3,0)*0.475*44/12</f>
        <v>7.2100552339150484E-2</v>
      </c>
      <c r="AB203" s="23">
        <f>EXP(-LN(2)/2)*AB202+(1-EXP(-LN(2)/2))/(LN(2)/2)*V203*Y203*VLOOKUP('Données projet'!$B$9,Paramètres!$A$1:$I$89,3,0)*0.475*44/12</f>
        <v>1.5923183740504461E-21</v>
      </c>
      <c r="AC203" s="24">
        <f t="shared" si="163"/>
        <v>4.4953025240746847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5.3205440053716299E-14</v>
      </c>
      <c r="AK203" s="14">
        <f t="shared" si="164"/>
        <v>8.602146238565607E-13</v>
      </c>
      <c r="AL203" s="22">
        <f t="shared" si="165"/>
        <v>1.590873277977066E-12</v>
      </c>
      <c r="AM203" s="62">
        <f t="shared" si="193"/>
        <v>293.33333333333491</v>
      </c>
      <c r="AN203" s="62">
        <f ca="1">AVERAGE(OFFSET($AM$3,0,0,'Données projet'!$E$10+1,1))-AVERAGE(OFFSET($H$3,0,0,'Données projet'!$E$10+1,1))</f>
        <v>259.74478933784656</v>
      </c>
      <c r="AO203" s="62">
        <f t="shared" si="205"/>
        <v>223.74038909289646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6.3550942286383367E-14</v>
      </c>
      <c r="BF203" s="14">
        <f t="shared" si="167"/>
        <v>1.0064464192543978E-12</v>
      </c>
      <c r="BG203" s="22">
        <f t="shared" si="168"/>
        <v>1.8635787380168604E-12</v>
      </c>
      <c r="BH203" s="62">
        <f t="shared" si="194"/>
        <v>293.33333333333519</v>
      </c>
      <c r="BI203" s="62">
        <f ca="1">AVERAGE(OFFSET($BH$3,0,0,'Données projet'!$E$11+1,1))-AVERAGE(OFFSET($H$3,0,0,'Données projet'!$E$11+1,1))</f>
        <v>365.70510182727895</v>
      </c>
      <c r="BJ203" s="62">
        <f t="shared" si="206"/>
        <v>436.23833844962525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0.25146787441553381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4.7701053472436429E-25</v>
      </c>
      <c r="BS203" s="24">
        <f t="shared" si="169"/>
        <v>0.25146787441553381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1.2990595333015609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>
        <f>EXP(LN('Données projet'!B88)/'Données projet'!A88)</f>
        <v>1.2475727214128975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9" sqref="L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2.6999999999999997</v>
      </c>
      <c r="C6" s="156">
        <f ca="1">IF(OR('Données projet'!B9="",'Données projet'!C9="",'Données projet'!C9=0%),0,Calculateur!S3)</f>
        <v>207.99520960626666</v>
      </c>
      <c r="D6" s="156">
        <f>IF(OR('Données projet'!B9="",'Données projet'!C9="",'Données projet'!C9=0%),0,Calculateur!T3)</f>
        <v>306.39565990874775</v>
      </c>
      <c r="E6" s="156">
        <f ca="1">MIN(C6,D6)</f>
        <v>207.99520960626666</v>
      </c>
      <c r="F6" s="156">
        <f ca="1">E6*B6</f>
        <v>561.58706593691988</v>
      </c>
      <c r="G6" s="156">
        <f ca="1">F6*(100%-'Données projet'!$C$24)*(100%-'Données projet'!$C$25)*(100%-'Données projet'!$C$26)*(100%-'Données projet'!$C$27)</f>
        <v>454.8855234089051</v>
      </c>
      <c r="H6" s="157">
        <f>IF(OR('Données projet'!B9="",'Données projet'!C9="",'Données projet'!C9=0%),0,AVERAGE(Calculateur!$AC$3:$AC$33)*B6)</f>
        <v>14.582495837598914</v>
      </c>
      <c r="I6" s="158">
        <f>H6*(100%-'Données projet'!$C$24)*(100%-'Données projet'!$C$25)*(100%-'Données projet'!$C$26)*(100%-'Données projet'!$C$27)</f>
        <v>11.811821628455121</v>
      </c>
      <c r="J6" s="159">
        <f>IF(OR('Données projet'!B9="",'Données projet'!C9="",'Données projet'!C9=0%),0,SUM(Calculateur!$V$3:$V$33)*VLOOKUP('Données projet'!$B$9,Paramètres!$A$1:$I$89,9,0)*B6)</f>
        <v>178.41599999999997</v>
      </c>
      <c r="K6" s="160">
        <f>J6*(100%-'Données projet'!$C$24)*(100%-'Données projet'!$C$25)*(100%-'Données projet'!$C$26)*(100%-'Données projet'!$C$27)</f>
        <v>144.51695999999998</v>
      </c>
      <c r="L6" s="161">
        <f ca="1">G6+I6+K6</f>
        <v>611.21430503736019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1.395</v>
      </c>
      <c r="C7" s="156">
        <f ca="1">IF(OR('Données projet'!B10="",'Données projet'!C10="",'Données projet'!C10=0%),0,Calculateur!AN3)</f>
        <v>259.74478933784656</v>
      </c>
      <c r="D7" s="156">
        <f>IF(OR('Données projet'!B10="",'Données projet'!C10="",'Données projet'!C10=0%),0,Calculateur!AO3)</f>
        <v>223.74038909289646</v>
      </c>
      <c r="E7" s="156">
        <f t="shared" ref="E7:E15" ca="1" si="0">MIN(C7,D7)</f>
        <v>223.74038909289646</v>
      </c>
      <c r="F7" s="156">
        <f t="shared" ref="F7:F15" ca="1" si="1">E7*B7</f>
        <v>312.11784278459055</v>
      </c>
      <c r="G7" s="156">
        <f ca="1">F7*(100%-'Données projet'!$C$24)*(100%-'Données projet'!$C$25)*(100%-'Données projet'!$C$26)*(100%-'Données projet'!$C$27)</f>
        <v>252.81545265551836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252.81545265551836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0.40499999999999997</v>
      </c>
      <c r="C8" s="156">
        <f ca="1">IF(OR('Données projet'!B11="",'Données projet'!C11="",'Données projet'!C11=0%),0,Calculateur!BI3)</f>
        <v>365.70510182727895</v>
      </c>
      <c r="D8" s="156">
        <f>IF(OR('Données projet'!B11="",'Données projet'!C11="",'Données projet'!C11=0%),0,Calculateur!BJ3)</f>
        <v>436.23833844962525</v>
      </c>
      <c r="E8" s="156">
        <f t="shared" ca="1" si="0"/>
        <v>365.70510182727895</v>
      </c>
      <c r="F8" s="156">
        <f t="shared" ca="1" si="1"/>
        <v>148.11056624004797</v>
      </c>
      <c r="G8" s="156">
        <f ca="1">F8*(100%-'Données projet'!$C$24)*(100%-'Données projet'!$C$25)*(100%-'Données projet'!$C$26)*(100%-'Données projet'!$C$27)</f>
        <v>119.96955865443886</v>
      </c>
      <c r="H8" s="164">
        <f>IF(OR('Données projet'!B11="",'Données projet'!C11="",'Données projet'!C11=0%),0,AVERAGE(Calculateur!$BS$3:$BS$33)*B8)</f>
        <v>0.66999204576746352</v>
      </c>
      <c r="I8" s="158">
        <f>H8*(100%-'Données projet'!$C$24)*(100%-'Données projet'!$C$25)*(100%-'Données projet'!$C$26)*(100%-'Données projet'!$C$27)</f>
        <v>0.54269355707164546</v>
      </c>
      <c r="J8" s="159">
        <f>IF(OR('Données projet'!B11="",'Données projet'!C11="",'Données projet'!C11=0%),0,SUM(Calculateur!$BL$3:$BL$33)*VLOOKUP('Données projet'!$B$11,Paramètres!$A$1:$I$89,9,0)*B8)</f>
        <v>9.752399999999998</v>
      </c>
      <c r="K8" s="160">
        <f>J8*(100%-'Données projet'!$C$24)*(100%-'Données projet'!$C$25)*(100%-'Données projet'!$C$26)*(100%-'Données projet'!$C$27)</f>
        <v>7.899443999999999</v>
      </c>
      <c r="L8" s="161">
        <f t="shared" ca="1" si="2"/>
        <v>128.4116962115105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1021.8154749615585</v>
      </c>
      <c r="G16" s="175">
        <f t="shared" ca="1" si="3"/>
        <v>827.67053471886231</v>
      </c>
      <c r="H16" s="176">
        <f t="shared" si="3"/>
        <v>15.252487883366378</v>
      </c>
      <c r="I16" s="176">
        <f t="shared" si="3"/>
        <v>12.354515185526767</v>
      </c>
      <c r="J16" s="177">
        <f t="shared" si="3"/>
        <v>188.16839999999996</v>
      </c>
      <c r="K16" s="177">
        <f t="shared" si="3"/>
        <v>152.41640399999997</v>
      </c>
      <c r="L16" s="178">
        <f t="shared" ca="1" si="3"/>
        <v>992.44145390438905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9" zoomScale="90" zoomScaleNormal="90" workbookViewId="0">
      <selection activeCell="C28" sqref="C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2366.8262798393844</v>
      </c>
      <c r="U10" s="190">
        <f>'Données projet'!D9</f>
        <v>2.6999999999999997</v>
      </c>
      <c r="V10" s="189">
        <f>U10*T10</f>
        <v>6390.4309555663376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987.46219161107842</v>
      </c>
      <c r="U11" s="190">
        <f>'Données projet'!D10</f>
        <v>1.395</v>
      </c>
      <c r="V11" s="189">
        <f t="shared" ref="V11" si="0">U11*T11</f>
        <v>1377.5097572974544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4372.3368003039704</v>
      </c>
      <c r="U12" s="190">
        <f>'Données projet'!D11</f>
        <v>0.40499999999999997</v>
      </c>
      <c r="V12" s="189">
        <f t="shared" ref="V12:V19" si="1">U12*T12</f>
        <v>1770.796404123108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3329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27</v>
      </c>
      <c r="C23" s="206">
        <v>10</v>
      </c>
      <c r="D23" s="194">
        <f>B23*C23</f>
        <v>270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-5441.7628830130998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24</v>
      </c>
      <c r="B24" s="193">
        <f>'Données projet'!D37</f>
        <v>38</v>
      </c>
      <c r="C24" s="206">
        <v>18</v>
      </c>
      <c r="D24" s="194">
        <f t="shared" ref="D24:D42" si="2">B24*C24</f>
        <v>684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47</v>
      </c>
      <c r="C25" s="206">
        <v>27</v>
      </c>
      <c r="D25" s="194">
        <f t="shared" si="2"/>
        <v>1269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-5441.7628830130998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50</v>
      </c>
      <c r="C26" s="206">
        <v>35</v>
      </c>
      <c r="D26" s="194">
        <f t="shared" si="2"/>
        <v>1750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294</v>
      </c>
      <c r="C27" s="206">
        <v>42</v>
      </c>
      <c r="D27" s="194">
        <f t="shared" si="2"/>
        <v>12348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>
        <v>5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>
        <v>10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63</v>
      </c>
      <c r="C56" s="204">
        <v>15</v>
      </c>
      <c r="D56" s="191">
        <f t="shared" si="4"/>
        <v>945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04">
        <v>25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67</v>
      </c>
      <c r="C58" s="204">
        <v>32</v>
      </c>
      <c r="D58" s="191">
        <f t="shared" si="4"/>
        <v>2144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69</v>
      </c>
      <c r="C59" s="204">
        <v>45</v>
      </c>
      <c r="D59" s="191">
        <f t="shared" si="4"/>
        <v>3105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71</v>
      </c>
      <c r="C60" s="204">
        <v>58</v>
      </c>
      <c r="D60" s="191">
        <f t="shared" si="4"/>
        <v>4118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73</v>
      </c>
      <c r="C61" s="204">
        <v>62</v>
      </c>
      <c r="D61" s="191">
        <f t="shared" si="4"/>
        <v>4526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375</v>
      </c>
      <c r="C62" s="204">
        <v>70</v>
      </c>
      <c r="D62" s="191">
        <f t="shared" si="4"/>
        <v>26250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23</v>
      </c>
      <c r="B85" s="193">
        <f>'Données projet'!D88</f>
        <v>0</v>
      </c>
      <c r="C85" s="204">
        <v>5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14</v>
      </c>
      <c r="C86" s="204">
        <v>10</v>
      </c>
      <c r="D86" s="191">
        <f t="shared" ref="D86:D104" si="6">B86*C86</f>
        <v>140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42</v>
      </c>
      <c r="C87" s="204">
        <v>15</v>
      </c>
      <c r="D87" s="191">
        <f t="shared" si="6"/>
        <v>630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49</v>
      </c>
      <c r="C88" s="204">
        <v>25</v>
      </c>
      <c r="D88" s="191">
        <f t="shared" si="6"/>
        <v>1225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58</v>
      </c>
      <c r="C89" s="204">
        <v>32</v>
      </c>
      <c r="D89" s="191">
        <f t="shared" si="6"/>
        <v>1856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57</v>
      </c>
      <c r="C90" s="204">
        <v>45</v>
      </c>
      <c r="D90" s="191">
        <f t="shared" si="6"/>
        <v>2565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42</v>
      </c>
      <c r="C91" s="204">
        <v>58</v>
      </c>
      <c r="D91" s="191">
        <f t="shared" si="6"/>
        <v>2436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37</v>
      </c>
      <c r="C92" s="204">
        <v>62</v>
      </c>
      <c r="D92" s="191">
        <f t="shared" si="6"/>
        <v>2294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567</v>
      </c>
      <c r="C93" s="204">
        <v>68</v>
      </c>
      <c r="D93" s="191">
        <f t="shared" si="6"/>
        <v>38556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>
        <v>72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>
        <v>76</v>
      </c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2024-06-12T08:53:46Z</dcterms:modified>
</cp:coreProperties>
</file>