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Dossier Augustin/GRAND OUEST (PB)/2CHAU-123/"/>
    </mc:Choice>
  </mc:AlternateContent>
  <xr:revisionPtr revIDLastSave="163" documentId="8_{5F52D203-7E28-4A8F-BB88-885F237889A6}" xr6:coauthVersionLast="47" xr6:coauthVersionMax="47" xr10:uidLastSave="{40A618CD-A53B-4649-8185-129F4986457A}"/>
  <bookViews>
    <workbookView xWindow="-108" yWindow="-108" windowWidth="23256" windowHeight="1245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6" i="1" l="1"/>
  <c r="B125" i="1"/>
  <c r="B124" i="1"/>
  <c r="B123" i="1"/>
  <c r="B122" i="1"/>
  <c r="B121" i="1"/>
  <c r="B120" i="1"/>
  <c r="B119" i="1"/>
  <c r="B118" i="1"/>
  <c r="B117" i="1"/>
  <c r="B116" i="1"/>
  <c r="B115" i="1"/>
  <c r="B114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I21" i="6"/>
  <c r="I20" i="6"/>
  <c r="I22" i="6" l="1"/>
  <c r="E17" i="6"/>
  <c r="E19" i="6" s="1"/>
  <c r="E79" i="6"/>
  <c r="E81" i="6" s="1"/>
  <c r="E174" i="6"/>
  <c r="E172" i="6"/>
  <c r="E112" i="6"/>
  <c r="E110" i="6"/>
  <c r="E50" i="6"/>
  <c r="E48" i="6"/>
  <c r="E143" i="6"/>
  <c r="E141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R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C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H155" i="2"/>
  <c r="EA155" i="2"/>
  <c r="DI154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DH156" i="2" l="1"/>
  <c r="HG156" i="2"/>
  <c r="EX156" i="2"/>
  <c r="FS156" i="2"/>
  <c r="EB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HI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FS160" i="2"/>
  <c r="HI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HG161" i="2"/>
  <c r="EA161" i="2"/>
  <c r="HH161" i="2"/>
  <c r="EB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C162" i="2"/>
  <c r="DI161" i="2"/>
  <c r="HG162" i="2"/>
  <c r="EB162" i="2"/>
  <c r="HH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HG163" i="2"/>
  <c r="HH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H164" i="2" l="1"/>
  <c r="HG164" i="2"/>
  <c r="DI163" i="2"/>
  <c r="FS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DG167" i="2"/>
  <c r="EX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EW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HG178" i="2"/>
  <c r="ED177" i="2"/>
  <c r="EB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A179" i="2"/>
  <c r="EB179" i="2"/>
  <c r="EV179" i="2"/>
  <c r="DF179" i="2"/>
  <c r="HG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B185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FQ194" i="2"/>
  <c r="HG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AA195" i="2"/>
  <c r="E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EB201" i="2"/>
  <c r="DI200" i="2"/>
  <c r="ED200" i="2"/>
  <c r="HG201" i="2"/>
  <c r="FS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HI202" i="2"/>
  <c r="EW202" i="2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145" i="2" a="1"/>
  <c r="EI145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165" i="2" a="1"/>
  <c r="EI165" i="2" s="1"/>
  <c r="EI113" i="2" a="1"/>
  <c r="EI113" i="2" s="1"/>
  <c r="EI139" i="2" a="1"/>
  <c r="EI139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DN187" i="2" a="1"/>
  <c r="DN187" i="2" s="1"/>
  <c r="HJ202" i="2"/>
  <c r="EY202" i="2"/>
  <c r="AX200" i="2"/>
  <c r="EI67" i="2" l="1" a="1"/>
  <c r="EI67" i="2" s="1"/>
  <c r="EI128" i="2" a="1"/>
  <c r="EI128" i="2" s="1"/>
  <c r="EI71" i="2" a="1"/>
  <c r="EI71" i="2" s="1"/>
  <c r="EI109" i="2" a="1"/>
  <c r="EI109" i="2" s="1"/>
  <c r="EI162" i="2" a="1"/>
  <c r="EI162" i="2" s="1"/>
  <c r="EI153" i="2" a="1"/>
  <c r="EI153" i="2" s="1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EI195" i="2" a="1"/>
  <c r="EI195" i="2" s="1"/>
  <c r="EI142" i="2" a="1"/>
  <c r="EI142" i="2" s="1"/>
  <c r="EI150" i="2" a="1"/>
  <c r="EI150" i="2" s="1"/>
  <c r="EI166" i="2" a="1"/>
  <c r="EI166" i="2" s="1"/>
  <c r="FR203" i="2"/>
  <c r="EI35" i="2" a="1"/>
  <c r="EI35" i="2" s="1"/>
  <c r="EI16" i="2" a="1"/>
  <c r="EI16" i="2" s="1"/>
  <c r="EI34" i="2" a="1"/>
  <c r="EI34" i="2" s="1"/>
  <c r="EI36" i="2" a="1"/>
  <c r="EI36" i="2" s="1"/>
  <c r="EI178" i="2" a="1"/>
  <c r="EI178" i="2" s="1"/>
  <c r="EI29" i="2" a="1"/>
  <c r="EI29" i="2" s="1"/>
  <c r="EI198" i="2" a="1"/>
  <c r="EI198" i="2" s="1"/>
  <c r="CS66" i="2" a="1"/>
  <c r="CS66" i="2" s="1"/>
  <c r="CS72" i="2" a="1"/>
  <c r="CS72" i="2" s="1"/>
  <c r="BX107" i="2" a="1"/>
  <c r="BX107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DT55" i="2" l="1"/>
  <c r="DT13" i="2"/>
  <c r="DT162" i="2"/>
  <c r="DT161" i="2"/>
  <c r="DT147" i="2"/>
  <c r="DT90" i="2"/>
  <c r="DT168" i="2"/>
  <c r="DT183" i="2"/>
  <c r="DT59" i="2"/>
  <c r="DT191" i="2"/>
  <c r="DT114" i="2"/>
  <c r="DT100" i="2"/>
  <c r="DT65" i="2"/>
  <c r="DT128" i="2"/>
  <c r="DT155" i="2"/>
  <c r="DT47" i="2"/>
  <c r="DT111" i="2"/>
  <c r="DT84" i="2"/>
  <c r="DT88" i="2"/>
  <c r="DT144" i="2"/>
  <c r="DT41" i="2"/>
  <c r="DT91" i="2"/>
  <c r="DT61" i="2"/>
  <c r="DT21" i="2"/>
  <c r="DT143" i="2"/>
  <c r="DT167" i="2"/>
  <c r="DT113" i="2"/>
  <c r="DT25" i="2"/>
  <c r="DT132" i="2"/>
  <c r="DT193" i="2"/>
  <c r="DT53" i="2"/>
  <c r="DT98" i="2"/>
  <c r="DT126" i="2"/>
  <c r="DT122" i="2"/>
  <c r="DT40" i="2"/>
  <c r="DT50" i="2"/>
  <c r="DT108" i="2"/>
  <c r="DT20" i="2"/>
  <c r="DT188" i="2"/>
  <c r="DT195" i="2"/>
  <c r="DT4" i="2"/>
  <c r="DT199" i="2"/>
  <c r="DT170" i="2"/>
  <c r="DT77" i="2"/>
  <c r="DT51" i="2"/>
  <c r="DT12" i="2"/>
  <c r="DT18" i="2"/>
  <c r="DT186" i="2"/>
  <c r="DT31" i="2"/>
  <c r="DT49" i="2"/>
  <c r="DT192" i="2"/>
  <c r="DT142" i="2"/>
  <c r="DT70" i="2"/>
  <c r="DT106" i="2"/>
  <c r="DT115" i="2"/>
  <c r="DT149" i="2"/>
  <c r="DT75" i="2"/>
  <c r="DT32" i="2"/>
  <c r="DT148" i="2"/>
  <c r="DT136" i="2"/>
  <c r="DT110" i="2"/>
  <c r="DT76" i="2"/>
  <c r="DT22" i="2"/>
  <c r="DT181" i="2"/>
  <c r="DT56" i="2"/>
  <c r="DT54" i="2"/>
  <c r="DT173" i="2"/>
  <c r="DT123" i="2"/>
  <c r="DT169" i="2"/>
  <c r="DT39" i="2"/>
  <c r="DT82" i="2"/>
  <c r="DT180" i="2"/>
  <c r="DT19" i="2"/>
  <c r="DT141" i="2"/>
  <c r="DT58" i="2"/>
  <c r="DT63" i="2"/>
  <c r="DT78" i="2"/>
  <c r="DT93" i="2"/>
  <c r="DT86" i="2"/>
  <c r="DT46" i="2"/>
  <c r="DT28" i="2"/>
  <c r="DT133" i="2"/>
  <c r="DT160" i="2"/>
  <c r="DT129" i="2"/>
  <c r="DT94" i="2"/>
  <c r="DT135" i="2"/>
  <c r="DT165" i="2"/>
  <c r="DT130" i="2"/>
  <c r="DT196" i="2"/>
  <c r="DT14" i="2"/>
  <c r="DT69" i="2"/>
  <c r="DT102" i="2"/>
  <c r="DT62" i="2"/>
  <c r="DT184" i="2"/>
  <c r="DT118" i="2"/>
  <c r="DT68" i="2"/>
  <c r="DT35" i="2"/>
  <c r="DT198" i="2"/>
  <c r="DT80" i="2"/>
  <c r="DT178" i="2"/>
  <c r="DT171" i="2"/>
  <c r="DT163" i="2"/>
  <c r="DT177" i="2"/>
  <c r="DT83" i="2"/>
  <c r="DT79" i="2"/>
  <c r="DT27" i="2"/>
  <c r="DT150" i="2"/>
  <c r="DT151" i="2"/>
  <c r="DT29" i="2"/>
  <c r="DT119" i="2"/>
  <c r="DT97" i="2"/>
  <c r="DT9" i="2"/>
  <c r="DT159" i="2"/>
  <c r="DT7" i="2"/>
  <c r="DT43" i="2"/>
  <c r="DT30" i="2"/>
  <c r="DT3" i="2"/>
  <c r="C11" i="4" s="1"/>
  <c r="E11" i="4" s="1"/>
  <c r="F11" i="4" s="1"/>
  <c r="G11" i="4" s="1"/>
  <c r="L11" i="4" s="1"/>
  <c r="DT200" i="2"/>
  <c r="DT10" i="2"/>
  <c r="DT15" i="2"/>
  <c r="DT109" i="2"/>
  <c r="DT157" i="2"/>
  <c r="DT23" i="2"/>
  <c r="DT66" i="2"/>
  <c r="DT95" i="2"/>
  <c r="DT104" i="2"/>
  <c r="DT92" i="2"/>
  <c r="DT201" i="2"/>
  <c r="DT17" i="2"/>
  <c r="DT37" i="2"/>
  <c r="DT116" i="2"/>
  <c r="DT146" i="2"/>
  <c r="DT137" i="2"/>
  <c r="DT99" i="2"/>
  <c r="DT36" i="2"/>
  <c r="DT131" i="2"/>
  <c r="DT60" i="2"/>
  <c r="DT24" i="2"/>
  <c r="DT185" i="2"/>
  <c r="DT48" i="2"/>
  <c r="DT124" i="2"/>
  <c r="DT33" i="2"/>
  <c r="DT16" i="2"/>
  <c r="DT202" i="2"/>
  <c r="DT140" i="2"/>
  <c r="DT67" i="2"/>
  <c r="DT34" i="2"/>
  <c r="DT103" i="2"/>
  <c r="DT179" i="2"/>
  <c r="DT5" i="2"/>
  <c r="DT120" i="2"/>
  <c r="DT45" i="2"/>
  <c r="DT89" i="2"/>
  <c r="DT175" i="2"/>
  <c r="DT117" i="2"/>
  <c r="DT154" i="2"/>
  <c r="DT74" i="2"/>
  <c r="DT152" i="2"/>
  <c r="DT44" i="2"/>
  <c r="DT11" i="2"/>
  <c r="DT71" i="2"/>
  <c r="DT112" i="2"/>
  <c r="DT138" i="2"/>
  <c r="DT101" i="2"/>
  <c r="DT52" i="2"/>
  <c r="DT153" i="2"/>
  <c r="DT72" i="2"/>
  <c r="DT85" i="2"/>
  <c r="DT156" i="2"/>
  <c r="DT127" i="2"/>
  <c r="DT172" i="2"/>
  <c r="DT121" i="2"/>
  <c r="DT174" i="2"/>
  <c r="DT187" i="2"/>
  <c r="DT38" i="2"/>
  <c r="DT26" i="2"/>
  <c r="DT96" i="2"/>
  <c r="DT197" i="2"/>
  <c r="DT134" i="2"/>
  <c r="DT57" i="2"/>
  <c r="DT203" i="2"/>
  <c r="DT8" i="2"/>
  <c r="DT107" i="2"/>
  <c r="DT6" i="2"/>
  <c r="DT194" i="2"/>
  <c r="DT81" i="2"/>
  <c r="DT64" i="2"/>
  <c r="DT182" i="2"/>
  <c r="DT145" i="2"/>
  <c r="DT176" i="2"/>
  <c r="DT190" i="2"/>
  <c r="DT105" i="2"/>
  <c r="DT87" i="2"/>
  <c r="DT125" i="2"/>
  <c r="DT139" i="2"/>
  <c r="DT158" i="2"/>
  <c r="DT189" i="2"/>
  <c r="DT73" i="2"/>
  <c r="DT166" i="2"/>
  <c r="DT42" i="2"/>
  <c r="DT164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<sst xmlns="http://schemas.openxmlformats.org/spreadsheetml/2006/main" count="1178" uniqueCount="327">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</sst>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09E46A0B-0C6F-456B-A22B-5431A459EB2A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7.8416812518275494</c:v>
                </c:pt>
                <c:pt idx="2">
                  <c:v>15.334584394665216</c:v>
                </c:pt>
                <c:pt idx="3">
                  <c:v>22.714849715865025</c:v>
                </c:pt>
                <c:pt idx="4">
                  <c:v>30.025682463014238</c:v>
                </c:pt>
                <c:pt idx="5">
                  <c:v>37.286664670681112</c:v>
                </c:pt>
                <c:pt idx="6">
                  <c:v>44.508966748956091</c:v>
                </c:pt>
                <c:pt idx="7">
                  <c:v>51.699789829314369</c:v>
                </c:pt>
                <c:pt idx="8">
                  <c:v>58.864149784128841</c:v>
                </c:pt>
                <c:pt idx="9">
                  <c:v>66.005733343400635</c:v>
                </c:pt>
                <c:pt idx="10">
                  <c:v>73.127359901020441</c:v>
                </c:pt>
                <c:pt idx="11">
                  <c:v>80.231252341942835</c:v>
                </c:pt>
                <c:pt idx="12">
                  <c:v>87.319206208881965</c:v>
                </c:pt>
                <c:pt idx="13">
                  <c:v>94.392700722529355</c:v>
                </c:pt>
                <c:pt idx="14">
                  <c:v>101.45297460358488</c:v>
                </c:pt>
                <c:pt idx="15">
                  <c:v>108.50107958525473</c:v>
                </c:pt>
                <c:pt idx="16">
                  <c:v>115.53791923613043</c:v>
                </c:pt>
                <c:pt idx="17">
                  <c:v>122.56427779499695</c:v>
                </c:pt>
                <c:pt idx="18">
                  <c:v>129.58084202522676</c:v>
                </c:pt>
                <c:pt idx="19">
                  <c:v>136.58821807340979</c:v>
                </c:pt>
                <c:pt idx="20">
                  <c:v>143.58694467754751</c:v>
                </c:pt>
                <c:pt idx="21">
                  <c:v>150.57750365853744</c:v>
                </c:pt>
                <c:pt idx="22">
                  <c:v>157.56032835665889</c:v>
                </c:pt>
                <c:pt idx="23">
                  <c:v>164.5358104907921</c:v>
                </c:pt>
                <c:pt idx="24">
                  <c:v>171.50430579106953</c:v>
                </c:pt>
                <c:pt idx="25">
                  <c:v>178.46613866629886</c:v>
                </c:pt>
                <c:pt idx="26">
                  <c:v>185.42160610357715</c:v>
                </c:pt>
                <c:pt idx="27">
                  <c:v>192.3709809510899</c:v>
                </c:pt>
                <c:pt idx="28">
                  <c:v>199.31451470089735</c:v>
                </c:pt>
                <c:pt idx="29">
                  <c:v>206.25243986300856</c:v>
                </c:pt>
                <c:pt idx="30">
                  <c:v>213.18497200279739</c:v>
                </c:pt>
                <c:pt idx="31">
                  <c:v>220.11231149913181</c:v>
                </c:pt>
                <c:pt idx="32">
                  <c:v>227.03464506927492</c:v>
                </c:pt>
                <c:pt idx="33">
                  <c:v>233.95214709781916</c:v>
                </c:pt>
                <c:pt idx="34">
                  <c:v>240.86498080001115</c:v>
                </c:pt>
                <c:pt idx="35">
                  <c:v>247.77329924436927</c:v>
                </c:pt>
                <c:pt idx="36">
                  <c:v>254.677246255146</c:v>
                </c:pt>
                <c:pt idx="37">
                  <c:v>261.57695721169699</c:v>
                </c:pt>
                <c:pt idx="38">
                  <c:v>268.47255975900185</c:v>
                </c:pt>
                <c:pt idx="39">
                  <c:v>159.13424306647443</c:v>
                </c:pt>
                <c:pt idx="40">
                  <c:v>175.51556479645032</c:v>
                </c:pt>
                <c:pt idx="41">
                  <c:v>191.86098640807214</c:v>
                </c:pt>
                <c:pt idx="42">
                  <c:v>208.17399808399605</c:v>
                </c:pt>
                <c:pt idx="43">
                  <c:v>224.45749769106285</c:v>
                </c:pt>
                <c:pt idx="44">
                  <c:v>240.7139279284028</c:v>
                </c:pt>
                <c:pt idx="45">
                  <c:v>256.94537440132541</c:v>
                </c:pt>
                <c:pt idx="46">
                  <c:v>202.22829097191121</c:v>
                </c:pt>
                <c:pt idx="47">
                  <c:v>218.55599706941132</c:v>
                </c:pt>
                <c:pt idx="48">
                  <c:v>234.85567780270017</c:v>
                </c:pt>
                <c:pt idx="49">
                  <c:v>251.12955222049018</c:v>
                </c:pt>
                <c:pt idx="50">
                  <c:v>267.37952812778133</c:v>
                </c:pt>
                <c:pt idx="51">
                  <c:v>283.60726240907678</c:v>
                </c:pt>
                <c:pt idx="52">
                  <c:v>299.81420680494631</c:v>
                </c:pt>
                <c:pt idx="53">
                  <c:v>241.6852366162332</c:v>
                </c:pt>
                <c:pt idx="54">
                  <c:v>257.55058563444715</c:v>
                </c:pt>
                <c:pt idx="55">
                  <c:v>273.39384260859043</c:v>
                </c:pt>
                <c:pt idx="56">
                  <c:v>289.21646803530473</c:v>
                </c:pt>
                <c:pt idx="57">
                  <c:v>305.01974952062346</c:v>
                </c:pt>
                <c:pt idx="58">
                  <c:v>320.80483033300214</c:v>
                </c:pt>
                <c:pt idx="59">
                  <c:v>336.57273203877315</c:v>
                </c:pt>
                <c:pt idx="60">
                  <c:v>283.25886324647348</c:v>
                </c:pt>
                <c:pt idx="61">
                  <c:v>298.69552666245664</c:v>
                </c:pt>
                <c:pt idx="62">
                  <c:v>314.11441948835591</c:v>
                </c:pt>
                <c:pt idx="63">
                  <c:v>329.5165368153817</c:v>
                </c:pt>
                <c:pt idx="64">
                  <c:v>344.90277311048459</c:v>
                </c:pt>
                <c:pt idx="65">
                  <c:v>360.27393652075779</c:v>
                </c:pt>
                <c:pt idx="66">
                  <c:v>375.63076060827984</c:v>
                </c:pt>
                <c:pt idx="67">
                  <c:v>390.97391406527368</c:v>
                </c:pt>
                <c:pt idx="68">
                  <c:v>337.3982904915398</c:v>
                </c:pt>
                <c:pt idx="69">
                  <c:v>352.52277406224692</c:v>
                </c:pt>
                <c:pt idx="70">
                  <c:v>367.633038881017</c:v>
                </c:pt>
                <c:pt idx="71">
                  <c:v>382.72975159104658</c:v>
                </c:pt>
                <c:pt idx="72">
                  <c:v>397.81352195706603</c:v>
                </c:pt>
                <c:pt idx="73">
                  <c:v>412.88490973595452</c:v>
                </c:pt>
                <c:pt idx="74">
                  <c:v>427.94443049178523</c:v>
                </c:pt>
                <c:pt idx="75">
                  <c:v>442.99256054965764</c:v>
                </c:pt>
                <c:pt idx="76">
                  <c:v>387.99604929412675</c:v>
                </c:pt>
                <c:pt idx="77">
                  <c:v>402.71916140738546</c:v>
                </c:pt>
                <c:pt idx="78">
                  <c:v>417.43063383513555</c:v>
                </c:pt>
                <c:pt idx="79">
                  <c:v>432.13093449997854</c:v>
                </c:pt>
                <c:pt idx="80">
                  <c:v>446.82049689717434</c:v>
                </c:pt>
                <c:pt idx="81">
                  <c:v>461.49972369979611</c:v>
                </c:pt>
                <c:pt idx="82">
                  <c:v>476.16898988135159</c:v>
                </c:pt>
                <c:pt idx="83">
                  <c:v>490.8286454336303</c:v>
                </c:pt>
                <c:pt idx="84">
                  <c:v>426.05876215311855</c:v>
                </c:pt>
                <c:pt idx="85">
                  <c:v>440.35552328942782</c:v>
                </c:pt>
                <c:pt idx="86">
                  <c:v>454.64233594685237</c:v>
                </c:pt>
                <c:pt idx="87">
                  <c:v>468.91955672259991</c:v>
                </c:pt>
                <c:pt idx="88">
                  <c:v>483.18751873278489</c:v>
                </c:pt>
                <c:pt idx="89">
                  <c:v>497.44653382078923</c:v>
                </c:pt>
                <c:pt idx="90">
                  <c:v>511.69689449928336</c:v>
                </c:pt>
                <c:pt idx="91">
                  <c:v>525.93887566470653</c:v>
                </c:pt>
                <c:pt idx="92">
                  <c:v>540.17273611642679</c:v>
                </c:pt>
                <c:pt idx="93">
                  <c:v>554.39871990749418</c:v>
                </c:pt>
                <c:pt idx="94">
                  <c:v>462.45057577316379</c:v>
                </c:pt>
                <c:pt idx="95">
                  <c:v>476.2297193668951</c:v>
                </c:pt>
                <c:pt idx="96">
                  <c:v>490.00038431965748</c:v>
                </c:pt>
                <c:pt idx="97">
                  <c:v>503.76284242511315</c:v>
                </c:pt>
                <c:pt idx="98">
                  <c:v>517.51734941902237</c:v>
                </c:pt>
                <c:pt idx="99">
                  <c:v>531.26414633845241</c:v>
                </c:pt>
                <c:pt idx="100">
                  <c:v>545.00346073302319</c:v>
                </c:pt>
                <c:pt idx="101">
                  <c:v>558.73550774769456</c:v>
                </c:pt>
                <c:pt idx="102">
                  <c:v>572.46049109360445</c:v>
                </c:pt>
                <c:pt idx="103">
                  <c:v>586.17860392099487</c:v>
                </c:pt>
                <c:pt idx="104">
                  <c:v>494.39304365003255</c:v>
                </c:pt>
                <c:pt idx="105">
                  <c:v>507.69808885047905</c:v>
                </c:pt>
                <c:pt idx="106">
                  <c:v>520.99576594668645</c:v>
                </c:pt>
                <c:pt idx="107">
                  <c:v>534.28628945011303</c:v>
                </c:pt>
                <c:pt idx="108">
                  <c:v>547.56986233272289</c:v>
                </c:pt>
                <c:pt idx="109">
                  <c:v>560.84667691848119</c:v>
                </c:pt>
                <c:pt idx="110">
                  <c:v>574.11691568606932</c:v>
                </c:pt>
                <c:pt idx="111">
                  <c:v>587.38075199355023</c:v>
                </c:pt>
                <c:pt idx="112">
                  <c:v>600.63835073419614</c:v>
                </c:pt>
                <c:pt idx="113">
                  <c:v>613.88986893142953</c:v>
                </c:pt>
                <c:pt idx="114">
                  <c:v>521.12234181312056</c:v>
                </c:pt>
                <c:pt idx="115">
                  <c:v>534.29698035461945</c:v>
                </c:pt>
                <c:pt idx="116">
                  <c:v>547.46478909061773</c:v>
                </c:pt>
                <c:pt idx="117">
                  <c:v>560.62595539326617</c:v>
                </c:pt>
                <c:pt idx="118">
                  <c:v>573.78065712263424</c:v>
                </c:pt>
                <c:pt idx="119">
                  <c:v>586.92906332116638</c:v>
                </c:pt>
                <c:pt idx="120">
                  <c:v>600.07133484269514</c:v>
                </c:pt>
                <c:pt idx="121">
                  <c:v>613.20762492350696</c:v>
                </c:pt>
                <c:pt idx="122">
                  <c:v>626.33807970195176</c:v>
                </c:pt>
                <c:pt idx="123">
                  <c:v>639.46283869223191</c:v>
                </c:pt>
                <c:pt idx="124">
                  <c:v>333.6660506110839</c:v>
                </c:pt>
                <c:pt idx="125">
                  <c:v>341.01717737647567</c:v>
                </c:pt>
                <c:pt idx="126">
                  <c:v>236.43132973115257</c:v>
                </c:pt>
                <c:pt idx="127">
                  <c:v>241.4909819994119</c:v>
                </c:pt>
                <c:pt idx="128">
                  <c:v>173.26777390076953</c:v>
                </c:pt>
                <c:pt idx="129">
                  <c:v>177.0427019008545</c:v>
                </c:pt>
                <c:pt idx="130">
                  <c:v>180.81574144693499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1.5402544434585883</c:v>
                </c:pt>
                <c:pt idx="2">
                  <c:v>2.045780035636779</c:v>
                </c:pt>
                <c:pt idx="3">
                  <c:v>2.717922289174671</c:v>
                </c:pt>
                <c:pt idx="4">
                  <c:v>3.6118140013264668</c:v>
                </c:pt>
                <c:pt idx="5">
                  <c:v>4.8008986035752175</c:v>
                </c:pt>
                <c:pt idx="6">
                  <c:v>6.3830322798094565</c:v>
                </c:pt>
                <c:pt idx="7">
                  <c:v>8.4886260514539114</c:v>
                </c:pt>
                <c:pt idx="8">
                  <c:v>11.291511763194011</c:v>
                </c:pt>
                <c:pt idx="9">
                  <c:v>15.023445803273242</c:v>
                </c:pt>
                <c:pt idx="10">
                  <c:v>19.99347175518178</c:v>
                </c:pt>
                <c:pt idx="11">
                  <c:v>26.613774158639355</c:v>
                </c:pt>
                <c:pt idx="12">
                  <c:v>35.434205161367345</c:v>
                </c:pt>
                <c:pt idx="13">
                  <c:v>47.188400920588187</c:v>
                </c:pt>
                <c:pt idx="14">
                  <c:v>62.855387879153078</c:v>
                </c:pt>
                <c:pt idx="15">
                  <c:v>83.741894453467935</c:v>
                </c:pt>
                <c:pt idx="16">
                  <c:v>111.59234363672935</c:v>
                </c:pt>
                <c:pt idx="17">
                  <c:v>148.73585705438913</c:v>
                </c:pt>
                <c:pt idx="18">
                  <c:v>198.2827526638622</c:v>
                </c:pt>
                <c:pt idx="19">
                  <c:v>152.3864623038144</c:v>
                </c:pt>
                <c:pt idx="20">
                  <c:v>178.23495739466622</c:v>
                </c:pt>
                <c:pt idx="21">
                  <c:v>203.99545422081783</c:v>
                </c:pt>
                <c:pt idx="22">
                  <c:v>229.68063675506048</c:v>
                </c:pt>
                <c:pt idx="23">
                  <c:v>255.30011308757412</c:v>
                </c:pt>
                <c:pt idx="24">
                  <c:v>280.86140248997191</c:v>
                </c:pt>
                <c:pt idx="25">
                  <c:v>259.43544652877773</c:v>
                </c:pt>
                <c:pt idx="26">
                  <c:v>286.76641000957017</c:v>
                </c:pt>
                <c:pt idx="27">
                  <c:v>314.03909760954588</c:v>
                </c:pt>
                <c:pt idx="28">
                  <c:v>341.25927813642528</c:v>
                </c:pt>
                <c:pt idx="29">
                  <c:v>368.43172495291293</c:v>
                </c:pt>
                <c:pt idx="30">
                  <c:v>395.5604500494847</c:v>
                </c:pt>
                <c:pt idx="31">
                  <c:v>346.24890026667828</c:v>
                </c:pt>
                <c:pt idx="32">
                  <c:v>373.24974422733004</c:v>
                </c:pt>
                <c:pt idx="33">
                  <c:v>400.20802972261481</c:v>
                </c:pt>
                <c:pt idx="34">
                  <c:v>427.12702359531545</c:v>
                </c:pt>
                <c:pt idx="35">
                  <c:v>454.00954759463934</c:v>
                </c:pt>
                <c:pt idx="36">
                  <c:v>480.85806231909402</c:v>
                </c:pt>
                <c:pt idx="37">
                  <c:v>426.61349667894268</c:v>
                </c:pt>
                <c:pt idx="38">
                  <c:v>452.9556801030223</c:v>
                </c:pt>
                <c:pt idx="39">
                  <c:v>479.26512417586628</c:v>
                </c:pt>
                <c:pt idx="40">
                  <c:v>505.54387680430187</c:v>
                </c:pt>
                <c:pt idx="41">
                  <c:v>531.79375583365902</c:v>
                </c:pt>
                <c:pt idx="42">
                  <c:v>558.01638520079189</c:v>
                </c:pt>
                <c:pt idx="43">
                  <c:v>497.99699632678494</c:v>
                </c:pt>
                <c:pt idx="44">
                  <c:v>523.32749575764262</c:v>
                </c:pt>
                <c:pt idx="45">
                  <c:v>548.63216886276189</c:v>
                </c:pt>
                <c:pt idx="46">
                  <c:v>573.91237297748114</c:v>
                </c:pt>
                <c:pt idx="47">
                  <c:v>599.16933624116075</c:v>
                </c:pt>
                <c:pt idx="48">
                  <c:v>624.40417493070879</c:v>
                </c:pt>
                <c:pt idx="49">
                  <c:v>553.80659006304643</c:v>
                </c:pt>
                <c:pt idx="50">
                  <c:v>577.77991843712778</c:v>
                </c:pt>
                <c:pt idx="51">
                  <c:v>601.73250042950247</c:v>
                </c:pt>
                <c:pt idx="52">
                  <c:v>625.66527709965862</c:v>
                </c:pt>
                <c:pt idx="53">
                  <c:v>649.57911172546289</c:v>
                </c:pt>
                <c:pt idx="54">
                  <c:v>673.47479891593559</c:v>
                </c:pt>
                <c:pt idx="55">
                  <c:v>2.8030510891776262E-12</c:v>
                </c:pt>
                <c:pt idx="56">
                  <c:v>2.8030510891776262E-12</c:v>
                </c:pt>
                <c:pt idx="57">
                  <c:v>2.8030510891776262E-12</c:v>
                </c:pt>
                <c:pt idx="58">
                  <c:v>2.8030510891776262E-12</c:v>
                </c:pt>
                <c:pt idx="59">
                  <c:v>2.8030510891776262E-12</c:v>
                </c:pt>
                <c:pt idx="60">
                  <c:v>2.8030510891776262E-12</c:v>
                </c:pt>
                <c:pt idx="61">
                  <c:v>2.8030510891776262E-12</c:v>
                </c:pt>
                <c:pt idx="62">
                  <c:v>2.8030510891776262E-12</c:v>
                </c:pt>
                <c:pt idx="63">
                  <c:v>2.8030510891776262E-12</c:v>
                </c:pt>
                <c:pt idx="64">
                  <c:v>2.8030510891776262E-12</c:v>
                </c:pt>
                <c:pt idx="65">
                  <c:v>2.8030510891776262E-12</c:v>
                </c:pt>
                <c:pt idx="66">
                  <c:v>2.8030510891776262E-12</c:v>
                </c:pt>
                <c:pt idx="67">
                  <c:v>2.8030510891776262E-12</c:v>
                </c:pt>
                <c:pt idx="68">
                  <c:v>2.8030510891776262E-12</c:v>
                </c:pt>
                <c:pt idx="69">
                  <c:v>2.8030510891776262E-12</c:v>
                </c:pt>
                <c:pt idx="70">
                  <c:v>2.8030510891776262E-12</c:v>
                </c:pt>
                <c:pt idx="71">
                  <c:v>2.8030510891776262E-12</c:v>
                </c:pt>
                <c:pt idx="72">
                  <c:v>2.8030510891776262E-12</c:v>
                </c:pt>
                <c:pt idx="73">
                  <c:v>2.8030510891776262E-12</c:v>
                </c:pt>
                <c:pt idx="74">
                  <c:v>2.8030510891776262E-12</c:v>
                </c:pt>
                <c:pt idx="75">
                  <c:v>2.8030510891776262E-12</c:v>
                </c:pt>
                <c:pt idx="76">
                  <c:v>2.8030510891776262E-12</c:v>
                </c:pt>
                <c:pt idx="77">
                  <c:v>2.8030510891776262E-12</c:v>
                </c:pt>
                <c:pt idx="78">
                  <c:v>2.8030510891776262E-12</c:v>
                </c:pt>
                <c:pt idx="79">
                  <c:v>2.8030510891776262E-12</c:v>
                </c:pt>
                <c:pt idx="80">
                  <c:v>2.8030510891776262E-12</c:v>
                </c:pt>
                <c:pt idx="81">
                  <c:v>2.8030510891776262E-12</c:v>
                </c:pt>
                <c:pt idx="82">
                  <c:v>2.8030510891776262E-12</c:v>
                </c:pt>
                <c:pt idx="83">
                  <c:v>2.8030510891776262E-12</c:v>
                </c:pt>
                <c:pt idx="84">
                  <c:v>2.8030510891776262E-12</c:v>
                </c:pt>
                <c:pt idx="85">
                  <c:v>2.8030510891776262E-12</c:v>
                </c:pt>
                <c:pt idx="86">
                  <c:v>2.8030510891776262E-12</c:v>
                </c:pt>
                <c:pt idx="87">
                  <c:v>2.8030510891776262E-12</c:v>
                </c:pt>
                <c:pt idx="88">
                  <c:v>2.8030510891776262E-12</c:v>
                </c:pt>
                <c:pt idx="89">
                  <c:v>2.8030510891776262E-12</c:v>
                </c:pt>
                <c:pt idx="90">
                  <c:v>2.8030510891776262E-12</c:v>
                </c:pt>
                <c:pt idx="91">
                  <c:v>2.8030510891776262E-12</c:v>
                </c:pt>
                <c:pt idx="92">
                  <c:v>2.8030510891776262E-12</c:v>
                </c:pt>
                <c:pt idx="93">
                  <c:v>2.8030510891776262E-12</c:v>
                </c:pt>
                <c:pt idx="94">
                  <c:v>2.8030510891776262E-12</c:v>
                </c:pt>
                <c:pt idx="95">
                  <c:v>2.8030510891776262E-12</c:v>
                </c:pt>
                <c:pt idx="96">
                  <c:v>2.8030510891776262E-12</c:v>
                </c:pt>
                <c:pt idx="97">
                  <c:v>2.8030510891776262E-12</c:v>
                </c:pt>
                <c:pt idx="98">
                  <c:v>2.8030510891776262E-12</c:v>
                </c:pt>
                <c:pt idx="99">
                  <c:v>2.8030510891776262E-12</c:v>
                </c:pt>
                <c:pt idx="100">
                  <c:v>2.8030510891776262E-12</c:v>
                </c:pt>
                <c:pt idx="101">
                  <c:v>2.8030510891776262E-12</c:v>
                </c:pt>
                <c:pt idx="102">
                  <c:v>2.8030510891776262E-12</c:v>
                </c:pt>
                <c:pt idx="103">
                  <c:v>2.8030510891776262E-12</c:v>
                </c:pt>
                <c:pt idx="104">
                  <c:v>2.8030510891776262E-12</c:v>
                </c:pt>
                <c:pt idx="105">
                  <c:v>2.8030510891776262E-12</c:v>
                </c:pt>
                <c:pt idx="106">
                  <c:v>2.8030510891776262E-12</c:v>
                </c:pt>
                <c:pt idx="107">
                  <c:v>2.8030510891776262E-12</c:v>
                </c:pt>
                <c:pt idx="108">
                  <c:v>2.8030510891776262E-12</c:v>
                </c:pt>
                <c:pt idx="109">
                  <c:v>2.8030510891776262E-12</c:v>
                </c:pt>
                <c:pt idx="110">
                  <c:v>2.8030510891776262E-12</c:v>
                </c:pt>
                <c:pt idx="111">
                  <c:v>2.8030510891776262E-12</c:v>
                </c:pt>
                <c:pt idx="112">
                  <c:v>2.8030510891776262E-12</c:v>
                </c:pt>
                <c:pt idx="113">
                  <c:v>2.8030510891776262E-12</c:v>
                </c:pt>
                <c:pt idx="114">
                  <c:v>2.8030510891776262E-12</c:v>
                </c:pt>
                <c:pt idx="115">
                  <c:v>2.8030510891776262E-12</c:v>
                </c:pt>
                <c:pt idx="116">
                  <c:v>2.8030510891776262E-12</c:v>
                </c:pt>
                <c:pt idx="117">
                  <c:v>2.8030510891776262E-12</c:v>
                </c:pt>
                <c:pt idx="118">
                  <c:v>2.8030510891776262E-12</c:v>
                </c:pt>
                <c:pt idx="119">
                  <c:v>2.8030510891776262E-12</c:v>
                </c:pt>
                <c:pt idx="120">
                  <c:v>2.8030510891776262E-12</c:v>
                </c:pt>
                <c:pt idx="121">
                  <c:v>2.8030510891776262E-12</c:v>
                </c:pt>
                <c:pt idx="122">
                  <c:v>2.8030510891776262E-12</c:v>
                </c:pt>
                <c:pt idx="123">
                  <c:v>2.8030510891776262E-12</c:v>
                </c:pt>
                <c:pt idx="124">
                  <c:v>2.8030510891776262E-12</c:v>
                </c:pt>
                <c:pt idx="125">
                  <c:v>2.8030510891776262E-12</c:v>
                </c:pt>
                <c:pt idx="126">
                  <c:v>2.8030510891776262E-12</c:v>
                </c:pt>
                <c:pt idx="127">
                  <c:v>2.8030510891776262E-12</c:v>
                </c:pt>
                <c:pt idx="128">
                  <c:v>2.8030510891776262E-12</c:v>
                </c:pt>
                <c:pt idx="129">
                  <c:v>2.8030510891776262E-12</c:v>
                </c:pt>
                <c:pt idx="130">
                  <c:v>2.8030510891776262E-12</c:v>
                </c:pt>
                <c:pt idx="131">
                  <c:v>2.8030510891776262E-12</c:v>
                </c:pt>
                <c:pt idx="132">
                  <c:v>2.8030510891776262E-12</c:v>
                </c:pt>
                <c:pt idx="133">
                  <c:v>2.8030510891776262E-12</c:v>
                </c:pt>
                <c:pt idx="134">
                  <c:v>2.8030510891776262E-12</c:v>
                </c:pt>
                <c:pt idx="135">
                  <c:v>2.8030510891776262E-12</c:v>
                </c:pt>
                <c:pt idx="136">
                  <c:v>2.8030510891776262E-12</c:v>
                </c:pt>
                <c:pt idx="137">
                  <c:v>2.8030510891776262E-12</c:v>
                </c:pt>
                <c:pt idx="138">
                  <c:v>2.8030510891776262E-12</c:v>
                </c:pt>
                <c:pt idx="139">
                  <c:v>2.8030510891776262E-12</c:v>
                </c:pt>
                <c:pt idx="140">
                  <c:v>2.8030510891776262E-12</c:v>
                </c:pt>
                <c:pt idx="141">
                  <c:v>2.8030510891776262E-12</c:v>
                </c:pt>
                <c:pt idx="142">
                  <c:v>2.8030510891776262E-12</c:v>
                </c:pt>
                <c:pt idx="143">
                  <c:v>2.8030510891776262E-12</c:v>
                </c:pt>
                <c:pt idx="144">
                  <c:v>2.8030510891776262E-12</c:v>
                </c:pt>
                <c:pt idx="145">
                  <c:v>2.8030510891776262E-12</c:v>
                </c:pt>
                <c:pt idx="146">
                  <c:v>2.8030510891776262E-12</c:v>
                </c:pt>
                <c:pt idx="147">
                  <c:v>2.8030510891776262E-12</c:v>
                </c:pt>
                <c:pt idx="148">
                  <c:v>2.8030510891776262E-12</c:v>
                </c:pt>
                <c:pt idx="149">
                  <c:v>2.8030510891776262E-12</c:v>
                </c:pt>
                <c:pt idx="150">
                  <c:v>2.8030510891776262E-12</c:v>
                </c:pt>
                <c:pt idx="151">
                  <c:v>2.8030510891776262E-12</c:v>
                </c:pt>
                <c:pt idx="152">
                  <c:v>2.8030510891776262E-12</c:v>
                </c:pt>
                <c:pt idx="153">
                  <c:v>2.8030510891776262E-12</c:v>
                </c:pt>
                <c:pt idx="154">
                  <c:v>2.8030510891776262E-12</c:v>
                </c:pt>
                <c:pt idx="155">
                  <c:v>2.8030510891776262E-12</c:v>
                </c:pt>
                <c:pt idx="156">
                  <c:v>2.8030510891776262E-12</c:v>
                </c:pt>
                <c:pt idx="157">
                  <c:v>2.8030510891776262E-12</c:v>
                </c:pt>
                <c:pt idx="158">
                  <c:v>2.8030510891776262E-12</c:v>
                </c:pt>
                <c:pt idx="159">
                  <c:v>2.8030510891776262E-12</c:v>
                </c:pt>
                <c:pt idx="160">
                  <c:v>2.8030510891776262E-12</c:v>
                </c:pt>
                <c:pt idx="161">
                  <c:v>2.8030510891776262E-12</c:v>
                </c:pt>
                <c:pt idx="162">
                  <c:v>2.8030510891776262E-12</c:v>
                </c:pt>
                <c:pt idx="163">
                  <c:v>2.8030510891776262E-12</c:v>
                </c:pt>
                <c:pt idx="164">
                  <c:v>2.8030510891776262E-12</c:v>
                </c:pt>
                <c:pt idx="165">
                  <c:v>2.8030510891776262E-12</c:v>
                </c:pt>
                <c:pt idx="166">
                  <c:v>2.8030510891776262E-12</c:v>
                </c:pt>
                <c:pt idx="167">
                  <c:v>2.8030510891776262E-12</c:v>
                </c:pt>
                <c:pt idx="168">
                  <c:v>2.8030510891776262E-12</c:v>
                </c:pt>
                <c:pt idx="169">
                  <c:v>2.8030510891776262E-12</c:v>
                </c:pt>
                <c:pt idx="170">
                  <c:v>2.8030510891776262E-12</c:v>
                </c:pt>
                <c:pt idx="171">
                  <c:v>2.8030510891776262E-12</c:v>
                </c:pt>
                <c:pt idx="172">
                  <c:v>2.8030510891776262E-12</c:v>
                </c:pt>
                <c:pt idx="173">
                  <c:v>2.8030510891776262E-12</c:v>
                </c:pt>
                <c:pt idx="174">
                  <c:v>2.8030510891776262E-12</c:v>
                </c:pt>
                <c:pt idx="175">
                  <c:v>2.8030510891776262E-12</c:v>
                </c:pt>
                <c:pt idx="176">
                  <c:v>2.8030510891776262E-12</c:v>
                </c:pt>
                <c:pt idx="177">
                  <c:v>2.8030510891776262E-12</c:v>
                </c:pt>
                <c:pt idx="178">
                  <c:v>2.8030510891776262E-12</c:v>
                </c:pt>
                <c:pt idx="179">
                  <c:v>2.8030510891776262E-12</c:v>
                </c:pt>
                <c:pt idx="180">
                  <c:v>2.8030510891776262E-12</c:v>
                </c:pt>
                <c:pt idx="181">
                  <c:v>2.8030510891776262E-12</c:v>
                </c:pt>
                <c:pt idx="182">
                  <c:v>2.8030510891776262E-12</c:v>
                </c:pt>
                <c:pt idx="183">
                  <c:v>2.8030510891776262E-12</c:v>
                </c:pt>
                <c:pt idx="184">
                  <c:v>2.8030510891776262E-12</c:v>
                </c:pt>
                <c:pt idx="185">
                  <c:v>2.8030510891776262E-12</c:v>
                </c:pt>
                <c:pt idx="186">
                  <c:v>2.8030510891776262E-12</c:v>
                </c:pt>
                <c:pt idx="187">
                  <c:v>2.8030510891776262E-12</c:v>
                </c:pt>
                <c:pt idx="188">
                  <c:v>2.8030510891776262E-12</c:v>
                </c:pt>
                <c:pt idx="189">
                  <c:v>2.8030510891776262E-12</c:v>
                </c:pt>
                <c:pt idx="190">
                  <c:v>2.8030510891776262E-12</c:v>
                </c:pt>
                <c:pt idx="191">
                  <c:v>2.8030510891776262E-12</c:v>
                </c:pt>
                <c:pt idx="192">
                  <c:v>2.8030510891776262E-12</c:v>
                </c:pt>
                <c:pt idx="193">
                  <c:v>2.8030510891776262E-12</c:v>
                </c:pt>
                <c:pt idx="194">
                  <c:v>2.8030510891776262E-12</c:v>
                </c:pt>
                <c:pt idx="195">
                  <c:v>2.8030510891776262E-12</c:v>
                </c:pt>
                <c:pt idx="196">
                  <c:v>2.8030510891776262E-12</c:v>
                </c:pt>
                <c:pt idx="197">
                  <c:v>2.8030510891776262E-12</c:v>
                </c:pt>
                <c:pt idx="198">
                  <c:v>2.8030510891776262E-12</c:v>
                </c:pt>
                <c:pt idx="199">
                  <c:v>2.8030510891776262E-12</c:v>
                </c:pt>
                <c:pt idx="200">
                  <c:v>2.8030510891776262E-12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1.2845116427192949</c:v>
                </c:pt>
                <c:pt idx="2">
                  <c:v>1.5546394872004605</c:v>
                </c:pt>
                <c:pt idx="3">
                  <c:v>1.881795784852615</c:v>
                </c:pt>
                <c:pt idx="4">
                  <c:v>2.2780645518186615</c:v>
                </c:pt>
                <c:pt idx="5">
                  <c:v>2.7580991888430586</c:v>
                </c:pt>
                <c:pt idx="6">
                  <c:v>3.3396705590923492</c:v>
                </c:pt>
                <c:pt idx="7">
                  <c:v>4.0443323250709433</c:v>
                </c:pt>
                <c:pt idx="8">
                  <c:v>4.8982287004616332</c:v>
                </c:pt>
                <c:pt idx="9">
                  <c:v>5.9330751829717228</c:v>
                </c:pt>
                <c:pt idx="10">
                  <c:v>7.1873494107505485</c:v>
                </c:pt>
                <c:pt idx="11">
                  <c:v>8.7077372795751593</c:v>
                </c:pt>
                <c:pt idx="12">
                  <c:v>10.550889177206551</c:v>
                </c:pt>
                <c:pt idx="13">
                  <c:v>12.78555300786136</c:v>
                </c:pt>
                <c:pt idx="14">
                  <c:v>15.495165047101187</c:v>
                </c:pt>
                <c:pt idx="15">
                  <c:v>18.780997137315463</c:v>
                </c:pt>
                <c:pt idx="16">
                  <c:v>22.765979977595105</c:v>
                </c:pt>
                <c:pt idx="17">
                  <c:v>27.599348095865835</c:v>
                </c:pt>
                <c:pt idx="18">
                  <c:v>33.462283509414711</c:v>
                </c:pt>
                <c:pt idx="19">
                  <c:v>40.57477329162645</c:v>
                </c:pt>
                <c:pt idx="20">
                  <c:v>49.203942739343518</c:v>
                </c:pt>
                <c:pt idx="21">
                  <c:v>56.183536093051821</c:v>
                </c:pt>
                <c:pt idx="22">
                  <c:v>64.432406725367812</c:v>
                </c:pt>
                <c:pt idx="23">
                  <c:v>72.653927076975648</c:v>
                </c:pt>
                <c:pt idx="24">
                  <c:v>80.851637423228254</c:v>
                </c:pt>
                <c:pt idx="25">
                  <c:v>89.02829823934924</c:v>
                </c:pt>
                <c:pt idx="26">
                  <c:v>75.646279131225</c:v>
                </c:pt>
                <c:pt idx="27">
                  <c:v>84.734021209634349</c:v>
                </c:pt>
                <c:pt idx="28">
                  <c:v>93.797189475296122</c:v>
                </c:pt>
                <c:pt idx="29">
                  <c:v>102.83849800131925</c:v>
                </c:pt>
                <c:pt idx="30">
                  <c:v>111.86014309780506</c:v>
                </c:pt>
                <c:pt idx="31">
                  <c:v>98.783644137534523</c:v>
                </c:pt>
                <c:pt idx="32">
                  <c:v>108.03698794180828</c:v>
                </c:pt>
                <c:pt idx="33">
                  <c:v>117.27082043315342</c:v>
                </c:pt>
                <c:pt idx="34">
                  <c:v>126.4868969238933</c:v>
                </c:pt>
                <c:pt idx="35">
                  <c:v>135.68669544479124</c:v>
                </c:pt>
                <c:pt idx="36">
                  <c:v>122.48475164669996</c:v>
                </c:pt>
                <c:pt idx="37">
                  <c:v>131.50113437055469</c:v>
                </c:pt>
                <c:pt idx="38">
                  <c:v>140.50258799241263</c:v>
                </c:pt>
                <c:pt idx="39">
                  <c:v>149.4902051424535</c:v>
                </c:pt>
                <c:pt idx="40">
                  <c:v>158.46493609609686</c:v>
                </c:pt>
                <c:pt idx="41">
                  <c:v>144.87147680827209</c:v>
                </c:pt>
                <c:pt idx="42">
                  <c:v>153.41028299791404</c:v>
                </c:pt>
                <c:pt idx="43">
                  <c:v>161.93778371077482</c:v>
                </c:pt>
                <c:pt idx="44">
                  <c:v>170.45465904517357</c:v>
                </c:pt>
                <c:pt idx="45">
                  <c:v>178.96151547571696</c:v>
                </c:pt>
                <c:pt idx="46">
                  <c:v>164.90409139913217</c:v>
                </c:pt>
                <c:pt idx="47">
                  <c:v>172.9131993484169</c:v>
                </c:pt>
                <c:pt idx="48">
                  <c:v>180.91358552045187</c:v>
                </c:pt>
                <c:pt idx="49">
                  <c:v>188.90569054523584</c:v>
                </c:pt>
                <c:pt idx="50">
                  <c:v>196.88991466709231</c:v>
                </c:pt>
                <c:pt idx="51">
                  <c:v>182.39305156442038</c:v>
                </c:pt>
                <c:pt idx="52">
                  <c:v>189.9120030756086</c:v>
                </c:pt>
                <c:pt idx="53">
                  <c:v>197.42401965620647</c:v>
                </c:pt>
                <c:pt idx="54">
                  <c:v>204.92940278084652</c:v>
                </c:pt>
                <c:pt idx="55">
                  <c:v>212.42843000516621</c:v>
                </c:pt>
                <c:pt idx="56">
                  <c:v>198.42930281736452</c:v>
                </c:pt>
                <c:pt idx="57">
                  <c:v>205.46301322068373</c:v>
                </c:pt>
                <c:pt idx="58">
                  <c:v>212.49115729264392</c:v>
                </c:pt>
                <c:pt idx="59">
                  <c:v>219.51394538445155</c:v>
                </c:pt>
                <c:pt idx="60">
                  <c:v>226.53157326875689</c:v>
                </c:pt>
                <c:pt idx="61">
                  <c:v>214.56091915912245</c:v>
                </c:pt>
                <c:pt idx="62">
                  <c:v>221.08082089051047</c:v>
                </c:pt>
                <c:pt idx="63">
                  <c:v>227.59630947857013</c:v>
                </c:pt>
                <c:pt idx="64">
                  <c:v>234.10752927807414</c:v>
                </c:pt>
                <c:pt idx="65">
                  <c:v>240.61461594607189</c:v>
                </c:pt>
                <c:pt idx="66">
                  <c:v>229.8819762513541</c:v>
                </c:pt>
                <c:pt idx="67">
                  <c:v>235.89112688921929</c:v>
                </c:pt>
                <c:pt idx="68">
                  <c:v>241.8967863555649</c:v>
                </c:pt>
                <c:pt idx="69">
                  <c:v>247.89905369419429</c:v>
                </c:pt>
                <c:pt idx="70">
                  <c:v>253.8980227536797</c:v>
                </c:pt>
                <c:pt idx="71">
                  <c:v>243.64779379564379</c:v>
                </c:pt>
                <c:pt idx="72">
                  <c:v>249.18035740960724</c:v>
                </c:pt>
                <c:pt idx="73">
                  <c:v>254.7101345115793</c:v>
                </c:pt>
                <c:pt idx="74">
                  <c:v>260.2371942320159</c:v>
                </c:pt>
                <c:pt idx="75">
                  <c:v>265.76160252052625</c:v>
                </c:pt>
                <c:pt idx="76">
                  <c:v>255.99065324517778</c:v>
                </c:pt>
                <c:pt idx="77">
                  <c:v>261.048853826607</c:v>
                </c:pt>
                <c:pt idx="78">
                  <c:v>266.10484126401735</c:v>
                </c:pt>
                <c:pt idx="79">
                  <c:v>271.15866361172044</c:v>
                </c:pt>
                <c:pt idx="80">
                  <c:v>276.21036698362371</c:v>
                </c:pt>
                <c:pt idx="81">
                  <c:v>1.392570441580175E-12</c:v>
                </c:pt>
                <c:pt idx="82">
                  <c:v>1.392570441580175E-12</c:v>
                </c:pt>
                <c:pt idx="83">
                  <c:v>1.392570441580175E-12</c:v>
                </c:pt>
                <c:pt idx="84">
                  <c:v>1.392570441580175E-12</c:v>
                </c:pt>
                <c:pt idx="85">
                  <c:v>1.392570441580175E-12</c:v>
                </c:pt>
                <c:pt idx="86">
                  <c:v>1.392570441580175E-12</c:v>
                </c:pt>
                <c:pt idx="87">
                  <c:v>1.392570441580175E-12</c:v>
                </c:pt>
                <c:pt idx="88">
                  <c:v>1.392570441580175E-12</c:v>
                </c:pt>
                <c:pt idx="89">
                  <c:v>1.392570441580175E-12</c:v>
                </c:pt>
                <c:pt idx="90">
                  <c:v>1.392570441580175E-12</c:v>
                </c:pt>
                <c:pt idx="91">
                  <c:v>1.392570441580175E-12</c:v>
                </c:pt>
                <c:pt idx="92">
                  <c:v>1.392570441580175E-12</c:v>
                </c:pt>
                <c:pt idx="93">
                  <c:v>1.392570441580175E-12</c:v>
                </c:pt>
                <c:pt idx="94">
                  <c:v>1.392570441580175E-12</c:v>
                </c:pt>
                <c:pt idx="95">
                  <c:v>1.392570441580175E-12</c:v>
                </c:pt>
                <c:pt idx="96">
                  <c:v>1.392570441580175E-12</c:v>
                </c:pt>
                <c:pt idx="97">
                  <c:v>1.392570441580175E-12</c:v>
                </c:pt>
                <c:pt idx="98">
                  <c:v>1.392570441580175E-12</c:v>
                </c:pt>
                <c:pt idx="99">
                  <c:v>1.392570441580175E-12</c:v>
                </c:pt>
                <c:pt idx="100">
                  <c:v>1.392570441580175E-12</c:v>
                </c:pt>
                <c:pt idx="101">
                  <c:v>1.392570441580175E-12</c:v>
                </c:pt>
                <c:pt idx="102">
                  <c:v>1.392570441580175E-12</c:v>
                </c:pt>
                <c:pt idx="103">
                  <c:v>1.392570441580175E-12</c:v>
                </c:pt>
                <c:pt idx="104">
                  <c:v>1.392570441580175E-12</c:v>
                </c:pt>
                <c:pt idx="105">
                  <c:v>1.392570441580175E-12</c:v>
                </c:pt>
                <c:pt idx="106">
                  <c:v>1.392570441580175E-12</c:v>
                </c:pt>
                <c:pt idx="107">
                  <c:v>1.392570441580175E-12</c:v>
                </c:pt>
                <c:pt idx="108">
                  <c:v>1.392570441580175E-12</c:v>
                </c:pt>
                <c:pt idx="109">
                  <c:v>1.392570441580175E-12</c:v>
                </c:pt>
                <c:pt idx="110">
                  <c:v>1.392570441580175E-12</c:v>
                </c:pt>
                <c:pt idx="111">
                  <c:v>1.392570441580175E-12</c:v>
                </c:pt>
                <c:pt idx="112">
                  <c:v>1.392570441580175E-12</c:v>
                </c:pt>
                <c:pt idx="113">
                  <c:v>1.392570441580175E-12</c:v>
                </c:pt>
                <c:pt idx="114">
                  <c:v>1.392570441580175E-12</c:v>
                </c:pt>
                <c:pt idx="115">
                  <c:v>1.392570441580175E-12</c:v>
                </c:pt>
                <c:pt idx="116">
                  <c:v>1.392570441580175E-12</c:v>
                </c:pt>
                <c:pt idx="117">
                  <c:v>1.392570441580175E-12</c:v>
                </c:pt>
                <c:pt idx="118">
                  <c:v>1.392570441580175E-12</c:v>
                </c:pt>
                <c:pt idx="119">
                  <c:v>1.392570441580175E-12</c:v>
                </c:pt>
                <c:pt idx="120">
                  <c:v>1.392570441580175E-12</c:v>
                </c:pt>
                <c:pt idx="121">
                  <c:v>1.392570441580175E-12</c:v>
                </c:pt>
                <c:pt idx="122">
                  <c:v>1.392570441580175E-12</c:v>
                </c:pt>
                <c:pt idx="123">
                  <c:v>1.392570441580175E-12</c:v>
                </c:pt>
                <c:pt idx="124">
                  <c:v>1.392570441580175E-12</c:v>
                </c:pt>
                <c:pt idx="125">
                  <c:v>1.392570441580175E-12</c:v>
                </c:pt>
                <c:pt idx="126">
                  <c:v>1.392570441580175E-12</c:v>
                </c:pt>
                <c:pt idx="127">
                  <c:v>1.392570441580175E-12</c:v>
                </c:pt>
                <c:pt idx="128">
                  <c:v>1.392570441580175E-12</c:v>
                </c:pt>
                <c:pt idx="129">
                  <c:v>1.392570441580175E-12</c:v>
                </c:pt>
                <c:pt idx="130">
                  <c:v>1.392570441580175E-12</c:v>
                </c:pt>
                <c:pt idx="131">
                  <c:v>1.392570441580175E-12</c:v>
                </c:pt>
                <c:pt idx="132">
                  <c:v>1.392570441580175E-12</c:v>
                </c:pt>
                <c:pt idx="133">
                  <c:v>1.392570441580175E-12</c:v>
                </c:pt>
                <c:pt idx="134">
                  <c:v>1.392570441580175E-12</c:v>
                </c:pt>
                <c:pt idx="135">
                  <c:v>1.392570441580175E-12</c:v>
                </c:pt>
                <c:pt idx="136">
                  <c:v>1.392570441580175E-12</c:v>
                </c:pt>
                <c:pt idx="137">
                  <c:v>1.392570441580175E-12</c:v>
                </c:pt>
                <c:pt idx="138">
                  <c:v>1.392570441580175E-12</c:v>
                </c:pt>
                <c:pt idx="139">
                  <c:v>1.392570441580175E-12</c:v>
                </c:pt>
                <c:pt idx="140">
                  <c:v>1.392570441580175E-12</c:v>
                </c:pt>
                <c:pt idx="141">
                  <c:v>1.392570441580175E-12</c:v>
                </c:pt>
                <c:pt idx="142">
                  <c:v>1.392570441580175E-12</c:v>
                </c:pt>
                <c:pt idx="143">
                  <c:v>1.392570441580175E-12</c:v>
                </c:pt>
                <c:pt idx="144">
                  <c:v>1.392570441580175E-12</c:v>
                </c:pt>
                <c:pt idx="145">
                  <c:v>1.392570441580175E-12</c:v>
                </c:pt>
                <c:pt idx="146">
                  <c:v>1.392570441580175E-12</c:v>
                </c:pt>
                <c:pt idx="147">
                  <c:v>1.392570441580175E-12</c:v>
                </c:pt>
                <c:pt idx="148">
                  <c:v>1.392570441580175E-12</c:v>
                </c:pt>
                <c:pt idx="149">
                  <c:v>1.392570441580175E-12</c:v>
                </c:pt>
                <c:pt idx="150">
                  <c:v>1.392570441580175E-12</c:v>
                </c:pt>
                <c:pt idx="151">
                  <c:v>1.392570441580175E-12</c:v>
                </c:pt>
                <c:pt idx="152">
                  <c:v>1.392570441580175E-12</c:v>
                </c:pt>
                <c:pt idx="153">
                  <c:v>1.392570441580175E-12</c:v>
                </c:pt>
                <c:pt idx="154">
                  <c:v>1.392570441580175E-12</c:v>
                </c:pt>
                <c:pt idx="155">
                  <c:v>1.392570441580175E-12</c:v>
                </c:pt>
                <c:pt idx="156">
                  <c:v>1.392570441580175E-12</c:v>
                </c:pt>
                <c:pt idx="157">
                  <c:v>1.392570441580175E-12</c:v>
                </c:pt>
                <c:pt idx="158">
                  <c:v>1.392570441580175E-12</c:v>
                </c:pt>
                <c:pt idx="159">
                  <c:v>1.392570441580175E-12</c:v>
                </c:pt>
                <c:pt idx="160">
                  <c:v>1.392570441580175E-12</c:v>
                </c:pt>
                <c:pt idx="161">
                  <c:v>1.392570441580175E-12</c:v>
                </c:pt>
                <c:pt idx="162">
                  <c:v>1.392570441580175E-12</c:v>
                </c:pt>
                <c:pt idx="163">
                  <c:v>1.392570441580175E-12</c:v>
                </c:pt>
                <c:pt idx="164">
                  <c:v>1.392570441580175E-12</c:v>
                </c:pt>
                <c:pt idx="165">
                  <c:v>1.392570441580175E-12</c:v>
                </c:pt>
                <c:pt idx="166">
                  <c:v>1.392570441580175E-12</c:v>
                </c:pt>
                <c:pt idx="167">
                  <c:v>1.392570441580175E-12</c:v>
                </c:pt>
                <c:pt idx="168">
                  <c:v>1.392570441580175E-12</c:v>
                </c:pt>
                <c:pt idx="169">
                  <c:v>1.392570441580175E-12</c:v>
                </c:pt>
                <c:pt idx="170">
                  <c:v>1.392570441580175E-12</c:v>
                </c:pt>
                <c:pt idx="171">
                  <c:v>1.392570441580175E-12</c:v>
                </c:pt>
                <c:pt idx="172">
                  <c:v>1.392570441580175E-12</c:v>
                </c:pt>
                <c:pt idx="173">
                  <c:v>1.392570441580175E-12</c:v>
                </c:pt>
                <c:pt idx="174">
                  <c:v>1.392570441580175E-12</c:v>
                </c:pt>
                <c:pt idx="175">
                  <c:v>1.392570441580175E-12</c:v>
                </c:pt>
                <c:pt idx="176">
                  <c:v>1.392570441580175E-12</c:v>
                </c:pt>
                <c:pt idx="177">
                  <c:v>1.392570441580175E-12</c:v>
                </c:pt>
                <c:pt idx="178">
                  <c:v>1.392570441580175E-12</c:v>
                </c:pt>
                <c:pt idx="179">
                  <c:v>1.392570441580175E-12</c:v>
                </c:pt>
                <c:pt idx="180">
                  <c:v>1.392570441580175E-12</c:v>
                </c:pt>
                <c:pt idx="181">
                  <c:v>1.392570441580175E-12</c:v>
                </c:pt>
                <c:pt idx="182">
                  <c:v>1.392570441580175E-12</c:v>
                </c:pt>
                <c:pt idx="183">
                  <c:v>1.392570441580175E-12</c:v>
                </c:pt>
                <c:pt idx="184">
                  <c:v>1.392570441580175E-12</c:v>
                </c:pt>
                <c:pt idx="185">
                  <c:v>1.392570441580175E-12</c:v>
                </c:pt>
                <c:pt idx="186">
                  <c:v>1.392570441580175E-12</c:v>
                </c:pt>
                <c:pt idx="187">
                  <c:v>1.392570441580175E-12</c:v>
                </c:pt>
                <c:pt idx="188">
                  <c:v>1.392570441580175E-12</c:v>
                </c:pt>
                <c:pt idx="189">
                  <c:v>1.392570441580175E-12</c:v>
                </c:pt>
                <c:pt idx="190">
                  <c:v>1.392570441580175E-12</c:v>
                </c:pt>
                <c:pt idx="191">
                  <c:v>1.392570441580175E-12</c:v>
                </c:pt>
                <c:pt idx="192">
                  <c:v>1.392570441580175E-12</c:v>
                </c:pt>
                <c:pt idx="193">
                  <c:v>1.392570441580175E-12</c:v>
                </c:pt>
                <c:pt idx="194">
                  <c:v>1.392570441580175E-12</c:v>
                </c:pt>
                <c:pt idx="195">
                  <c:v>1.392570441580175E-12</c:v>
                </c:pt>
                <c:pt idx="196">
                  <c:v>1.392570441580175E-12</c:v>
                </c:pt>
                <c:pt idx="197">
                  <c:v>1.392570441580175E-12</c:v>
                </c:pt>
                <c:pt idx="198">
                  <c:v>1.392570441580175E-12</c:v>
                </c:pt>
                <c:pt idx="199">
                  <c:v>1.392570441580175E-12</c:v>
                </c:pt>
                <c:pt idx="200">
                  <c:v>1.392570441580175E-12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25.853796438624396</c:v>
                </c:pt>
                <c:pt idx="12">
                  <c:v>35.954302112242566</c:v>
                </c:pt>
                <c:pt idx="13">
                  <c:v>45.976451369424893</c:v>
                </c:pt>
                <c:pt idx="14">
                  <c:v>55.939937888059376</c:v>
                </c:pt>
                <c:pt idx="15">
                  <c:v>65.856755599682032</c:v>
                </c:pt>
                <c:pt idx="16">
                  <c:v>77.474616883044959</c:v>
                </c:pt>
                <c:pt idx="17">
                  <c:v>94.820374611380615</c:v>
                </c:pt>
                <c:pt idx="18">
                  <c:v>112.08679847851977</c:v>
                </c:pt>
                <c:pt idx="19">
                  <c:v>129.28787235572034</c:v>
                </c:pt>
                <c:pt idx="20">
                  <c:v>146.43353271796309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284.20425004649206</c:v>
                </c:pt>
                <c:pt idx="52">
                  <c:v>293.19298034625791</c:v>
                </c:pt>
                <c:pt idx="53">
                  <c:v>302.1755599747317</c:v>
                </c:pt>
                <c:pt idx="54">
                  <c:v>311.15219769628237</c:v>
                </c:pt>
                <c:pt idx="55">
                  <c:v>320.12308923699328</c:v>
                </c:pt>
                <c:pt idx="56">
                  <c:v>267.89576625188465</c:v>
                </c:pt>
                <c:pt idx="57">
                  <c:v>247.90125122366729</c:v>
                </c:pt>
                <c:pt idx="58">
                  <c:v>227.87000608563343</c:v>
                </c:pt>
                <c:pt idx="59">
                  <c:v>207.79830222105889</c:v>
                </c:pt>
                <c:pt idx="60">
                  <c:v>187.6816204501913</c:v>
                </c:pt>
                <c:pt idx="61">
                  <c:v>192.21915148462585</c:v>
                </c:pt>
                <c:pt idx="62">
                  <c:v>227.87000608563343</c:v>
                </c:pt>
                <c:pt idx="63">
                  <c:v>263.39299637064425</c:v>
                </c:pt>
                <c:pt idx="64">
                  <c:v>298.80779984677713</c:v>
                </c:pt>
                <c:pt idx="65">
                  <c:v>334.12903710888452</c:v>
                </c:pt>
                <c:pt idx="66">
                  <c:v>312.83467185841943</c:v>
                </c:pt>
                <c:pt idx="67">
                  <c:v>319.56257332567844</c:v>
                </c:pt>
                <c:pt idx="68">
                  <c:v>326.28733992743042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319.56257332567844</c:v>
                </c:pt>
                <c:pt idx="72">
                  <c:v>326.00720293449439</c:v>
                </c:pt>
                <c:pt idx="73">
                  <c:v>332.44901850357923</c:v>
                </c:pt>
                <c:pt idx="74">
                  <c:v>338.88808231320309</c:v>
                </c:pt>
                <c:pt idx="75">
                  <c:v>345.32445408122311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332.44901850357911</c:v>
                </c:pt>
                <c:pt idx="82">
                  <c:v>337.76844015494419</c:v>
                </c:pt>
                <c:pt idx="83">
                  <c:v>343.08601778170447</c:v>
                </c:pt>
                <c:pt idx="84">
                  <c:v>348.40178403373966</c:v>
                </c:pt>
                <c:pt idx="85">
                  <c:v>353.71577048208877</c:v>
                </c:pt>
                <c:pt idx="86">
                  <c:v>337.76844015494424</c:v>
                </c:pt>
                <c:pt idx="87">
                  <c:v>342.80619071488081</c:v>
                </c:pt>
                <c:pt idx="88">
                  <c:v>347.84231404401629</c:v>
                </c:pt>
                <c:pt idx="89">
                  <c:v>352.87683705646708</c:v>
                </c:pt>
                <c:pt idx="90">
                  <c:v>357.90978583474595</c:v>
                </c:pt>
                <c:pt idx="91">
                  <c:v>1.6615082531095774E-12</c:v>
                </c:pt>
                <c:pt idx="92">
                  <c:v>1.6615082531095774E-12</c:v>
                </c:pt>
                <c:pt idx="93">
                  <c:v>1.6615082531095774E-12</c:v>
                </c:pt>
                <c:pt idx="94">
                  <c:v>1.6615082531095774E-12</c:v>
                </c:pt>
                <c:pt idx="95">
                  <c:v>1.6615082531095774E-12</c:v>
                </c:pt>
                <c:pt idx="96">
                  <c:v>1.6615082531095774E-12</c:v>
                </c:pt>
                <c:pt idx="97">
                  <c:v>1.6615082531095774E-12</c:v>
                </c:pt>
                <c:pt idx="98">
                  <c:v>1.6615082531095774E-12</c:v>
                </c:pt>
                <c:pt idx="99">
                  <c:v>1.6615082531095774E-12</c:v>
                </c:pt>
                <c:pt idx="100">
                  <c:v>1.6615082531095774E-12</c:v>
                </c:pt>
                <c:pt idx="101">
                  <c:v>1.6615082531095774E-12</c:v>
                </c:pt>
                <c:pt idx="102">
                  <c:v>1.6615082531095774E-12</c:v>
                </c:pt>
                <c:pt idx="103">
                  <c:v>1.6615082531095774E-12</c:v>
                </c:pt>
                <c:pt idx="104">
                  <c:v>1.6615082531095774E-12</c:v>
                </c:pt>
                <c:pt idx="105">
                  <c:v>1.6615082531095774E-12</c:v>
                </c:pt>
                <c:pt idx="106">
                  <c:v>1.6615082531095774E-12</c:v>
                </c:pt>
                <c:pt idx="107">
                  <c:v>1.6615082531095774E-12</c:v>
                </c:pt>
                <c:pt idx="108">
                  <c:v>1.6615082531095774E-12</c:v>
                </c:pt>
                <c:pt idx="109">
                  <c:v>1.6615082531095774E-12</c:v>
                </c:pt>
                <c:pt idx="110">
                  <c:v>1.6615082531095774E-12</c:v>
                </c:pt>
                <c:pt idx="111">
                  <c:v>1.6615082531095774E-12</c:v>
                </c:pt>
                <c:pt idx="112">
                  <c:v>1.6615082531095774E-12</c:v>
                </c:pt>
                <c:pt idx="113">
                  <c:v>1.6615082531095774E-12</c:v>
                </c:pt>
                <c:pt idx="114">
                  <c:v>1.6615082531095774E-12</c:v>
                </c:pt>
                <c:pt idx="115">
                  <c:v>1.6615082531095774E-12</c:v>
                </c:pt>
                <c:pt idx="116">
                  <c:v>1.6615082531095774E-12</c:v>
                </c:pt>
                <c:pt idx="117">
                  <c:v>1.6615082531095774E-12</c:v>
                </c:pt>
                <c:pt idx="118">
                  <c:v>1.6615082531095774E-12</c:v>
                </c:pt>
                <c:pt idx="119">
                  <c:v>1.6615082531095774E-12</c:v>
                </c:pt>
                <c:pt idx="120">
                  <c:v>1.6615082531095774E-12</c:v>
                </c:pt>
                <c:pt idx="121">
                  <c:v>1.6615082531095774E-12</c:v>
                </c:pt>
                <c:pt idx="122">
                  <c:v>1.6615082531095774E-12</c:v>
                </c:pt>
                <c:pt idx="123">
                  <c:v>1.6615082531095774E-12</c:v>
                </c:pt>
                <c:pt idx="124">
                  <c:v>1.6615082531095774E-12</c:v>
                </c:pt>
                <c:pt idx="125">
                  <c:v>1.6615082531095774E-12</c:v>
                </c:pt>
                <c:pt idx="126">
                  <c:v>1.6615082531095774E-12</c:v>
                </c:pt>
                <c:pt idx="127">
                  <c:v>1.6615082531095774E-12</c:v>
                </c:pt>
                <c:pt idx="128">
                  <c:v>1.6615082531095774E-12</c:v>
                </c:pt>
                <c:pt idx="129">
                  <c:v>1.6615082531095774E-12</c:v>
                </c:pt>
                <c:pt idx="130">
                  <c:v>1.6615082531095774E-12</c:v>
                </c:pt>
                <c:pt idx="131">
                  <c:v>1.6615082531095774E-12</c:v>
                </c:pt>
                <c:pt idx="132">
                  <c:v>1.6615082531095774E-12</c:v>
                </c:pt>
                <c:pt idx="133">
                  <c:v>1.6615082531095774E-12</c:v>
                </c:pt>
                <c:pt idx="134">
                  <c:v>1.6615082531095774E-12</c:v>
                </c:pt>
                <c:pt idx="135">
                  <c:v>1.6615082531095774E-12</c:v>
                </c:pt>
                <c:pt idx="136">
                  <c:v>1.6615082531095774E-12</c:v>
                </c:pt>
                <c:pt idx="137">
                  <c:v>1.6615082531095774E-12</c:v>
                </c:pt>
                <c:pt idx="138">
                  <c:v>1.6615082531095774E-12</c:v>
                </c:pt>
                <c:pt idx="139">
                  <c:v>1.6615082531095774E-12</c:v>
                </c:pt>
                <c:pt idx="140">
                  <c:v>1.6615082531095774E-12</c:v>
                </c:pt>
                <c:pt idx="141">
                  <c:v>1.6615082531095774E-12</c:v>
                </c:pt>
                <c:pt idx="142">
                  <c:v>1.6615082531095774E-12</c:v>
                </c:pt>
                <c:pt idx="143">
                  <c:v>1.6615082531095774E-12</c:v>
                </c:pt>
                <c:pt idx="144">
                  <c:v>1.6615082531095774E-12</c:v>
                </c:pt>
                <c:pt idx="145">
                  <c:v>1.6615082531095774E-12</c:v>
                </c:pt>
                <c:pt idx="146">
                  <c:v>1.6615082531095774E-12</c:v>
                </c:pt>
                <c:pt idx="147">
                  <c:v>1.6615082531095774E-12</c:v>
                </c:pt>
                <c:pt idx="148">
                  <c:v>1.6615082531095774E-12</c:v>
                </c:pt>
                <c:pt idx="149">
                  <c:v>1.6615082531095774E-12</c:v>
                </c:pt>
                <c:pt idx="150">
                  <c:v>1.6615082531095774E-12</c:v>
                </c:pt>
                <c:pt idx="151">
                  <c:v>1.6615082531095774E-12</c:v>
                </c:pt>
                <c:pt idx="152">
                  <c:v>1.6615082531095774E-12</c:v>
                </c:pt>
                <c:pt idx="153">
                  <c:v>1.6615082531095774E-12</c:v>
                </c:pt>
                <c:pt idx="154">
                  <c:v>1.6615082531095774E-12</c:v>
                </c:pt>
                <c:pt idx="155">
                  <c:v>1.6615082531095774E-12</c:v>
                </c:pt>
                <c:pt idx="156">
                  <c:v>1.6615082531095774E-12</c:v>
                </c:pt>
                <c:pt idx="157">
                  <c:v>1.6615082531095774E-12</c:v>
                </c:pt>
                <c:pt idx="158">
                  <c:v>1.6615082531095774E-12</c:v>
                </c:pt>
                <c:pt idx="159">
                  <c:v>1.6615082531095774E-12</c:v>
                </c:pt>
                <c:pt idx="160">
                  <c:v>1.6615082531095774E-12</c:v>
                </c:pt>
                <c:pt idx="161">
                  <c:v>1.6615082531095774E-12</c:v>
                </c:pt>
                <c:pt idx="162">
                  <c:v>1.6615082531095774E-12</c:v>
                </c:pt>
                <c:pt idx="163">
                  <c:v>1.6615082531095774E-12</c:v>
                </c:pt>
                <c:pt idx="164">
                  <c:v>1.6615082531095774E-12</c:v>
                </c:pt>
                <c:pt idx="165">
                  <c:v>1.6615082531095774E-12</c:v>
                </c:pt>
                <c:pt idx="166">
                  <c:v>1.6615082531095774E-12</c:v>
                </c:pt>
                <c:pt idx="167">
                  <c:v>1.6615082531095774E-12</c:v>
                </c:pt>
                <c:pt idx="168">
                  <c:v>1.6615082531095774E-12</c:v>
                </c:pt>
                <c:pt idx="169">
                  <c:v>1.6615082531095774E-12</c:v>
                </c:pt>
                <c:pt idx="170">
                  <c:v>1.6615082531095774E-12</c:v>
                </c:pt>
                <c:pt idx="171">
                  <c:v>1.6615082531095774E-12</c:v>
                </c:pt>
                <c:pt idx="172">
                  <c:v>1.6615082531095774E-12</c:v>
                </c:pt>
                <c:pt idx="173">
                  <c:v>1.6615082531095774E-12</c:v>
                </c:pt>
                <c:pt idx="174">
                  <c:v>1.6615082531095774E-12</c:v>
                </c:pt>
                <c:pt idx="175">
                  <c:v>1.6615082531095774E-12</c:v>
                </c:pt>
                <c:pt idx="176">
                  <c:v>1.6615082531095774E-12</c:v>
                </c:pt>
                <c:pt idx="177">
                  <c:v>1.6615082531095774E-12</c:v>
                </c:pt>
                <c:pt idx="178">
                  <c:v>1.6615082531095774E-12</c:v>
                </c:pt>
                <c:pt idx="179">
                  <c:v>1.6615082531095774E-12</c:v>
                </c:pt>
                <c:pt idx="180">
                  <c:v>1.6615082531095774E-12</c:v>
                </c:pt>
                <c:pt idx="181">
                  <c:v>1.6615082531095774E-12</c:v>
                </c:pt>
                <c:pt idx="182">
                  <c:v>1.6615082531095774E-12</c:v>
                </c:pt>
                <c:pt idx="183">
                  <c:v>1.6615082531095774E-12</c:v>
                </c:pt>
                <c:pt idx="184">
                  <c:v>1.6615082531095774E-12</c:v>
                </c:pt>
                <c:pt idx="185">
                  <c:v>1.6615082531095774E-12</c:v>
                </c:pt>
                <c:pt idx="186">
                  <c:v>1.6615082531095774E-12</c:v>
                </c:pt>
                <c:pt idx="187">
                  <c:v>1.6615082531095774E-12</c:v>
                </c:pt>
                <c:pt idx="188">
                  <c:v>1.6615082531095774E-12</c:v>
                </c:pt>
                <c:pt idx="189">
                  <c:v>1.6615082531095774E-12</c:v>
                </c:pt>
                <c:pt idx="190">
                  <c:v>1.6615082531095774E-12</c:v>
                </c:pt>
                <c:pt idx="191">
                  <c:v>1.6615082531095774E-12</c:v>
                </c:pt>
                <c:pt idx="192">
                  <c:v>1.6615082531095774E-12</c:v>
                </c:pt>
                <c:pt idx="193">
                  <c:v>1.6615082531095774E-12</c:v>
                </c:pt>
                <c:pt idx="194">
                  <c:v>1.6615082531095774E-12</c:v>
                </c:pt>
                <c:pt idx="195">
                  <c:v>1.6615082531095774E-12</c:v>
                </c:pt>
                <c:pt idx="196">
                  <c:v>1.6615082531095774E-12</c:v>
                </c:pt>
                <c:pt idx="197">
                  <c:v>1.6615082531095774E-12</c:v>
                </c:pt>
                <c:pt idx="198">
                  <c:v>1.6615082531095774E-12</c:v>
                </c:pt>
                <c:pt idx="199">
                  <c:v>1.6615082531095774E-12</c:v>
                </c:pt>
                <c:pt idx="200">
                  <c:v>1.6615082531095774E-12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A140" sqref="A140:H15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7.29</v>
      </c>
      <c r="D5" s="269" t="s">
        <v>229</v>
      </c>
      <c r="E5" s="270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35</v>
      </c>
      <c r="C9" s="32">
        <v>0.19167935475906342</v>
      </c>
      <c r="D9" s="33">
        <f t="shared" ref="D9:D18" si="0">C9*$C$5</f>
        <v>1.3973424961935723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</v>
      </c>
      <c r="C10" s="32">
        <v>0.22812024196535122</v>
      </c>
      <c r="D10" s="33">
        <f t="shared" si="0"/>
        <v>1.6629965639274105</v>
      </c>
      <c r="E10" s="34">
        <v>130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156</v>
      </c>
      <c r="C11" s="32">
        <v>0.1159732795632553</v>
      </c>
      <c r="D11" s="33">
        <f t="shared" si="0"/>
        <v>0.84544520801613121</v>
      </c>
      <c r="E11" s="34">
        <v>54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92</v>
      </c>
      <c r="C12" s="32">
        <v>0.1</v>
      </c>
      <c r="D12" s="33">
        <f t="shared" si="0"/>
        <v>0.72900000000000009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4</v>
      </c>
      <c r="C13" s="32">
        <v>0.13610688174697885</v>
      </c>
      <c r="D13" s="33">
        <f t="shared" si="0"/>
        <v>0.99221916793547582</v>
      </c>
      <c r="E13" s="34">
        <v>90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14</v>
      </c>
      <c r="C14" s="32">
        <v>0.22812024196535122</v>
      </c>
      <c r="D14" s="33">
        <f t="shared" si="0"/>
        <v>1.6629965639274105</v>
      </c>
      <c r="E14" s="34">
        <v>183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7.29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22</v>
      </c>
      <c r="B36" s="60">
        <v>129.07</v>
      </c>
      <c r="C36" s="60">
        <v>1</v>
      </c>
      <c r="D36" s="60">
        <v>52.41</v>
      </c>
      <c r="E36" s="51">
        <v>0.1</v>
      </c>
      <c r="F36" s="51">
        <v>0.8</v>
      </c>
      <c r="G36" s="51">
        <v>0</v>
      </c>
      <c r="H36" s="51">
        <v>0.1</v>
      </c>
      <c r="I36" s="49">
        <f>IFERROR(B36/A36,"")</f>
        <v>5.8668181818181813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27</v>
      </c>
      <c r="B37" s="60">
        <v>155.49</v>
      </c>
      <c r="C37" s="60">
        <v>2</v>
      </c>
      <c r="D37" s="60">
        <v>37.840000000000003</v>
      </c>
      <c r="E37" s="51">
        <v>0.1</v>
      </c>
      <c r="F37" s="51">
        <v>0.8</v>
      </c>
      <c r="G37" s="51">
        <v>0</v>
      </c>
      <c r="H37" s="51">
        <v>0.1</v>
      </c>
      <c r="I37" s="53">
        <f t="shared" ref="I37:I55" si="1">IF(A37&lt;&gt;0,(B37-(B36-D36))/(A37-A36),"")</f>
        <v>15.766000000000002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33</v>
      </c>
      <c r="B38" s="60">
        <v>217.34</v>
      </c>
      <c r="C38" s="60">
        <v>3</v>
      </c>
      <c r="D38" s="60">
        <v>50.41</v>
      </c>
      <c r="E38" s="51">
        <v>0.3</v>
      </c>
      <c r="F38" s="51">
        <v>0.5</v>
      </c>
      <c r="G38" s="51">
        <v>0</v>
      </c>
      <c r="H38" s="51">
        <v>0.2</v>
      </c>
      <c r="I38" s="53">
        <f t="shared" si="1"/>
        <v>16.614999999999998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41</v>
      </c>
      <c r="B39" s="60">
        <v>300.54000000000002</v>
      </c>
      <c r="C39" s="60">
        <v>4</v>
      </c>
      <c r="D39" s="60">
        <v>72.13</v>
      </c>
      <c r="E39" s="51">
        <v>0.3</v>
      </c>
      <c r="F39" s="51">
        <v>0.5</v>
      </c>
      <c r="G39" s="51">
        <v>0</v>
      </c>
      <c r="H39" s="51">
        <v>0.2</v>
      </c>
      <c r="I39" s="49">
        <f t="shared" si="1"/>
        <v>16.701250000000002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50</v>
      </c>
      <c r="B40" s="60">
        <v>369.94</v>
      </c>
      <c r="C40" s="60">
        <v>5</v>
      </c>
      <c r="D40" s="60">
        <v>70.2</v>
      </c>
      <c r="E40" s="51">
        <v>0.7</v>
      </c>
      <c r="F40" s="51">
        <v>0.3</v>
      </c>
      <c r="G40" s="51">
        <v>0</v>
      </c>
      <c r="H40" s="51">
        <v>0</v>
      </c>
      <c r="I40" s="49">
        <f t="shared" si="1"/>
        <v>15.725555555555552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60</v>
      </c>
      <c r="B41" s="60">
        <v>440.94</v>
      </c>
      <c r="C41" s="60">
        <v>6</v>
      </c>
      <c r="D41" s="60">
        <v>69.849999999999994</v>
      </c>
      <c r="E41" s="51">
        <v>0.7</v>
      </c>
      <c r="F41" s="51">
        <v>0.3</v>
      </c>
      <c r="G41" s="51">
        <v>0</v>
      </c>
      <c r="H41" s="51">
        <v>0</v>
      </c>
      <c r="I41" s="53">
        <f t="shared" si="1"/>
        <v>14.12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70</v>
      </c>
      <c r="B42" s="60">
        <v>490.06</v>
      </c>
      <c r="C42" s="60">
        <v>7</v>
      </c>
      <c r="D42" s="60">
        <v>67.88</v>
      </c>
      <c r="E42" s="51">
        <v>0.7</v>
      </c>
      <c r="F42" s="51">
        <v>0.3</v>
      </c>
      <c r="G42" s="51">
        <v>0</v>
      </c>
      <c r="H42" s="51">
        <v>0</v>
      </c>
      <c r="I42" s="53">
        <f t="shared" si="1"/>
        <v>11.896999999999997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80</v>
      </c>
      <c r="B43" s="60">
        <v>520</v>
      </c>
      <c r="C43" s="60">
        <v>8</v>
      </c>
      <c r="D43" s="60">
        <v>520</v>
      </c>
      <c r="E43" s="51">
        <v>0.7</v>
      </c>
      <c r="F43" s="51">
        <v>0.3</v>
      </c>
      <c r="G43" s="51">
        <v>0</v>
      </c>
      <c r="H43" s="51">
        <v>0</v>
      </c>
      <c r="I43" s="49">
        <f t="shared" si="1"/>
        <v>9.782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38</v>
      </c>
      <c r="B62" s="60">
        <v>144.83000000000001</v>
      </c>
      <c r="C62" s="60">
        <v>1</v>
      </c>
      <c r="D62" s="60">
        <v>69.08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3.8113157894736847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45</v>
      </c>
      <c r="B63" s="60">
        <v>138.46</v>
      </c>
      <c r="C63" s="60">
        <v>2</v>
      </c>
      <c r="D63" s="60">
        <v>39.119999999999997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8.9585714285714282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52</v>
      </c>
      <c r="B64" s="60">
        <v>162.18</v>
      </c>
      <c r="C64" s="60">
        <v>3</v>
      </c>
      <c r="D64" s="60">
        <v>40.9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8.9771428571428569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59</v>
      </c>
      <c r="B65" s="60">
        <v>182.58</v>
      </c>
      <c r="C65" s="60">
        <v>4</v>
      </c>
      <c r="D65" s="60">
        <v>38.119999999999997</v>
      </c>
      <c r="E65" s="51">
        <v>0.3</v>
      </c>
      <c r="F65" s="51">
        <v>0</v>
      </c>
      <c r="G65" s="51">
        <v>0</v>
      </c>
      <c r="H65" s="51">
        <v>0.7</v>
      </c>
      <c r="I65" s="49">
        <f>IF(A65&lt;&gt;0,(B65-(B64-D64))/(A65-A64),"")</f>
        <v>8.757142857142858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67</v>
      </c>
      <c r="B66" s="60">
        <v>212.86</v>
      </c>
      <c r="C66" s="60">
        <v>5</v>
      </c>
      <c r="D66" s="60">
        <v>38.229999999999997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8.5500000000000007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75</v>
      </c>
      <c r="B67" s="60">
        <v>241.9</v>
      </c>
      <c r="C67" s="60">
        <v>6</v>
      </c>
      <c r="D67" s="60">
        <v>38.909999999999997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8.4087499999999977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83</v>
      </c>
      <c r="B68" s="60">
        <v>268.67</v>
      </c>
      <c r="C68" s="60">
        <v>7</v>
      </c>
      <c r="D68" s="60">
        <v>44.22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8.2100000000000009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93</v>
      </c>
      <c r="B69" s="50">
        <v>304.33</v>
      </c>
      <c r="C69" s="50">
        <v>8</v>
      </c>
      <c r="D69" s="50">
        <v>59.26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7.9879999999999969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103</v>
      </c>
      <c r="B70" s="50">
        <v>322.19</v>
      </c>
      <c r="C70" s="50">
        <v>9</v>
      </c>
      <c r="D70" s="50">
        <v>58.98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7.7120000000000006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113</v>
      </c>
      <c r="B71" s="50">
        <v>337.78</v>
      </c>
      <c r="C71" s="50">
        <v>10</v>
      </c>
      <c r="D71" s="50">
        <v>59.52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7.456999999999999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123</v>
      </c>
      <c r="B72" s="50">
        <v>352.18</v>
      </c>
      <c r="C72" s="50">
        <v>11</v>
      </c>
      <c r="D72" s="50">
        <v>175.3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7.3920000000000012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125</v>
      </c>
      <c r="B73" s="50">
        <v>185.05</v>
      </c>
      <c r="C73" s="50">
        <v>12</v>
      </c>
      <c r="D73" s="50">
        <v>60.7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4.085000000000008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127</v>
      </c>
      <c r="B74" s="50">
        <v>129.93</v>
      </c>
      <c r="C74" s="50">
        <v>13</v>
      </c>
      <c r="D74" s="50">
        <v>39.56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2.7899999999999991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130</v>
      </c>
      <c r="B75" s="50">
        <v>96.57</v>
      </c>
      <c r="C75" s="50">
        <v>14</v>
      </c>
      <c r="D75" s="50">
        <v>96.57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2.0666666666666629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Séquoia toujours vert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18</v>
      </c>
      <c r="B88" s="60">
        <v>202.31</v>
      </c>
      <c r="C88" s="60">
        <v>1</v>
      </c>
      <c r="D88" s="60">
        <v>74.819999999999993</v>
      </c>
      <c r="E88" s="51">
        <v>0</v>
      </c>
      <c r="F88" s="51">
        <v>1</v>
      </c>
      <c r="G88" s="51">
        <v>0</v>
      </c>
      <c r="H88" s="87">
        <v>0</v>
      </c>
      <c r="I88" s="53">
        <f>IFERROR(B88/A88,"")</f>
        <v>11.239444444444445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24</v>
      </c>
      <c r="B89" s="60">
        <v>289.08999999999997</v>
      </c>
      <c r="C89" s="60">
        <v>2</v>
      </c>
      <c r="D89" s="60">
        <v>51.39</v>
      </c>
      <c r="E89" s="51">
        <v>0</v>
      </c>
      <c r="F89" s="51">
        <v>1</v>
      </c>
      <c r="G89" s="51">
        <v>0</v>
      </c>
      <c r="H89" s="87">
        <v>0</v>
      </c>
      <c r="I89" s="53">
        <f t="shared" ref="I89:I107" si="3">IF(A89&lt;&gt;0,(B89-(B88-D88))/(A89-A88),"")</f>
        <v>26.933333333333326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410.56</v>
      </c>
      <c r="C90" s="60">
        <v>3</v>
      </c>
      <c r="D90" s="60">
        <v>80.97</v>
      </c>
      <c r="E90" s="87">
        <v>0</v>
      </c>
      <c r="F90" s="87">
        <v>1</v>
      </c>
      <c r="G90" s="87">
        <v>0</v>
      </c>
      <c r="H90" s="87">
        <v>0</v>
      </c>
      <c r="I90" s="53">
        <f t="shared" si="3"/>
        <v>28.810000000000002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36</v>
      </c>
      <c r="B91" s="60">
        <v>501.41</v>
      </c>
      <c r="C91" s="60">
        <v>4</v>
      </c>
      <c r="D91" s="60">
        <v>85.88</v>
      </c>
      <c r="E91" s="87">
        <v>0</v>
      </c>
      <c r="F91" s="87">
        <v>1</v>
      </c>
      <c r="G91" s="87">
        <v>0</v>
      </c>
      <c r="H91" s="87">
        <v>0</v>
      </c>
      <c r="I91" s="53">
        <f t="shared" si="3"/>
        <v>28.636666666666667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42</v>
      </c>
      <c r="B92" s="60">
        <v>583.89</v>
      </c>
      <c r="C92" s="60">
        <v>5</v>
      </c>
      <c r="D92" s="60">
        <v>91.25</v>
      </c>
      <c r="E92" s="87">
        <v>0.5</v>
      </c>
      <c r="F92" s="87">
        <v>0.5</v>
      </c>
      <c r="G92" s="87">
        <v>0</v>
      </c>
      <c r="H92" s="87">
        <v>0</v>
      </c>
      <c r="I92" s="53">
        <f t="shared" si="3"/>
        <v>28.059999999999992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48</v>
      </c>
      <c r="B93" s="60">
        <v>655.04999999999995</v>
      </c>
      <c r="C93" s="60">
        <v>6</v>
      </c>
      <c r="D93" s="60">
        <v>101.34</v>
      </c>
      <c r="E93" s="87">
        <v>0.5</v>
      </c>
      <c r="F93" s="87">
        <v>0.5</v>
      </c>
      <c r="G93" s="87">
        <v>0</v>
      </c>
      <c r="H93" s="87">
        <v>0</v>
      </c>
      <c r="I93" s="53">
        <f t="shared" si="3"/>
        <v>27.068333333333328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54</v>
      </c>
      <c r="B94" s="60">
        <v>707.75</v>
      </c>
      <c r="C94" s="60">
        <v>7</v>
      </c>
      <c r="D94" s="60">
        <v>707.75</v>
      </c>
      <c r="E94" s="87">
        <v>0.7</v>
      </c>
      <c r="F94" s="87">
        <v>0.3</v>
      </c>
      <c r="G94" s="87">
        <v>0</v>
      </c>
      <c r="H94" s="87">
        <v>0</v>
      </c>
      <c r="I94" s="53">
        <f t="shared" si="3"/>
        <v>25.673333333333346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Thuya géant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f>(1430+40)*0.036054</f>
        <v>52.999380000000002</v>
      </c>
      <c r="C114" s="50">
        <v>1</v>
      </c>
      <c r="D114" s="60">
        <f>40*0.036054</f>
        <v>1.4421600000000001</v>
      </c>
      <c r="E114" s="51">
        <v>0</v>
      </c>
      <c r="F114" s="51">
        <v>1</v>
      </c>
      <c r="G114" s="51">
        <v>0</v>
      </c>
      <c r="H114" s="51">
        <v>0</v>
      </c>
      <c r="I114" s="53">
        <f>IFERROR(B114/A114,"")</f>
        <v>2.649969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f>(2005+700)*0.036054</f>
        <v>97.526070000000004</v>
      </c>
      <c r="C115" s="50">
        <v>2</v>
      </c>
      <c r="D115" s="60">
        <f>700*0.036054</f>
        <v>25.237800000000004</v>
      </c>
      <c r="E115" s="51">
        <v>0</v>
      </c>
      <c r="F115" s="51">
        <v>1</v>
      </c>
      <c r="G115" s="51">
        <v>0</v>
      </c>
      <c r="H115" s="51">
        <v>0</v>
      </c>
      <c r="I115" s="53">
        <f t="shared" ref="I115:I133" si="4">IF(A115&lt;&gt;0,(B115-(B114-D114))/(A115-A114),"")</f>
        <v>9.1937700000000007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f>(2720+700)*0.036054</f>
        <v>123.30468</v>
      </c>
      <c r="C116" s="50">
        <v>3</v>
      </c>
      <c r="D116" s="60">
        <f t="shared" ref="D116:D120" si="5">700*0.036054</f>
        <v>25.237800000000004</v>
      </c>
      <c r="E116" s="51">
        <v>0</v>
      </c>
      <c r="F116" s="51">
        <v>1</v>
      </c>
      <c r="G116" s="51">
        <v>0</v>
      </c>
      <c r="H116" s="51">
        <v>0</v>
      </c>
      <c r="I116" s="53">
        <f t="shared" si="4"/>
        <v>10.203282000000002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35</v>
      </c>
      <c r="B117" s="60">
        <f>(3470+700)*0.036054</f>
        <v>150.34518</v>
      </c>
      <c r="C117" s="50">
        <v>4</v>
      </c>
      <c r="D117" s="60">
        <f t="shared" si="5"/>
        <v>25.237800000000004</v>
      </c>
      <c r="E117" s="51">
        <v>0</v>
      </c>
      <c r="F117" s="51">
        <v>1</v>
      </c>
      <c r="G117" s="51">
        <v>0</v>
      </c>
      <c r="H117" s="51">
        <v>0</v>
      </c>
      <c r="I117" s="53">
        <f t="shared" si="4"/>
        <v>10.45566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40</v>
      </c>
      <c r="B118" s="60">
        <f>(4190+700)*0.036054</f>
        <v>176.30406000000002</v>
      </c>
      <c r="C118" s="50">
        <v>5</v>
      </c>
      <c r="D118" s="60">
        <f t="shared" si="5"/>
        <v>25.237800000000004</v>
      </c>
      <c r="E118" s="51">
        <v>0.5</v>
      </c>
      <c r="F118" s="51">
        <v>0.5</v>
      </c>
      <c r="G118" s="51">
        <v>0</v>
      </c>
      <c r="H118" s="51">
        <v>0</v>
      </c>
      <c r="I118" s="53">
        <f t="shared" si="4"/>
        <v>10.239336000000005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45</v>
      </c>
      <c r="B119" s="60">
        <f>(4840+700)*0.036054</f>
        <v>199.73916000000003</v>
      </c>
      <c r="C119" s="50">
        <v>6</v>
      </c>
      <c r="D119" s="60">
        <f t="shared" si="5"/>
        <v>25.237800000000004</v>
      </c>
      <c r="E119" s="51">
        <v>0.5</v>
      </c>
      <c r="F119" s="51">
        <v>0.5</v>
      </c>
      <c r="G119" s="51">
        <v>0</v>
      </c>
      <c r="H119" s="51">
        <v>0</v>
      </c>
      <c r="I119" s="53">
        <f t="shared" si="4"/>
        <v>9.7345799999999993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50</v>
      </c>
      <c r="B120" s="60">
        <f>(5410+700)*0.036054</f>
        <v>220.28994000000003</v>
      </c>
      <c r="C120" s="60">
        <v>7</v>
      </c>
      <c r="D120" s="60">
        <f t="shared" si="5"/>
        <v>25.237800000000004</v>
      </c>
      <c r="E120" s="87">
        <v>0.7</v>
      </c>
      <c r="F120" s="87">
        <v>0.3</v>
      </c>
      <c r="G120" s="87">
        <v>0</v>
      </c>
      <c r="H120" s="87">
        <v>0</v>
      </c>
      <c r="I120" s="53">
        <f t="shared" si="4"/>
        <v>9.1577159999999989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55</v>
      </c>
      <c r="B121" s="60">
        <f>(5935+670)*0.036054</f>
        <v>238.13667000000001</v>
      </c>
      <c r="C121" s="60">
        <v>8</v>
      </c>
      <c r="D121" s="60">
        <f>670*0.036054</f>
        <v>24.156180000000003</v>
      </c>
      <c r="E121" s="87">
        <v>0.7</v>
      </c>
      <c r="F121" s="87">
        <v>0.3</v>
      </c>
      <c r="G121" s="87">
        <v>0</v>
      </c>
      <c r="H121" s="87">
        <v>0</v>
      </c>
      <c r="I121" s="53">
        <f t="shared" si="4"/>
        <v>8.6169059999999948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60</v>
      </c>
      <c r="B122" s="60">
        <f>(6465+590)*0.036054</f>
        <v>254.36097000000001</v>
      </c>
      <c r="C122" s="60">
        <v>9</v>
      </c>
      <c r="D122" s="60">
        <f>590*0.036054</f>
        <v>21.27186</v>
      </c>
      <c r="E122" s="87">
        <v>0.7</v>
      </c>
      <c r="F122" s="87">
        <v>0.3</v>
      </c>
      <c r="G122" s="87">
        <v>0</v>
      </c>
      <c r="H122" s="87">
        <v>0</v>
      </c>
      <c r="I122" s="53">
        <f t="shared" si="4"/>
        <v>8.0760960000000015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65</v>
      </c>
      <c r="B123" s="60">
        <f>(6970+535)*0.036054</f>
        <v>270.58527000000004</v>
      </c>
      <c r="C123" s="60">
        <v>10</v>
      </c>
      <c r="D123" s="60">
        <f>535*0.036054</f>
        <v>19.288890000000002</v>
      </c>
      <c r="E123" s="87">
        <v>0.7</v>
      </c>
      <c r="F123" s="87">
        <v>0.3</v>
      </c>
      <c r="G123" s="87">
        <v>0</v>
      </c>
      <c r="H123" s="87">
        <v>0</v>
      </c>
      <c r="I123" s="53">
        <f t="shared" si="4"/>
        <v>7.4992320000000063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70</v>
      </c>
      <c r="B124" s="60">
        <f>(7425+505)*0.036054</f>
        <v>285.90822000000003</v>
      </c>
      <c r="C124" s="60">
        <v>11</v>
      </c>
      <c r="D124" s="60">
        <f>505*0.036054</f>
        <v>18.207270000000001</v>
      </c>
      <c r="E124" s="87">
        <v>0.7</v>
      </c>
      <c r="F124" s="87">
        <v>0.3</v>
      </c>
      <c r="G124" s="87">
        <v>0</v>
      </c>
      <c r="H124" s="87">
        <v>0</v>
      </c>
      <c r="I124" s="53">
        <f t="shared" si="4"/>
        <v>6.9223680000000005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75</v>
      </c>
      <c r="B125" s="60">
        <f>(7835+475)*0.036054</f>
        <v>299.60874000000001</v>
      </c>
      <c r="C125" s="60">
        <v>12</v>
      </c>
      <c r="D125" s="60">
        <f>475*0.036054</f>
        <v>17.12565</v>
      </c>
      <c r="E125" s="87">
        <v>0.7</v>
      </c>
      <c r="F125" s="87">
        <v>0.3</v>
      </c>
      <c r="G125" s="87">
        <v>0</v>
      </c>
      <c r="H125" s="87">
        <v>0</v>
      </c>
      <c r="I125" s="53">
        <f t="shared" si="4"/>
        <v>6.3815579999999956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80</v>
      </c>
      <c r="B126" s="60">
        <f>(8185+460)*0.036054</f>
        <v>311.68683000000004</v>
      </c>
      <c r="C126" s="60">
        <v>13</v>
      </c>
      <c r="D126" s="60">
        <f>(460+8185)*0.036054</f>
        <v>311.68683000000004</v>
      </c>
      <c r="E126" s="65">
        <v>0.7</v>
      </c>
      <c r="F126" s="65">
        <v>0.3</v>
      </c>
      <c r="G126" s="65">
        <v>0</v>
      </c>
      <c r="H126" s="65">
        <v>0</v>
      </c>
      <c r="I126" s="53">
        <f t="shared" si="4"/>
        <v>5.8407480000000076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Aulne glutineux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11</v>
      </c>
      <c r="C140" s="50">
        <v>1</v>
      </c>
      <c r="D140" s="60">
        <v>1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44</v>
      </c>
      <c r="C141" s="50">
        <v>2</v>
      </c>
      <c r="D141" s="60">
        <v>4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6">IF(A141&lt;&gt;0,(B141-(B140-D140))/(A141-A140),"")</f>
        <v>6.8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100</v>
      </c>
      <c r="C142" s="50">
        <v>3</v>
      </c>
      <c r="D142" s="60">
        <v>10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6"/>
        <v>12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25</v>
      </c>
      <c r="B143" s="60">
        <v>138</v>
      </c>
      <c r="C143" s="50">
        <v>4</v>
      </c>
      <c r="D143" s="60">
        <v>21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6"/>
        <v>9.6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161</v>
      </c>
      <c r="C144" s="50">
        <v>5</v>
      </c>
      <c r="D144" s="60">
        <v>23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6"/>
        <v>8.8000000000000007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35</v>
      </c>
      <c r="B145" s="60">
        <v>181</v>
      </c>
      <c r="C145" s="50">
        <v>6</v>
      </c>
      <c r="D145" s="60">
        <v>25</v>
      </c>
      <c r="E145" s="51">
        <v>0</v>
      </c>
      <c r="F145" s="51">
        <v>0</v>
      </c>
      <c r="G145" s="51">
        <v>0</v>
      </c>
      <c r="H145" s="51">
        <v>1</v>
      </c>
      <c r="I145" s="57">
        <f t="shared" si="6"/>
        <v>8.6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195</v>
      </c>
      <c r="C146" s="50">
        <v>7</v>
      </c>
      <c r="D146" s="60">
        <v>25</v>
      </c>
      <c r="E146" s="51">
        <v>0</v>
      </c>
      <c r="F146" s="51">
        <v>0</v>
      </c>
      <c r="G146" s="51">
        <v>0</v>
      </c>
      <c r="H146" s="51">
        <v>1</v>
      </c>
      <c r="I146" s="57">
        <f t="shared" si="6"/>
        <v>7.8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45</v>
      </c>
      <c r="B147" s="60">
        <v>207</v>
      </c>
      <c r="C147" s="50">
        <v>8</v>
      </c>
      <c r="D147" s="60">
        <v>25</v>
      </c>
      <c r="E147" s="51">
        <v>0.3</v>
      </c>
      <c r="F147" s="51">
        <v>0</v>
      </c>
      <c r="G147" s="51">
        <v>0</v>
      </c>
      <c r="H147" s="51">
        <v>0.7</v>
      </c>
      <c r="I147" s="57">
        <f>IF(A147&lt;&gt;0,(B147-(B146-D146))/(A147-A146),"")</f>
        <v>7.4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50</v>
      </c>
      <c r="B148" s="60">
        <v>215</v>
      </c>
      <c r="C148" s="50">
        <v>9</v>
      </c>
      <c r="D148" s="60">
        <v>24</v>
      </c>
      <c r="E148" s="51">
        <v>0.3</v>
      </c>
      <c r="F148" s="51">
        <v>0</v>
      </c>
      <c r="G148" s="51">
        <v>0</v>
      </c>
      <c r="H148" s="51">
        <v>0.7</v>
      </c>
      <c r="I148" s="57">
        <f t="shared" si="6"/>
        <v>6.6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55</v>
      </c>
      <c r="B149" s="60">
        <v>223</v>
      </c>
      <c r="C149" s="50">
        <v>10</v>
      </c>
      <c r="D149" s="60">
        <v>23</v>
      </c>
      <c r="E149" s="51">
        <v>0.3</v>
      </c>
      <c r="F149" s="51">
        <v>0</v>
      </c>
      <c r="G149" s="51">
        <v>0</v>
      </c>
      <c r="H149" s="51">
        <v>0.7</v>
      </c>
      <c r="I149" s="57">
        <f t="shared" si="6"/>
        <v>6.4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60</v>
      </c>
      <c r="B150" s="60">
        <v>129</v>
      </c>
      <c r="C150" s="50">
        <v>11</v>
      </c>
      <c r="D150" s="60">
        <v>22</v>
      </c>
      <c r="E150" s="51">
        <v>0.3</v>
      </c>
      <c r="F150" s="51">
        <v>0</v>
      </c>
      <c r="G150" s="51">
        <v>0</v>
      </c>
      <c r="H150" s="51">
        <v>0.7</v>
      </c>
      <c r="I150" s="57">
        <f t="shared" si="6"/>
        <v>-14.2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65</v>
      </c>
      <c r="B151" s="60">
        <v>233</v>
      </c>
      <c r="C151" s="50">
        <v>12</v>
      </c>
      <c r="D151" s="60">
        <v>20</v>
      </c>
      <c r="E151" s="51">
        <v>0.6</v>
      </c>
      <c r="F151" s="51">
        <v>0</v>
      </c>
      <c r="G151" s="51">
        <v>0</v>
      </c>
      <c r="H151" s="51">
        <v>0.4</v>
      </c>
      <c r="I151" s="57">
        <f t="shared" si="6"/>
        <v>25.2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70</v>
      </c>
      <c r="B152" s="60">
        <v>237</v>
      </c>
      <c r="C152" s="50">
        <v>13</v>
      </c>
      <c r="D152" s="60">
        <v>19</v>
      </c>
      <c r="E152" s="54">
        <v>0.6</v>
      </c>
      <c r="F152" s="54">
        <v>0</v>
      </c>
      <c r="G152" s="54">
        <v>0</v>
      </c>
      <c r="H152" s="54">
        <v>0.4</v>
      </c>
      <c r="I152" s="57">
        <f t="shared" si="6"/>
        <v>4.8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75</v>
      </c>
      <c r="B153" s="60">
        <v>241</v>
      </c>
      <c r="C153" s="50">
        <v>14</v>
      </c>
      <c r="D153" s="60">
        <v>18</v>
      </c>
      <c r="E153" s="54">
        <v>0.6</v>
      </c>
      <c r="F153" s="54">
        <v>0</v>
      </c>
      <c r="G153" s="54">
        <v>0</v>
      </c>
      <c r="H153" s="54">
        <v>0.4</v>
      </c>
      <c r="I153" s="57">
        <f t="shared" si="6"/>
        <v>4.5999999999999996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80</v>
      </c>
      <c r="B154" s="56">
        <v>244</v>
      </c>
      <c r="C154" s="50">
        <v>15</v>
      </c>
      <c r="D154" s="50">
        <v>16</v>
      </c>
      <c r="E154" s="54">
        <v>0.6</v>
      </c>
      <c r="F154" s="54">
        <v>0</v>
      </c>
      <c r="G154" s="54">
        <v>0</v>
      </c>
      <c r="H154" s="54">
        <v>0.4</v>
      </c>
      <c r="I154" s="57">
        <f t="shared" si="6"/>
        <v>4.2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85</v>
      </c>
      <c r="B155" s="56">
        <v>247</v>
      </c>
      <c r="C155" s="50">
        <v>16</v>
      </c>
      <c r="D155" s="50">
        <v>15</v>
      </c>
      <c r="E155" s="54">
        <v>0.6</v>
      </c>
      <c r="F155" s="54">
        <v>0</v>
      </c>
      <c r="G155" s="54">
        <v>0</v>
      </c>
      <c r="H155" s="54">
        <v>0.4</v>
      </c>
      <c r="I155" s="57">
        <f t="shared" si="6"/>
        <v>3.8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90</v>
      </c>
      <c r="B156" s="56">
        <v>250</v>
      </c>
      <c r="C156" s="50">
        <v>17</v>
      </c>
      <c r="D156" s="50">
        <v>250</v>
      </c>
      <c r="E156" s="54">
        <v>0.6</v>
      </c>
      <c r="F156" s="54">
        <v>0</v>
      </c>
      <c r="G156" s="54">
        <v>0</v>
      </c>
      <c r="H156" s="54">
        <v>0.4</v>
      </c>
      <c r="I156" s="57">
        <f t="shared" si="6"/>
        <v>3.6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sessile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42</v>
      </c>
      <c r="B166" s="60">
        <v>163.26</v>
      </c>
      <c r="C166" s="60">
        <v>1</v>
      </c>
      <c r="D166" s="60">
        <v>43.21</v>
      </c>
      <c r="E166" s="51">
        <v>0.3</v>
      </c>
      <c r="F166" s="51">
        <v>0</v>
      </c>
      <c r="G166" s="51">
        <v>0</v>
      </c>
      <c r="H166" s="51">
        <v>0.7</v>
      </c>
      <c r="I166" s="49">
        <f>IFERROR(B166/A166,"")</f>
        <v>3.887142857142857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50</v>
      </c>
      <c r="B167" s="60">
        <v>195.02</v>
      </c>
      <c r="C167" s="60">
        <v>2</v>
      </c>
      <c r="D167" s="60">
        <v>35.58</v>
      </c>
      <c r="E167" s="51">
        <v>0.3</v>
      </c>
      <c r="F167" s="51">
        <v>0</v>
      </c>
      <c r="G167" s="51">
        <v>0</v>
      </c>
      <c r="H167" s="51">
        <v>0.7</v>
      </c>
      <c r="I167" s="49">
        <f>IF(A167&lt;&gt;0,(B167-(B166-D166))/(A167-A166),"")</f>
        <v>9.3712500000000034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58</v>
      </c>
      <c r="B168" s="60">
        <v>235.87</v>
      </c>
      <c r="C168" s="60">
        <v>3</v>
      </c>
      <c r="D168" s="60">
        <v>44.93</v>
      </c>
      <c r="E168" s="51">
        <v>0.3</v>
      </c>
      <c r="F168" s="51">
        <v>0</v>
      </c>
      <c r="G168" s="51">
        <v>0</v>
      </c>
      <c r="H168" s="51">
        <v>0.7</v>
      </c>
      <c r="I168" s="49">
        <f>IF(A168&lt;&gt;0,(B168-(B167-D167))/(A168-A167),"")</f>
        <v>9.5537500000000009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66</v>
      </c>
      <c r="B169" s="60">
        <v>264.95999999999998</v>
      </c>
      <c r="C169" s="60">
        <v>4</v>
      </c>
      <c r="D169" s="60">
        <v>49.91</v>
      </c>
      <c r="E169" s="51">
        <v>0.6</v>
      </c>
      <c r="F169" s="51">
        <v>0</v>
      </c>
      <c r="G169" s="51">
        <v>0</v>
      </c>
      <c r="H169" s="51">
        <v>0.4</v>
      </c>
      <c r="I169" s="49">
        <f t="shared" ref="I169:I185" si="7">IF(A169&lt;&gt;0,(B169-(B168-D168))/(A169-A168),"")</f>
        <v>9.2524999999999977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74</v>
      </c>
      <c r="B170" s="60">
        <v>285.98</v>
      </c>
      <c r="C170" s="60">
        <v>5</v>
      </c>
      <c r="D170" s="60">
        <v>47.4</v>
      </c>
      <c r="E170" s="51">
        <v>0.6</v>
      </c>
      <c r="F170" s="51">
        <v>0</v>
      </c>
      <c r="G170" s="51">
        <v>0</v>
      </c>
      <c r="H170" s="51">
        <v>0.4</v>
      </c>
      <c r="I170" s="49">
        <f t="shared" si="7"/>
        <v>8.8662500000000044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84</v>
      </c>
      <c r="B171" s="60">
        <v>325.35000000000002</v>
      </c>
      <c r="C171" s="60">
        <v>6</v>
      </c>
      <c r="D171" s="60">
        <v>61.47</v>
      </c>
      <c r="E171" s="51">
        <v>0.6</v>
      </c>
      <c r="F171" s="51">
        <v>0</v>
      </c>
      <c r="G171" s="51">
        <v>0</v>
      </c>
      <c r="H171" s="51">
        <v>0.4</v>
      </c>
      <c r="I171" s="49">
        <f t="shared" si="7"/>
        <v>8.6770000000000014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94</v>
      </c>
      <c r="B172" s="60">
        <v>346.79</v>
      </c>
      <c r="C172" s="60">
        <v>7</v>
      </c>
      <c r="D172" s="60">
        <v>61.85</v>
      </c>
      <c r="E172" s="51">
        <v>0.6</v>
      </c>
      <c r="F172" s="51">
        <v>0</v>
      </c>
      <c r="G172" s="51">
        <v>0</v>
      </c>
      <c r="H172" s="51">
        <v>0.4</v>
      </c>
      <c r="I172" s="49">
        <f t="shared" si="7"/>
        <v>8.2910000000000021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104</v>
      </c>
      <c r="B173" s="50">
        <v>365.41</v>
      </c>
      <c r="C173" s="50">
        <v>8</v>
      </c>
      <c r="D173" s="50">
        <v>60.19</v>
      </c>
      <c r="E173" s="51">
        <v>0.6</v>
      </c>
      <c r="F173" s="51">
        <v>0</v>
      </c>
      <c r="G173" s="51">
        <v>0</v>
      </c>
      <c r="H173" s="51">
        <v>0.4</v>
      </c>
      <c r="I173" s="49">
        <f t="shared" si="7"/>
        <v>8.0470000000000024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114</v>
      </c>
      <c r="B174" s="50">
        <v>384.57</v>
      </c>
      <c r="C174" s="50">
        <v>9</v>
      </c>
      <c r="D174" s="50">
        <v>56.07</v>
      </c>
      <c r="E174" s="51">
        <v>0.6</v>
      </c>
      <c r="F174" s="51">
        <v>0</v>
      </c>
      <c r="G174" s="51">
        <v>0</v>
      </c>
      <c r="H174" s="51">
        <v>0.4</v>
      </c>
      <c r="I174" s="49">
        <f t="shared" si="7"/>
        <v>7.9349999999999969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124</v>
      </c>
      <c r="B175" s="50">
        <v>408.42</v>
      </c>
      <c r="C175" s="50">
        <v>10</v>
      </c>
      <c r="D175" s="50">
        <v>52.53</v>
      </c>
      <c r="E175" s="51">
        <v>0.6</v>
      </c>
      <c r="F175" s="51">
        <v>0</v>
      </c>
      <c r="G175" s="51">
        <v>0</v>
      </c>
      <c r="H175" s="51">
        <v>0.4</v>
      </c>
      <c r="I175" s="49">
        <f t="shared" si="7"/>
        <v>7.9920000000000018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134</v>
      </c>
      <c r="B176" s="50">
        <v>436.59</v>
      </c>
      <c r="C176" s="50">
        <v>11</v>
      </c>
      <c r="D176" s="50">
        <v>54.95</v>
      </c>
      <c r="E176" s="51">
        <v>0.6</v>
      </c>
      <c r="F176" s="51">
        <v>0</v>
      </c>
      <c r="G176" s="51">
        <v>0</v>
      </c>
      <c r="H176" s="51">
        <v>0.4</v>
      </c>
      <c r="I176" s="49">
        <f t="shared" si="7"/>
        <v>8.0699999999999985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144</v>
      </c>
      <c r="B177" s="50">
        <v>463.23</v>
      </c>
      <c r="C177" s="50">
        <v>12</v>
      </c>
      <c r="D177" s="50">
        <v>56.01</v>
      </c>
      <c r="E177" s="51">
        <v>0.6</v>
      </c>
      <c r="F177" s="51">
        <v>0</v>
      </c>
      <c r="G177" s="51">
        <v>0</v>
      </c>
      <c r="H177" s="51">
        <v>0.4</v>
      </c>
      <c r="I177" s="49">
        <f t="shared" si="7"/>
        <v>8.1590000000000025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154</v>
      </c>
      <c r="B178" s="50">
        <v>490.47</v>
      </c>
      <c r="C178" s="50">
        <v>13</v>
      </c>
      <c r="D178" s="50">
        <v>55.13</v>
      </c>
      <c r="E178" s="51">
        <v>0.6</v>
      </c>
      <c r="F178" s="51">
        <v>0</v>
      </c>
      <c r="G178" s="51">
        <v>0</v>
      </c>
      <c r="H178" s="51">
        <v>0.4</v>
      </c>
      <c r="I178" s="49">
        <f t="shared" si="7"/>
        <v>8.3249999999999993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164</v>
      </c>
      <c r="B179" s="50">
        <v>519.77</v>
      </c>
      <c r="C179" s="50">
        <v>14</v>
      </c>
      <c r="D179" s="50">
        <v>59.58</v>
      </c>
      <c r="E179" s="51">
        <v>0.6</v>
      </c>
      <c r="F179" s="51">
        <v>0</v>
      </c>
      <c r="G179" s="51">
        <v>0</v>
      </c>
      <c r="H179" s="51">
        <v>0.4</v>
      </c>
      <c r="I179" s="49">
        <f t="shared" si="7"/>
        <v>8.4429999999999943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174</v>
      </c>
      <c r="B180" s="50">
        <v>545.65</v>
      </c>
      <c r="C180" s="50">
        <v>15</v>
      </c>
      <c r="D180" s="50">
        <v>214.77</v>
      </c>
      <c r="E180" s="51">
        <v>0.6</v>
      </c>
      <c r="F180" s="51">
        <v>0</v>
      </c>
      <c r="G180" s="51">
        <v>0</v>
      </c>
      <c r="H180" s="51">
        <v>0.4</v>
      </c>
      <c r="I180" s="49">
        <f t="shared" si="7"/>
        <v>8.5459999999999976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177</v>
      </c>
      <c r="B181" s="50">
        <v>347.04</v>
      </c>
      <c r="C181" s="50">
        <v>16</v>
      </c>
      <c r="D181" s="50">
        <v>115.19</v>
      </c>
      <c r="E181" s="51">
        <v>0.6</v>
      </c>
      <c r="F181" s="51">
        <v>0</v>
      </c>
      <c r="G181" s="51">
        <v>0</v>
      </c>
      <c r="H181" s="51">
        <v>0.4</v>
      </c>
      <c r="I181" s="49">
        <f t="shared" si="7"/>
        <v>5.3866666666666747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180</v>
      </c>
      <c r="B182" s="50">
        <v>241.62</v>
      </c>
      <c r="C182" s="50">
        <v>17</v>
      </c>
      <c r="D182" s="50">
        <v>77.72</v>
      </c>
      <c r="E182" s="51">
        <v>0.6</v>
      </c>
      <c r="F182" s="51">
        <v>0</v>
      </c>
      <c r="G182" s="51">
        <v>0</v>
      </c>
      <c r="H182" s="51">
        <v>0.4</v>
      </c>
      <c r="I182" s="49">
        <f t="shared" si="7"/>
        <v>3.2566666666666606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183</v>
      </c>
      <c r="B183" s="50">
        <v>169.76</v>
      </c>
      <c r="C183" s="50">
        <v>18</v>
      </c>
      <c r="D183" s="50">
        <v>169.76</v>
      </c>
      <c r="E183" s="51">
        <v>0.6</v>
      </c>
      <c r="F183" s="51">
        <v>0</v>
      </c>
      <c r="G183" s="51">
        <v>0</v>
      </c>
      <c r="H183" s="51">
        <v>0.4</v>
      </c>
      <c r="I183" s="49">
        <f t="shared" si="7"/>
        <v>1.9533333333333285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6" sqref="B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0.44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0.56000000000000005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Séquoia toujours vert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Thuya géant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Aulne glutineux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sessile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2.2000000000000002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8.0666666666666682</v>
      </c>
      <c r="H3" s="67">
        <f>(B3+E3+F3)*44/12+(C3+D3)*0.475*44/12</f>
        <v>224.4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216.33333333333334</v>
      </c>
      <c r="S3" s="59">
        <f ca="1">AVERAGE(OFFSET($R$3,0,0,'Données projet'!$E$9+1,1))-AVERAGE(OFFSET($H$3,0,0,'Données projet'!$E$9+1,1))</f>
        <v>360.09035401555587</v>
      </c>
      <c r="T3" s="59">
        <f>IF('Données projet'!E9&gt;30,$R$33-$H$33,LOOKUP('Données projet'!$E$9,$A$3:$A$203,R3:R203)-LOOKUP('Données projet'!$E$9,$A$3:$A$203,$H$3:$H$203))</f>
        <v>266.54879627869821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216.33333333333334</v>
      </c>
      <c r="AN3" s="59">
        <f ca="1">AVERAGE(OFFSET($AM$3,0,0,'Données projet'!$E$10+1,1))-AVERAGE(OFFSET($H$3,0,0,'Données projet'!$E$10+1,1))</f>
        <v>377.26246345103175</v>
      </c>
      <c r="AO3" s="59">
        <f>IF('Données projet'!E10&gt;30,$AM$33-$H$33,LOOKUP('Données projet'!$E$10,$A$3:$A$203,AM3:AM203)-LOOKUP('Données projet'!$E$10,$A$3:$A$203,$H$3:$H$203))</f>
        <v>258.25890564000258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216.33333333333334</v>
      </c>
      <c r="BI3" s="59">
        <f ca="1">AVERAGE(OFFSET($BH$3,0,0,'Données projet'!$E$11+1,1))-AVERAGE(OFFSET($H$3,0,0,'Données projet'!$E$11+1,1))</f>
        <v>333.23043896066253</v>
      </c>
      <c r="BJ3" s="59">
        <f>IF('Données projet'!E11&gt;30,$BH$33-$H$33,LOOKUP('Données projet'!$E$11,$A$3:$A$203,BH3:BH203)-LOOKUP('Données projet'!$E$11,$A$3:$A$203,$H$3:$H$203))</f>
        <v>440.63438368668983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216.33333333333334</v>
      </c>
      <c r="CD3" s="59">
        <f ca="1">AVERAGE(OFFSET($CC$3,0,0,'Données projet'!$E$12+1,1))-AVERAGE(OFFSET($H$3,0,0,'Données projet'!$E$12+1,1))</f>
        <v>177.34129362526608</v>
      </c>
      <c r="CE3" s="59">
        <f>IF('Données projet'!E12&gt;30,$CC$33-$H$33,LOOKUP('Données projet'!$E$12,$A$3:$A$203,CC3:CC203)-LOOKUP('Données projet'!$E$12,$A$3:$A$203,$H$3:$H$203))</f>
        <v>156.93407673501022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216.33333333333334</v>
      </c>
      <c r="CY3" s="59">
        <f ca="1">AVERAGE(OFFSET($CX$3,0,0,'Données projet'!$E$13+1,1))-AVERAGE(OFFSET($H$3,0,0,'Données projet'!$E$13+1,1))</f>
        <v>267.49254683294629</v>
      </c>
      <c r="CZ3" s="59">
        <f>IF('Données projet'!E13&gt;30,$CX$33-$H$33,LOOKUP('Données projet'!$E$13,$A$3:$A$203,CX3:CX203)-LOOKUP('Données projet'!$E$13,$A$3:$A$203,$H$3:$H$203))</f>
        <v>278.02595256967254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216.33333333333334</v>
      </c>
      <c r="DT3" s="59">
        <f ca="1">AVERAGE(OFFSET($DS$3,0,0,'Données projet'!$E$14+1,1))-AVERAGE(OFFSET($H$3,0,0,'Données projet'!$E$14+1,1))</f>
        <v>602.02351907077332</v>
      </c>
      <c r="DU3" s="59">
        <f>IF('Données projet'!E14&gt;30,$DS$33-$H$33,LOOKUP('Données projet'!$E$14,$A$3:$A$203,DS3:DS203)-LOOKUP('Données projet'!$E$14,$A$3:$A$203,$H$3:$H$203))</f>
        <v>278.08067690827272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2.2000000000000002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8.0666666666666682</v>
      </c>
      <c r="H4" s="67">
        <f t="shared" ref="H4:H67" si="1">(B4+E4+F4)*44/12+(C4+D4)*0.475*44/12</f>
        <v>224.4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59.190825407684201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5.8668181818181813</v>
      </c>
      <c r="N4" s="13">
        <f>IF('Données projet'!$A$36&gt;35,N3+M4-V3,IF(A4&lt;'Données projet'!$A$36,$K$205^A4,IF(A4='Données projet'!$A$36,'Données projet'!$B$36,N3+M4-V3)))</f>
        <v>1.2472301622014093</v>
      </c>
      <c r="O4" s="13">
        <f>N4*VLOOKUP('Données projet'!$B$9,Paramètres!$A$1:$I$89,3,0)*VLOOKUP('Données projet'!$B$9,Paramètres!$A$1:$I$89,5,0)</f>
        <v>0.74584363699644274</v>
      </c>
      <c r="P4" s="13">
        <f>EXP(-1.0587+0.8836*LN(O4)+0.284)</f>
        <v>0.35565068640491565</v>
      </c>
      <c r="Q4" s="20">
        <f t="shared" ref="Q4:Q34" si="2">(O4+P4)*0.475*44/12</f>
        <v>1.918435946590699</v>
      </c>
      <c r="R4" s="59">
        <f t="shared" si="0"/>
        <v>220.17368466365502</v>
      </c>
      <c r="S4" s="59">
        <f ca="1">AVERAGE(OFFSET($R$3,0,0,'Données projet'!$E$9+1,1))-AVERAGE(OFFSET($H$3,0,0,'Données projet'!$E$9+1,1))</f>
        <v>360.09035401555587</v>
      </c>
      <c r="T4" s="59">
        <f>$T$3</f>
        <v>266.54879627869821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59.190825407684201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3.8113157894736847</v>
      </c>
      <c r="AI4" s="13">
        <f>IF('Données projet'!$A$62&gt;35,AI3+AH4-AQ3,IF(A4&lt;'Données projet'!$A$62,$AF$205^A4,IF(A4='Données projet'!$A$62,'Données projet'!$B$62,AI3+AH4-AQ3)))</f>
        <v>3.8113157894736847</v>
      </c>
      <c r="AJ4" s="13">
        <f>AI4*VLOOKUP('Données projet'!$B$10,Paramètres!$A$1:$I$89,3,0)*VLOOKUP('Données projet'!$B$10,Paramètres!$A$1:$I$89,5,0)</f>
        <v>3.2106524210526319</v>
      </c>
      <c r="AK4" s="13">
        <f>EXP(-1.0587+0.8836*LN(AJ4)+0.284)</f>
        <v>1.2917482977000276</v>
      </c>
      <c r="AL4" s="20">
        <f t="shared" ref="AL4:AL67" si="4">(AJ4+AK4)*0.475*44/12</f>
        <v>7.8416812518275494</v>
      </c>
      <c r="AM4" s="59">
        <f t="shared" ref="AM4:AM67" si="5">AL4+(AD4+AE4)*44/12</f>
        <v>226.09692996889186</v>
      </c>
      <c r="AN4" s="59">
        <f ca="1">AVERAGE(OFFSET($AM$3,0,0,'Données projet'!$E$10+1,1))-AVERAGE(OFFSET($H$3,0,0,'Données projet'!$E$10+1,1))</f>
        <v>377.26246345103175</v>
      </c>
      <c r="AO4" s="59">
        <f>$AO$3</f>
        <v>258.25890564000258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59.190825407684201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11.239444444444445</v>
      </c>
      <c r="BD4" s="12">
        <f>IF('Données projet'!$A$88&gt;35,BD3+BC4-BL3,IF(A4&lt;'Données projet'!$A$88,$BA$205^A4,IF(A4='Données projet'!$A$88,'Données projet'!$B$88,BD3+BC4-BL3)))</f>
        <v>1.3431115227802051</v>
      </c>
      <c r="BE4" s="13">
        <f>BD4*VLOOKUP('Données projet'!$B$11,Paramètres!$A$1:$I$89,3,0)*VLOOKUP('Données projet'!$B$11,Paramètres!$A$1:$I$89,5,0)</f>
        <v>0.59365529306885068</v>
      </c>
      <c r="BF4" s="13">
        <f>EXP(-1.0587+0.8836*LN(BE4)+0.284)</f>
        <v>0.29070132518488428</v>
      </c>
      <c r="BG4" s="20">
        <f t="shared" ref="BG4:BG67" si="7">(BE4+BF4)*0.475*44/12</f>
        <v>1.5402544434585883</v>
      </c>
      <c r="BH4" s="59">
        <f t="shared" ref="BH4:BH67" si="8">BG4+(AY4+AZ4)*44/12</f>
        <v>219.79550316052291</v>
      </c>
      <c r="BI4" s="59">
        <f ca="1">AVERAGE(OFFSET($BH$3,0,0,'Données projet'!$E$11+1,1))-AVERAGE(OFFSET($H$3,0,0,'Données projet'!$E$11+1,1))</f>
        <v>333.23043896066253</v>
      </c>
      <c r="BJ4" s="59">
        <f>$BJ$3</f>
        <v>440.63438368668983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59.190825407684201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2.649969</v>
      </c>
      <c r="BY4" s="12">
        <f>IF('Données projet'!$A$114&gt;35,BY3+BX4-CG3,IF(A4&lt;'Données projet'!$A$114,$BV$205^A4,IF(A4='Données projet'!$A$114,'Données projet'!$B$114,BY3+BX4-CG3)))</f>
        <v>1.2195891146753286</v>
      </c>
      <c r="BZ4" s="13">
        <f>BY4*VLOOKUP('Données projet'!$B$12,Paramètres!$A$1:$I$89,3,0)*VLOOKUP('Données projet'!$B$12,Paramètres!$A$1:$I$89,5,0)</f>
        <v>0.49149441321415743</v>
      </c>
      <c r="CA4" s="13">
        <f>EXP(-1.0587+0.8836*LN(BZ4)+0.284)</f>
        <v>0.24602423332323678</v>
      </c>
      <c r="CB4" s="20">
        <f t="shared" ref="CB4:CB67" si="10">(BZ4+CA4)*0.475*44/12</f>
        <v>1.2845116427192949</v>
      </c>
      <c r="CC4" s="59">
        <f t="shared" ref="CC4:CC67" si="11">CB4+(BT4+BU4)*44/12</f>
        <v>219.5397603597836</v>
      </c>
      <c r="CD4" s="59">
        <f ca="1">AVERAGE(OFFSET($CC$3,0,0,'Données projet'!$E$12+1,1))-AVERAGE(OFFSET($H$3,0,0,'Données projet'!$E$12+1,1))</f>
        <v>177.34129362526608</v>
      </c>
      <c r="CE4" s="59">
        <f>$CE$3</f>
        <v>156.93407673501022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59.190825407684201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0.83274715428568413</v>
      </c>
      <c r="CV4" s="13">
        <f>EXP(-1.0587+0.8836*LN(CU4)+0.284)</f>
        <v>0.39202836439738087</v>
      </c>
      <c r="CW4" s="20">
        <f t="shared" ref="CW4:CW67" si="13">(CU4+CV4)*0.475*44/12</f>
        <v>2.1331506950396717</v>
      </c>
      <c r="CX4" s="59">
        <f t="shared" ref="CX4:CX67" si="14">CW4+(CO4+CP4)*44/12</f>
        <v>220.38839941210398</v>
      </c>
      <c r="CY4" s="59">
        <f ca="1">AVERAGE(OFFSET($CX$3,0,0,'Données projet'!$E$13+1,1))-AVERAGE(OFFSET($H$3,0,0,'Données projet'!$E$13+1,1))</f>
        <v>267.49254683294629</v>
      </c>
      <c r="CZ4" s="59">
        <f>$CZ$3</f>
        <v>278.02595256967254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59.190825407684201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3.887142857142857</v>
      </c>
      <c r="DO4" s="12">
        <f>IF('Données projet'!$A$166&gt;35,DO3+DN4-DW3,IF(A4&lt;'Données projet'!$A$166,$DL$205^A4,IF(A4='Données projet'!$A$166,'Données projet'!$B$166,DO3+DN4-DW3)))</f>
        <v>3.887142857142857</v>
      </c>
      <c r="DP4" s="17">
        <f>DO4*VLOOKUP('Données projet'!$B$14,Paramètres!$A$1:$I$89,3,0)*VLOOKUP('Données projet'!$B$14,Paramètres!$A$1:$I$89,5,0)</f>
        <v>3.5170868571428571</v>
      </c>
      <c r="DQ4" s="13">
        <f>EXP(-1.0587+0.8836*LN(DP4)+0.284)</f>
        <v>1.400101260019349</v>
      </c>
      <c r="DR4" s="20">
        <f t="shared" ref="DR4:DR67" si="16">(DP4+DQ4)*0.475*44/12</f>
        <v>8.5641026373908407</v>
      </c>
      <c r="DS4" s="59">
        <f t="shared" ref="DS4:DS67" si="17">DR4+(DJ4+DK4)*44/12</f>
        <v>226.81935135445516</v>
      </c>
      <c r="DT4" s="59">
        <f ca="1">AVERAGE(OFFSET($DS$3,0,0,'Données projet'!$E$14+1,1))-AVERAGE(OFFSET($H$3,0,0,'Données projet'!$E$14+1,1))</f>
        <v>602.02351907077332</v>
      </c>
      <c r="DU4" s="59">
        <f>$DU$3</f>
        <v>278.08067690827272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59.190825407684201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59.190825407684201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59.190825407684201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59.190825407684201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2.2000000000000002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8.0666666666666682</v>
      </c>
      <c r="H5" s="67">
        <f t="shared" si="1"/>
        <v>224.4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59.378340421166769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5.8668181818181813</v>
      </c>
      <c r="N5" s="13">
        <f>IF('Données projet'!$A$36&gt;35,N4+M5-V4,IF(A5&lt;'Données projet'!$A$36,$K$205^A5,IF(A5='Données projet'!$A$36,'Données projet'!$B$36,N4+M5-V4)))</f>
        <v>1.5555830775049537</v>
      </c>
      <c r="O5" s="13">
        <f>N5*VLOOKUP('Données projet'!$B$9,Paramètres!$A$1:$I$89,3,0)*VLOOKUP('Données projet'!$B$9,Paramètres!$A$1:$I$89,5,0)</f>
        <v>0.93023868034796242</v>
      </c>
      <c r="P5" s="13">
        <f t="shared" ref="P5:P68" si="33">EXP(-1.0587+0.8836*LN(O5)+0.284)</f>
        <v>0.43231675887518456</v>
      </c>
      <c r="Q5" s="20">
        <f t="shared" si="2"/>
        <v>2.373117389980314</v>
      </c>
      <c r="R5" s="59">
        <f t="shared" si="0"/>
        <v>222.5381433787029</v>
      </c>
      <c r="S5" s="59">
        <f ca="1">AVERAGE(OFFSET($R$3,0,0,'Données projet'!$E$9+1,1))-AVERAGE(OFFSET($H$3,0,0,'Données projet'!$E$9+1,1))</f>
        <v>360.09035401555587</v>
      </c>
      <c r="T5" s="59">
        <f t="shared" ref="T5:T68" si="34">$T$3</f>
        <v>266.54879627869821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59.378340421166769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3.8113157894736847</v>
      </c>
      <c r="AI5" s="13">
        <f>IF('Données projet'!$A$62&gt;35,AI4+AH5-AQ4,IF(A5&lt;'Données projet'!$A$62,$AF$205^A5,IF(A5='Données projet'!$A$62,'Données projet'!$B$62,AI4+AH5-AQ4)))</f>
        <v>7.6226315789473693</v>
      </c>
      <c r="AJ5" s="13">
        <f>AI5*VLOOKUP('Données projet'!$B$10,Paramètres!$A$1:$I$89,3,0)*VLOOKUP('Données projet'!$B$10,Paramètres!$A$1:$I$89,5,0)</f>
        <v>6.4213048421052639</v>
      </c>
      <c r="AK5" s="13">
        <f t="shared" ref="AK5:AK68" si="35">EXP(-1.0587+0.8836*LN(AJ5)+0.284)</f>
        <v>2.3832412218173489</v>
      </c>
      <c r="AL5" s="20">
        <f t="shared" si="4"/>
        <v>15.334584394665216</v>
      </c>
      <c r="AM5" s="59">
        <f t="shared" si="5"/>
        <v>235.49961038338782</v>
      </c>
      <c r="AN5" s="59">
        <f ca="1">AVERAGE(OFFSET($AM$3,0,0,'Données projet'!$E$10+1,1))-AVERAGE(OFFSET($H$3,0,0,'Données projet'!$E$10+1,1))</f>
        <v>377.26246345103175</v>
      </c>
      <c r="AO5" s="59">
        <f t="shared" ref="AO5:AO68" si="36">$AO$3</f>
        <v>258.25890564000258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59.378340421166769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11.239444444444445</v>
      </c>
      <c r="BD5" s="12">
        <f>IF('Données projet'!$A$88&gt;35,BD4+BC5-BL4,IF(A5&lt;'Données projet'!$A$88,$BA$205^A5,IF(A5='Données projet'!$A$88,'Données projet'!$B$88,BD4+BC5-BL4)))</f>
        <v>1.8039485626249614</v>
      </c>
      <c r="BE5" s="13">
        <f>BD5*VLOOKUP('Données projet'!$B$11,Paramètres!$A$1:$I$89,3,0)*VLOOKUP('Données projet'!$B$11,Paramètres!$A$1:$I$89,5,0)</f>
        <v>0.79734526468023303</v>
      </c>
      <c r="BF5" s="13">
        <f t="shared" ref="BF5:BF68" si="37">EXP(-1.0587+0.8836*LN(BE5)+0.284)</f>
        <v>0.37726528209686516</v>
      </c>
      <c r="BG5" s="20">
        <f t="shared" si="7"/>
        <v>2.045780035636779</v>
      </c>
      <c r="BH5" s="59">
        <f t="shared" si="8"/>
        <v>222.21080602435936</v>
      </c>
      <c r="BI5" s="59">
        <f ca="1">AVERAGE(OFFSET($BH$3,0,0,'Données projet'!$E$11+1,1))-AVERAGE(OFFSET($H$3,0,0,'Données projet'!$E$11+1,1))</f>
        <v>333.23043896066253</v>
      </c>
      <c r="BJ5" s="59">
        <f t="shared" ref="BJ5:BJ68" si="38">$BJ$3</f>
        <v>440.63438368668983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59.378340421166769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2.649969</v>
      </c>
      <c r="BY5" s="12">
        <f>IF('Données projet'!$A$114&gt;35,BY4+BX5-CG4,IF(A5&lt;'Données projet'!$A$114,$BV$205^A5,IF(A5='Données projet'!$A$114,'Données projet'!$B$114,BY4+BX5-CG4)))</f>
        <v>1.4873976086345517</v>
      </c>
      <c r="BZ5" s="13">
        <f>BY5*VLOOKUP('Données projet'!$B$12,Paramètres!$A$1:$I$89,3,0)*VLOOKUP('Données projet'!$B$12,Paramètres!$A$1:$I$89,5,0)</f>
        <v>0.59942123627972432</v>
      </c>
      <c r="CA5" s="13">
        <f t="shared" ref="CA5:CA68" si="39">EXP(-1.0587+0.8836*LN(BZ5)+0.284)</f>
        <v>0.293194737232502</v>
      </c>
      <c r="CB5" s="20">
        <f t="shared" si="10"/>
        <v>1.5546394872004605</v>
      </c>
      <c r="CC5" s="59">
        <f t="shared" si="11"/>
        <v>221.71966547592305</v>
      </c>
      <c r="CD5" s="59">
        <f ca="1">AVERAGE(OFFSET($CC$3,0,0,'Données projet'!$E$12+1,1))-AVERAGE(OFFSET($H$3,0,0,'Données projet'!$E$12+1,1))</f>
        <v>177.34129362526608</v>
      </c>
      <c r="CE5" s="59">
        <f t="shared" ref="CE5:CE68" si="40">$CE$3</f>
        <v>156.93407673501022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59.378340421166769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1.0584063232156671</v>
      </c>
      <c r="CV5" s="13">
        <f t="shared" ref="CV5:CV68" si="41">EXP(-1.0587+0.8836*LN(CU5)+0.284)</f>
        <v>0.48454592807852009</v>
      </c>
      <c r="CW5" s="20">
        <f t="shared" si="13"/>
        <v>2.6873085043373757</v>
      </c>
      <c r="CX5" s="59">
        <f t="shared" si="14"/>
        <v>222.85233449305997</v>
      </c>
      <c r="CY5" s="59">
        <f ca="1">AVERAGE(OFFSET($CX$3,0,0,'Données projet'!$E$13+1,1))-AVERAGE(OFFSET($H$3,0,0,'Données projet'!$E$13+1,1))</f>
        <v>267.49254683294629</v>
      </c>
      <c r="CZ5" s="59">
        <f t="shared" ref="CZ5:CZ68" si="42">$CZ$3</f>
        <v>278.02595256967254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59.378340421166769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3.887142857142857</v>
      </c>
      <c r="DO5" s="12">
        <f>IF('Données projet'!$A$166&gt;35,DO4+DN5-DW4,IF(A5&lt;'Données projet'!$A$166,$DL$205^A5,IF(A5='Données projet'!$A$166,'Données projet'!$B$166,DO4+DN5-DW4)))</f>
        <v>7.774285714285714</v>
      </c>
      <c r="DP5" s="17">
        <f>DO5*VLOOKUP('Données projet'!$B$14,Paramètres!$A$1:$I$89,3,0)*VLOOKUP('Données projet'!$B$14,Paramètres!$A$1:$I$89,5,0)</f>
        <v>7.0341737142857141</v>
      </c>
      <c r="DQ5" s="13">
        <f t="shared" ref="DQ5:DQ68" si="43">EXP(-1.0587+0.8836*LN(DP5)+0.284)</f>
        <v>2.5831495528484112</v>
      </c>
      <c r="DR5" s="20">
        <f t="shared" si="16"/>
        <v>16.750171356925268</v>
      </c>
      <c r="DS5" s="59">
        <f t="shared" si="17"/>
        <v>236.91519734564787</v>
      </c>
      <c r="DT5" s="59">
        <f ca="1">AVERAGE(OFFSET($DS$3,0,0,'Données projet'!$E$14+1,1))-AVERAGE(OFFSET($H$3,0,0,'Données projet'!$E$14+1,1))</f>
        <v>602.02351907077332</v>
      </c>
      <c r="DU5" s="59">
        <f t="shared" ref="DU5:DU68" si="44">$DU$3</f>
        <v>278.08067690827272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59.378340421166769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59.378340421166769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59.378340421166769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59.378340421166769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2.2000000000000002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8.0666666666666682</v>
      </c>
      <c r="H6" s="67">
        <f t="shared" si="1"/>
        <v>224.4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59.562602468386189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5.8668181818181813</v>
      </c>
      <c r="N6" s="13">
        <f>IF('Données projet'!$A$36&gt;35,N5+M6-V5,IF(A6&lt;'Données projet'!$A$36,$K$205^A6,IF(A6='Données projet'!$A$36,'Données projet'!$B$36,N5+M6-V5)))</f>
        <v>1.9401701340742707</v>
      </c>
      <c r="O6" s="13">
        <f>N6*VLOOKUP('Données projet'!$B$9,Paramètres!$A$1:$I$89,3,0)*VLOOKUP('Données projet'!$B$9,Paramètres!$A$1:$I$89,5,0)</f>
        <v>1.1602217401764139</v>
      </c>
      <c r="P6" s="13">
        <f t="shared" si="33"/>
        <v>0.52550940332379237</v>
      </c>
      <c r="Q6" s="20">
        <f t="shared" si="2"/>
        <v>2.9359817415961924</v>
      </c>
      <c r="R6" s="59">
        <f t="shared" si="0"/>
        <v>224.99885745901219</v>
      </c>
      <c r="S6" s="59">
        <f ca="1">AVERAGE(OFFSET($R$3,0,0,'Données projet'!$E$9+1,1))-AVERAGE(OFFSET($H$3,0,0,'Données projet'!$E$9+1,1))</f>
        <v>360.09035401555587</v>
      </c>
      <c r="T6" s="59">
        <f t="shared" si="34"/>
        <v>266.54879627869821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59.562602468386189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3.8113157894736847</v>
      </c>
      <c r="AI6" s="13">
        <f>IF('Données projet'!$A$62&gt;35,AI5+AH6-AQ5,IF(A6&lt;'Données projet'!$A$62,$AF$205^A6,IF(A6='Données projet'!$A$62,'Données projet'!$B$62,AI5+AH6-AQ5)))</f>
        <v>11.433947368421054</v>
      </c>
      <c r="AJ6" s="13">
        <f>AI6*VLOOKUP('Données projet'!$B$10,Paramètres!$A$1:$I$89,3,0)*VLOOKUP('Données projet'!$B$10,Paramètres!$A$1:$I$89,5,0)</f>
        <v>9.6319572631578971</v>
      </c>
      <c r="AK6" s="13">
        <f t="shared" si="35"/>
        <v>3.410061712458385</v>
      </c>
      <c r="AL6" s="20">
        <f t="shared" si="4"/>
        <v>22.714849715865025</v>
      </c>
      <c r="AM6" s="59">
        <f t="shared" si="5"/>
        <v>244.77772543328103</v>
      </c>
      <c r="AN6" s="59">
        <f ca="1">AVERAGE(OFFSET($AM$3,0,0,'Données projet'!$E$10+1,1))-AVERAGE(OFFSET($H$3,0,0,'Données projet'!$E$10+1,1))</f>
        <v>377.26246345103175</v>
      </c>
      <c r="AO6" s="59">
        <f t="shared" si="36"/>
        <v>258.25890564000258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59.562602468386189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11.239444444444445</v>
      </c>
      <c r="BD6" s="12">
        <f>IF('Données projet'!$A$88&gt;35,BD5+BC6-BL5,IF(A6&lt;'Données projet'!$A$88,$BA$205^A6,IF(A6='Données projet'!$A$88,'Données projet'!$B$88,BD5+BC6-BL5)))</f>
        <v>2.4229041009643741</v>
      </c>
      <c r="BE6" s="13">
        <f>BD6*VLOOKUP('Données projet'!$B$11,Paramètres!$A$1:$I$89,3,0)*VLOOKUP('Données projet'!$B$11,Paramètres!$A$1:$I$89,5,0)</f>
        <v>1.0709236126262536</v>
      </c>
      <c r="BF6" s="13">
        <f t="shared" si="37"/>
        <v>0.48960593139748082</v>
      </c>
      <c r="BG6" s="20">
        <f t="shared" si="7"/>
        <v>2.717922289174671</v>
      </c>
      <c r="BH6" s="59">
        <f t="shared" si="8"/>
        <v>224.78079800659069</v>
      </c>
      <c r="BI6" s="59">
        <f ca="1">AVERAGE(OFFSET($BH$3,0,0,'Données projet'!$E$11+1,1))-AVERAGE(OFFSET($H$3,0,0,'Données projet'!$E$11+1,1))</f>
        <v>333.23043896066253</v>
      </c>
      <c r="BJ6" s="59">
        <f t="shared" si="38"/>
        <v>440.63438368668983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59.562602468386189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2.649969</v>
      </c>
      <c r="BY6" s="12">
        <f>IF('Données projet'!$A$114&gt;35,BY5+BX6-CG5,IF(A6&lt;'Données projet'!$A$114,$BV$205^A6,IF(A6='Données projet'!$A$114,'Données projet'!$B$114,BY5+BX6-CG5)))</f>
        <v>1.8140139326848139</v>
      </c>
      <c r="BZ6" s="13">
        <f>BY6*VLOOKUP('Données projet'!$B$12,Paramètres!$A$1:$I$89,3,0)*VLOOKUP('Données projet'!$B$12,Paramètres!$A$1:$I$89,5,0)</f>
        <v>0.73104761487198</v>
      </c>
      <c r="CA6" s="13">
        <f t="shared" si="39"/>
        <v>0.34940929509124402</v>
      </c>
      <c r="CB6" s="20">
        <f t="shared" si="10"/>
        <v>1.881795784852615</v>
      </c>
      <c r="CC6" s="59">
        <f t="shared" si="11"/>
        <v>223.94467150226862</v>
      </c>
      <c r="CD6" s="59">
        <f ca="1">AVERAGE(OFFSET($CC$3,0,0,'Données projet'!$E$12+1,1))-AVERAGE(OFFSET($H$3,0,0,'Données projet'!$E$12+1,1))</f>
        <v>177.34129362526608</v>
      </c>
      <c r="CE6" s="59">
        <f t="shared" si="40"/>
        <v>156.93407673501022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59.562602468386189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1.3452149782292753</v>
      </c>
      <c r="CV6" s="13">
        <f t="shared" si="41"/>
        <v>0.59889737003693966</v>
      </c>
      <c r="CW6" s="20">
        <f t="shared" si="13"/>
        <v>3.3859956732303242</v>
      </c>
      <c r="CX6" s="59">
        <f t="shared" si="14"/>
        <v>225.44887139064633</v>
      </c>
      <c r="CY6" s="59">
        <f ca="1">AVERAGE(OFFSET($CX$3,0,0,'Données projet'!$E$13+1,1))-AVERAGE(OFFSET($H$3,0,0,'Données projet'!$E$13+1,1))</f>
        <v>267.49254683294629</v>
      </c>
      <c r="CZ6" s="59">
        <f t="shared" si="42"/>
        <v>278.02595256967254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59.562602468386189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3.887142857142857</v>
      </c>
      <c r="DO6" s="12">
        <f>IF('Données projet'!$A$166&gt;35,DO5+DN6-DW5,IF(A6&lt;'Données projet'!$A$166,$DL$205^A6,IF(A6='Données projet'!$A$166,'Données projet'!$B$166,DO5+DN6-DW5)))</f>
        <v>11.661428571428571</v>
      </c>
      <c r="DP6" s="17">
        <f>DO6*VLOOKUP('Données projet'!$B$14,Paramètres!$A$1:$I$89,3,0)*VLOOKUP('Données projet'!$B$14,Paramètres!$A$1:$I$89,5,0)</f>
        <v>10.551260571428571</v>
      </c>
      <c r="DQ6" s="13">
        <f t="shared" si="43"/>
        <v>3.6961006326523931</v>
      </c>
      <c r="DR6" s="20">
        <f t="shared" si="16"/>
        <v>24.814154097107675</v>
      </c>
      <c r="DS6" s="59">
        <f t="shared" si="17"/>
        <v>246.87702981452367</v>
      </c>
      <c r="DT6" s="59">
        <f ca="1">AVERAGE(OFFSET($DS$3,0,0,'Données projet'!$E$14+1,1))-AVERAGE(OFFSET($H$3,0,0,'Données projet'!$E$14+1,1))</f>
        <v>602.02351907077332</v>
      </c>
      <c r="DU6" s="59">
        <f t="shared" si="44"/>
        <v>278.08067690827272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59.562602468386189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59.562602468386189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59.562602468386189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59.562602468386189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2.2000000000000002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8.0666666666666682</v>
      </c>
      <c r="H7" s="67">
        <f t="shared" si="1"/>
        <v>224.4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59.743667981034569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5.8668181818181813</v>
      </c>
      <c r="N7" s="13">
        <f>IF('Données projet'!$A$36&gt;35,N6+M7-V6,IF(A7&lt;'Données projet'!$A$36,$K$205^A7,IF(A7='Données projet'!$A$36,'Données projet'!$B$36,N6+M7-V6)))</f>
        <v>2.419838711019783</v>
      </c>
      <c r="O7" s="13">
        <f>N7*VLOOKUP('Données projet'!$B$9,Paramètres!$A$1:$I$89,3,0)*VLOOKUP('Données projet'!$B$9,Paramètres!$A$1:$I$89,5,0)</f>
        <v>1.4470635491898303</v>
      </c>
      <c r="P7" s="13">
        <f t="shared" si="33"/>
        <v>0.63879118103182142</v>
      </c>
      <c r="Q7" s="20">
        <f t="shared" si="2"/>
        <v>3.6328636551360431</v>
      </c>
      <c r="R7" s="59">
        <f t="shared" si="0"/>
        <v>227.58186847448502</v>
      </c>
      <c r="S7" s="59">
        <f ca="1">AVERAGE(OFFSET($R$3,0,0,'Données projet'!$E$9+1,1))-AVERAGE(OFFSET($H$3,0,0,'Données projet'!$E$9+1,1))</f>
        <v>360.09035401555587</v>
      </c>
      <c r="T7" s="59">
        <f t="shared" si="34"/>
        <v>266.54879627869821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59.743667981034569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3.8113157894736847</v>
      </c>
      <c r="AI7" s="13">
        <f>IF('Données projet'!$A$62&gt;35,AI6+AH7-AQ6,IF(A7&lt;'Données projet'!$A$62,$AF$205^A7,IF(A7='Données projet'!$A$62,'Données projet'!$B$62,AI6+AH7-AQ6)))</f>
        <v>15.245263157894739</v>
      </c>
      <c r="AJ7" s="13">
        <f>AI7*VLOOKUP('Données projet'!$B$10,Paramètres!$A$1:$I$89,3,0)*VLOOKUP('Données projet'!$B$10,Paramètres!$A$1:$I$89,5,0)</f>
        <v>12.842609684210528</v>
      </c>
      <c r="AK7" s="13">
        <f t="shared" si="35"/>
        <v>4.397016610343103</v>
      </c>
      <c r="AL7" s="20">
        <f t="shared" si="4"/>
        <v>30.025682463014238</v>
      </c>
      <c r="AM7" s="59">
        <f t="shared" si="5"/>
        <v>253.97468728236322</v>
      </c>
      <c r="AN7" s="59">
        <f ca="1">AVERAGE(OFFSET($AM$3,0,0,'Données projet'!$E$10+1,1))-AVERAGE(OFFSET($H$3,0,0,'Données projet'!$E$10+1,1))</f>
        <v>377.26246345103175</v>
      </c>
      <c r="AO7" s="59">
        <f t="shared" si="36"/>
        <v>258.25890564000258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59.743667981034569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11.239444444444445</v>
      </c>
      <c r="BD7" s="12">
        <f>IF('Données projet'!$A$88&gt;35,BD6+BC7-BL6,IF(A7&lt;'Données projet'!$A$88,$BA$205^A7,IF(A7='Données projet'!$A$88,'Données projet'!$B$88,BD6+BC7-BL6)))</f>
        <v>3.2542304165966645</v>
      </c>
      <c r="BE7" s="13">
        <f>BD7*VLOOKUP('Données projet'!$B$11,Paramètres!$A$1:$I$89,3,0)*VLOOKUP('Données projet'!$B$11,Paramètres!$A$1:$I$89,5,0)</f>
        <v>1.438369844135726</v>
      </c>
      <c r="BF7" s="13">
        <f t="shared" si="37"/>
        <v>0.63539896045363298</v>
      </c>
      <c r="BG7" s="20">
        <f t="shared" si="7"/>
        <v>3.6118140013264668</v>
      </c>
      <c r="BH7" s="59">
        <f t="shared" si="8"/>
        <v>227.56081882067545</v>
      </c>
      <c r="BI7" s="59">
        <f ca="1">AVERAGE(OFFSET($BH$3,0,0,'Données projet'!$E$11+1,1))-AVERAGE(OFFSET($H$3,0,0,'Données projet'!$E$11+1,1))</f>
        <v>333.23043896066253</v>
      </c>
      <c r="BJ7" s="59">
        <f t="shared" si="38"/>
        <v>440.63438368668983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59.743667981034569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2.649969</v>
      </c>
      <c r="BY7" s="12">
        <f>IF('Données projet'!$A$114&gt;35,BY6+BX7-CG6,IF(A7&lt;'Données projet'!$A$114,$BV$205^A7,IF(A7='Données projet'!$A$114,'Données projet'!$B$114,BY6+BX7-CG6)))</f>
        <v>2.2123516461717831</v>
      </c>
      <c r="BZ7" s="13">
        <f>BY7*VLOOKUP('Données projet'!$B$12,Paramètres!$A$1:$I$89,3,0)*VLOOKUP('Données projet'!$B$12,Paramètres!$A$1:$I$89,5,0)</f>
        <v>0.89157771340722858</v>
      </c>
      <c r="CA7" s="13">
        <f t="shared" si="39"/>
        <v>0.4164019335699935</v>
      </c>
      <c r="CB7" s="20">
        <f t="shared" si="10"/>
        <v>2.2780645518186615</v>
      </c>
      <c r="CC7" s="59">
        <f t="shared" si="11"/>
        <v>226.22706937116763</v>
      </c>
      <c r="CD7" s="59">
        <f ca="1">AVERAGE(OFFSET($CC$3,0,0,'Données projet'!$E$12+1,1))-AVERAGE(OFFSET($H$3,0,0,'Données projet'!$E$12+1,1))</f>
        <v>177.34129362526608</v>
      </c>
      <c r="CE7" s="59">
        <f t="shared" si="40"/>
        <v>156.93407673501022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59.743667981034569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1.7097435058347183</v>
      </c>
      <c r="CV7" s="13">
        <f t="shared" si="41"/>
        <v>0.74023542259349984</v>
      </c>
      <c r="CW7" s="20">
        <f t="shared" si="13"/>
        <v>4.2670466336791462</v>
      </c>
      <c r="CX7" s="59">
        <f t="shared" si="14"/>
        <v>228.21605145302811</v>
      </c>
      <c r="CY7" s="59">
        <f ca="1">AVERAGE(OFFSET($CX$3,0,0,'Données projet'!$E$13+1,1))-AVERAGE(OFFSET($H$3,0,0,'Données projet'!$E$13+1,1))</f>
        <v>267.49254683294629</v>
      </c>
      <c r="CZ7" s="59">
        <f t="shared" si="42"/>
        <v>278.02595256967254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59.743667981034569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3.887142857142857</v>
      </c>
      <c r="DO7" s="12">
        <f>IF('Données projet'!$A$166&gt;35,DO6+DN7-DW6,IF(A7&lt;'Données projet'!$A$166,$DL$205^A7,IF(A7='Données projet'!$A$166,'Données projet'!$B$166,DO6+DN7-DW6)))</f>
        <v>15.548571428571428</v>
      </c>
      <c r="DP7" s="17">
        <f>DO7*VLOOKUP('Données projet'!$B$14,Paramètres!$A$1:$I$89,3,0)*VLOOKUP('Données projet'!$B$14,Paramètres!$A$1:$I$89,5,0)</f>
        <v>14.068347428571428</v>
      </c>
      <c r="DQ7" s="13">
        <f t="shared" si="43"/>
        <v>4.7658421593654818</v>
      </c>
      <c r="DR7" s="20">
        <f t="shared" si="16"/>
        <v>32.802880198990124</v>
      </c>
      <c r="DS7" s="59">
        <f t="shared" si="17"/>
        <v>256.75188501833907</v>
      </c>
      <c r="DT7" s="59">
        <f ca="1">AVERAGE(OFFSET($DS$3,0,0,'Données projet'!$E$14+1,1))-AVERAGE(OFFSET($H$3,0,0,'Données projet'!$E$14+1,1))</f>
        <v>602.02351907077332</v>
      </c>
      <c r="DU7" s="59">
        <f t="shared" si="44"/>
        <v>278.08067690827272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59.743667981034569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59.743667981034569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59.743667981034569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59.743667981034569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2.2000000000000002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8.0666666666666682</v>
      </c>
      <c r="H8" s="67">
        <f t="shared" si="1"/>
        <v>224.4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59.921592411840351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5.8668181818181813</v>
      </c>
      <c r="N8" s="13">
        <f>IF('Données projet'!$A$36&gt;35,N7+M8-V7,IF(A8&lt;'Données projet'!$A$36,$K$205^A8,IF(A8='Données projet'!$A$36,'Données projet'!$B$36,N7+M8-V7)))</f>
        <v>3.0180958280464529</v>
      </c>
      <c r="O8" s="13">
        <f>N8*VLOOKUP('Données projet'!$B$9,Paramètres!$A$1:$I$89,3,0)*VLOOKUP('Données projet'!$B$9,Paramètres!$A$1:$I$89,5,0)</f>
        <v>1.804821305171779</v>
      </c>
      <c r="P8" s="13">
        <f t="shared" si="33"/>
        <v>0.77649261912941803</v>
      </c>
      <c r="Q8" s="20">
        <f t="shared" si="2"/>
        <v>4.4957884181579182</v>
      </c>
      <c r="R8" s="59">
        <f t="shared" si="0"/>
        <v>230.31940503935033</v>
      </c>
      <c r="S8" s="59">
        <f ca="1">AVERAGE(OFFSET($R$3,0,0,'Données projet'!$E$9+1,1))-AVERAGE(OFFSET($H$3,0,0,'Données projet'!$E$9+1,1))</f>
        <v>360.09035401555587</v>
      </c>
      <c r="T8" s="59">
        <f t="shared" si="34"/>
        <v>266.54879627869821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59.921592411840351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3.8113157894736847</v>
      </c>
      <c r="AI8" s="13">
        <f>IF('Données projet'!$A$62&gt;35,AI7+AH8-AQ7,IF(A8&lt;'Données projet'!$A$62,$AF$205^A8,IF(A8='Données projet'!$A$62,'Données projet'!$B$62,AI7+AH8-AQ7)))</f>
        <v>19.056578947368422</v>
      </c>
      <c r="AJ8" s="13">
        <f>AI8*VLOOKUP('Données projet'!$B$10,Paramètres!$A$1:$I$89,3,0)*VLOOKUP('Données projet'!$B$10,Paramètres!$A$1:$I$89,5,0)</f>
        <v>16.053262105263162</v>
      </c>
      <c r="AK8" s="13">
        <f t="shared" si="35"/>
        <v>5.3553491889078098</v>
      </c>
      <c r="AL8" s="20">
        <f t="shared" si="4"/>
        <v>37.286664670681112</v>
      </c>
      <c r="AM8" s="59">
        <f t="shared" si="5"/>
        <v>263.11028129187349</v>
      </c>
      <c r="AN8" s="59">
        <f ca="1">AVERAGE(OFFSET($AM$3,0,0,'Données projet'!$E$10+1,1))-AVERAGE(OFFSET($H$3,0,0,'Données projet'!$E$10+1,1))</f>
        <v>377.26246345103175</v>
      </c>
      <c r="AO8" s="59">
        <f t="shared" si="36"/>
        <v>258.25890564000258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59.921592411840351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11.239444444444445</v>
      </c>
      <c r="BD8" s="12">
        <f>IF('Données projet'!$A$88&gt;35,BD7+BC8-BL7,IF(A8&lt;'Données projet'!$A$88,$BA$205^A8,IF(A8='Données projet'!$A$88,'Données projet'!$B$88,BD7+BC8-BL7)))</f>
        <v>4.3707943703128072</v>
      </c>
      <c r="BE8" s="13">
        <f>BD8*VLOOKUP('Données projet'!$B$11,Paramètres!$A$1:$I$89,3,0)*VLOOKUP('Données projet'!$B$11,Paramètres!$A$1:$I$89,5,0)</f>
        <v>1.9318911116782609</v>
      </c>
      <c r="BF8" s="13">
        <f t="shared" si="37"/>
        <v>0.82460569420224694</v>
      </c>
      <c r="BG8" s="20">
        <f t="shared" si="7"/>
        <v>4.8008986035752175</v>
      </c>
      <c r="BH8" s="59">
        <f t="shared" si="8"/>
        <v>230.62451522476761</v>
      </c>
      <c r="BI8" s="59">
        <f ca="1">AVERAGE(OFFSET($BH$3,0,0,'Données projet'!$E$11+1,1))-AVERAGE(OFFSET($H$3,0,0,'Données projet'!$E$11+1,1))</f>
        <v>333.23043896066253</v>
      </c>
      <c r="BJ8" s="59">
        <f t="shared" si="38"/>
        <v>440.63438368668983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59.921592411840351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2.649969</v>
      </c>
      <c r="BY8" s="12">
        <f>IF('Données projet'!$A$114&gt;35,BY7+BX8-CG7,IF(A8&lt;'Données projet'!$A$114,$BV$205^A8,IF(A8='Données projet'!$A$114,'Données projet'!$B$114,BY7+BX8-CG7)))</f>
        <v>2.6981599855051508</v>
      </c>
      <c r="BZ8" s="13">
        <f>BY8*VLOOKUP('Données projet'!$B$12,Paramètres!$A$1:$I$89,3,0)*VLOOKUP('Données projet'!$B$12,Paramètres!$A$1:$I$89,5,0)</f>
        <v>1.0873584741585758</v>
      </c>
      <c r="CA8" s="13">
        <f t="shared" si="39"/>
        <v>0.49623914622978332</v>
      </c>
      <c r="CB8" s="20">
        <f t="shared" si="10"/>
        <v>2.7580991888430586</v>
      </c>
      <c r="CC8" s="59">
        <f t="shared" si="11"/>
        <v>228.58171581003546</v>
      </c>
      <c r="CD8" s="59">
        <f ca="1">AVERAGE(OFFSET($CC$3,0,0,'Données projet'!$E$12+1,1))-AVERAGE(OFFSET($H$3,0,0,'Données projet'!$E$12+1,1))</f>
        <v>177.34129362526608</v>
      </c>
      <c r="CE8" s="59">
        <f t="shared" si="40"/>
        <v>156.93407673501022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59.921592411840351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2.173052562640859</v>
      </c>
      <c r="CV8" s="13">
        <f t="shared" si="41"/>
        <v>0.91492884804015795</v>
      </c>
      <c r="CW8" s="20">
        <f t="shared" si="13"/>
        <v>5.3782342902694369</v>
      </c>
      <c r="CX8" s="59">
        <f t="shared" si="14"/>
        <v>231.20185091146183</v>
      </c>
      <c r="CY8" s="59">
        <f ca="1">AVERAGE(OFFSET($CX$3,0,0,'Données projet'!$E$13+1,1))-AVERAGE(OFFSET($H$3,0,0,'Données projet'!$E$13+1,1))</f>
        <v>267.49254683294629</v>
      </c>
      <c r="CZ8" s="59">
        <f t="shared" si="42"/>
        <v>278.02595256967254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59.921592411840351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3.887142857142857</v>
      </c>
      <c r="DO8" s="12">
        <f>IF('Données projet'!$A$166&gt;35,DO7+DN8-DW7,IF(A8&lt;'Données projet'!$A$166,$DL$205^A8,IF(A8='Données projet'!$A$166,'Données projet'!$B$166,DO7+DN8-DW7)))</f>
        <v>19.435714285714283</v>
      </c>
      <c r="DP8" s="17">
        <f>DO8*VLOOKUP('Données projet'!$B$14,Paramètres!$A$1:$I$89,3,0)*VLOOKUP('Données projet'!$B$14,Paramètres!$A$1:$I$89,5,0)</f>
        <v>17.585434285714282</v>
      </c>
      <c r="DQ8" s="13">
        <f t="shared" si="43"/>
        <v>5.804560501905633</v>
      </c>
      <c r="DR8" s="20">
        <f t="shared" si="16"/>
        <v>40.737574255104683</v>
      </c>
      <c r="DS8" s="59">
        <f t="shared" si="17"/>
        <v>266.56119087629708</v>
      </c>
      <c r="DT8" s="59">
        <f ca="1">AVERAGE(OFFSET($DS$3,0,0,'Données projet'!$E$14+1,1))-AVERAGE(OFFSET($H$3,0,0,'Données projet'!$E$14+1,1))</f>
        <v>602.02351907077332</v>
      </c>
      <c r="DU8" s="59">
        <f t="shared" si="44"/>
        <v>278.08067690827272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59.921592411840351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59.921592411840351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59.921592411840351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59.921592411840351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2.2000000000000002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8.0666666666666682</v>
      </c>
      <c r="H9" s="67">
        <f t="shared" si="1"/>
        <v>224.4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60.096430251551084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5.8668181818181813</v>
      </c>
      <c r="N9" s="13">
        <f>IF('Données projet'!$A$36&gt;35,N8+M9-V8,IF(A9&lt;'Données projet'!$A$36,$K$205^A9,IF(A9='Données projet'!$A$36,'Données projet'!$B$36,N8+M9-V8)))</f>
        <v>3.7642601491537744</v>
      </c>
      <c r="O9" s="13">
        <f>N9*VLOOKUP('Données projet'!$B$9,Paramètres!$A$1:$I$89,3,0)*VLOOKUP('Données projet'!$B$9,Paramètres!$A$1:$I$89,5,0)</f>
        <v>2.251027569193957</v>
      </c>
      <c r="P9" s="13">
        <f t="shared" si="33"/>
        <v>0.94387775765556148</v>
      </c>
      <c r="Q9" s="20">
        <f t="shared" si="2"/>
        <v>5.5644601109295779</v>
      </c>
      <c r="R9" s="59">
        <f t="shared" si="0"/>
        <v>233.25137103328356</v>
      </c>
      <c r="S9" s="59">
        <f ca="1">AVERAGE(OFFSET($R$3,0,0,'Données projet'!$E$9+1,1))-AVERAGE(OFFSET($H$3,0,0,'Données projet'!$E$9+1,1))</f>
        <v>360.09035401555587</v>
      </c>
      <c r="T9" s="59">
        <f t="shared" si="34"/>
        <v>266.54879627869821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60.096430251551084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3.8113157894736847</v>
      </c>
      <c r="AI9" s="13">
        <f>IF('Données projet'!$A$62&gt;35,AI8+AH9-AQ8,IF(A9&lt;'Données projet'!$A$62,$AF$205^A9,IF(A9='Données projet'!$A$62,'Données projet'!$B$62,AI8+AH9-AQ8)))</f>
        <v>22.867894736842107</v>
      </c>
      <c r="AJ9" s="13">
        <f>AI9*VLOOKUP('Données projet'!$B$10,Paramètres!$A$1:$I$89,3,0)*VLOOKUP('Données projet'!$B$10,Paramètres!$A$1:$I$89,5,0)</f>
        <v>19.263914526315794</v>
      </c>
      <c r="AK9" s="13">
        <f t="shared" si="35"/>
        <v>6.2914730807403405</v>
      </c>
      <c r="AL9" s="20">
        <f t="shared" si="4"/>
        <v>44.508966748956091</v>
      </c>
      <c r="AM9" s="59">
        <f t="shared" si="5"/>
        <v>272.19587767131009</v>
      </c>
      <c r="AN9" s="59">
        <f ca="1">AVERAGE(OFFSET($AM$3,0,0,'Données projet'!$E$10+1,1))-AVERAGE(OFFSET($H$3,0,0,'Données projet'!$E$10+1,1))</f>
        <v>377.26246345103175</v>
      </c>
      <c r="AO9" s="59">
        <f t="shared" si="36"/>
        <v>258.25890564000258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60.096430251551084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11.239444444444445</v>
      </c>
      <c r="BD9" s="12">
        <f>IF('Données projet'!$A$88&gt;35,BD8+BC9-BL8,IF(A9&lt;'Données projet'!$A$88,$BA$205^A9,IF(A9='Données projet'!$A$88,'Données projet'!$B$88,BD8+BC9-BL8)))</f>
        <v>5.8704642824699818</v>
      </c>
      <c r="BE9" s="13">
        <f>BD9*VLOOKUP('Données projet'!$B$11,Paramètres!$A$1:$I$89,3,0)*VLOOKUP('Données projet'!$B$11,Paramètres!$A$1:$I$89,5,0)</f>
        <v>2.5947452128517323</v>
      </c>
      <c r="BF9" s="13">
        <f t="shared" si="37"/>
        <v>1.0701537037852764</v>
      </c>
      <c r="BG9" s="20">
        <f t="shared" si="7"/>
        <v>6.3830322798094565</v>
      </c>
      <c r="BH9" s="59">
        <f t="shared" si="8"/>
        <v>234.06994320216344</v>
      </c>
      <c r="BI9" s="59">
        <f ca="1">AVERAGE(OFFSET($BH$3,0,0,'Données projet'!$E$11+1,1))-AVERAGE(OFFSET($H$3,0,0,'Données projet'!$E$11+1,1))</f>
        <v>333.23043896066253</v>
      </c>
      <c r="BJ9" s="59">
        <f t="shared" si="38"/>
        <v>440.63438368668983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60.096430251551084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2.649969</v>
      </c>
      <c r="BY9" s="12">
        <f>IF('Données projet'!$A$114&gt;35,BY8+BX9-CG8,IF(A9&lt;'Données projet'!$A$114,$BV$205^A9,IF(A9='Données projet'!$A$114,'Données projet'!$B$114,BY8+BX9-CG8)))</f>
        <v>3.2906465479746241</v>
      </c>
      <c r="BZ9" s="13">
        <f>BY9*VLOOKUP('Données projet'!$B$12,Paramètres!$A$1:$I$89,3,0)*VLOOKUP('Données projet'!$B$12,Paramètres!$A$1:$I$89,5,0)</f>
        <v>1.3261305588337735</v>
      </c>
      <c r="CA9" s="13">
        <f t="shared" si="39"/>
        <v>0.59138363777427372</v>
      </c>
      <c r="CB9" s="20">
        <f t="shared" si="10"/>
        <v>3.3396705590923492</v>
      </c>
      <c r="CC9" s="59">
        <f t="shared" si="11"/>
        <v>231.02658148144633</v>
      </c>
      <c r="CD9" s="59">
        <f ca="1">AVERAGE(OFFSET($CC$3,0,0,'Données projet'!$E$12+1,1))-AVERAGE(OFFSET($H$3,0,0,'Données projet'!$E$12+1,1))</f>
        <v>177.34129362526608</v>
      </c>
      <c r="CE9" s="59">
        <f t="shared" si="40"/>
        <v>156.93407673501022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60.096430251551084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2.7619098560018145</v>
      </c>
      <c r="CV9" s="13">
        <f t="shared" si="41"/>
        <v>1.1308494182070246</v>
      </c>
      <c r="CW9" s="20">
        <f t="shared" si="13"/>
        <v>6.7798890692470613</v>
      </c>
      <c r="CX9" s="59">
        <f t="shared" si="14"/>
        <v>234.46679999160102</v>
      </c>
      <c r="CY9" s="59">
        <f ca="1">AVERAGE(OFFSET($CX$3,0,0,'Données projet'!$E$13+1,1))-AVERAGE(OFFSET($H$3,0,0,'Données projet'!$E$13+1,1))</f>
        <v>267.49254683294629</v>
      </c>
      <c r="CZ9" s="59">
        <f t="shared" si="42"/>
        <v>278.02595256967254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60.096430251551084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3.887142857142857</v>
      </c>
      <c r="DO9" s="12">
        <f>IF('Données projet'!$A$166&gt;35,DO8+DN9-DW8,IF(A9&lt;'Données projet'!$A$166,$DL$205^A9,IF(A9='Données projet'!$A$166,'Données projet'!$B$166,DO8+DN9-DW8)))</f>
        <v>23.322857142857139</v>
      </c>
      <c r="DP9" s="17">
        <f>DO9*VLOOKUP('Données projet'!$B$14,Paramètres!$A$1:$I$89,3,0)*VLOOKUP('Données projet'!$B$14,Paramètres!$A$1:$I$89,5,0)</f>
        <v>21.102521142857139</v>
      </c>
      <c r="DQ9" s="13">
        <f t="shared" si="43"/>
        <v>6.8192072738987575</v>
      </c>
      <c r="DR9" s="20">
        <f t="shared" si="16"/>
        <v>48.630343659183183</v>
      </c>
      <c r="DS9" s="59">
        <f t="shared" si="17"/>
        <v>276.31725458153716</v>
      </c>
      <c r="DT9" s="59">
        <f ca="1">AVERAGE(OFFSET($DS$3,0,0,'Données projet'!$E$14+1,1))-AVERAGE(OFFSET($H$3,0,0,'Données projet'!$E$14+1,1))</f>
        <v>602.02351907077332</v>
      </c>
      <c r="DU9" s="59">
        <f t="shared" si="44"/>
        <v>278.08067690827272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60.096430251551084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60.096430251551084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60.096430251551084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60.096430251551084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2.2000000000000002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8.0666666666666682</v>
      </c>
      <c r="H10" s="67">
        <f t="shared" si="1"/>
        <v>224.4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60.26823504562168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5.8668181818181813</v>
      </c>
      <c r="N10" s="13">
        <f>IF('Données projet'!$A$36&gt;35,N9+M10-V9,IF(A10&lt;'Données projet'!$A$36,$K$205^A10,IF(A10='Données projet'!$A$36,'Données projet'!$B$36,N9+M10-V9)))</f>
        <v>4.6948987963973625</v>
      </c>
      <c r="O10" s="13">
        <f>N10*VLOOKUP('Données projet'!$B$9,Paramètres!$A$1:$I$89,3,0)*VLOOKUP('Données projet'!$B$9,Paramètres!$A$1:$I$89,5,0)</f>
        <v>2.8075494802456231</v>
      </c>
      <c r="P10" s="13">
        <f t="shared" si="33"/>
        <v>1.1473453828778812</v>
      </c>
      <c r="Q10" s="20">
        <f t="shared" si="2"/>
        <v>6.8881085532734367</v>
      </c>
      <c r="R10" s="59">
        <f t="shared" si="0"/>
        <v>236.42719260944182</v>
      </c>
      <c r="S10" s="59">
        <f ca="1">AVERAGE(OFFSET($R$3,0,0,'Données projet'!$E$9+1,1))-AVERAGE(OFFSET($H$3,0,0,'Données projet'!$E$9+1,1))</f>
        <v>360.09035401555587</v>
      </c>
      <c r="T10" s="59">
        <f t="shared" si="34"/>
        <v>266.54879627869821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60.26823504562168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3.8113157894736847</v>
      </c>
      <c r="AI10" s="13">
        <f>IF('Données projet'!$A$62&gt;35,AI9+AH10-AQ9,IF(A10&lt;'Données projet'!$A$62,$AF$205^A10,IF(A10='Données projet'!$A$62,'Données projet'!$B$62,AI9+AH10-AQ9)))</f>
        <v>26.679210526315792</v>
      </c>
      <c r="AJ10" s="13">
        <f>AI10*VLOOKUP('Données projet'!$B$10,Paramètres!$A$1:$I$89,3,0)*VLOOKUP('Données projet'!$B$10,Paramètres!$A$1:$I$89,5,0)</f>
        <v>22.474566947368427</v>
      </c>
      <c r="AK10" s="13">
        <f t="shared" si="35"/>
        <v>7.2095229067833655</v>
      </c>
      <c r="AL10" s="20">
        <f t="shared" si="4"/>
        <v>51.699789829314369</v>
      </c>
      <c r="AM10" s="59">
        <f t="shared" si="5"/>
        <v>281.23887388548275</v>
      </c>
      <c r="AN10" s="59">
        <f ca="1">AVERAGE(OFFSET($AM$3,0,0,'Données projet'!$E$10+1,1))-AVERAGE(OFFSET($H$3,0,0,'Données projet'!$E$10+1,1))</f>
        <v>377.26246345103175</v>
      </c>
      <c r="AO10" s="59">
        <f t="shared" si="36"/>
        <v>258.25890564000258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60.26823504562168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11.239444444444445</v>
      </c>
      <c r="BD10" s="12">
        <f>IF('Données projet'!$A$88&gt;35,BD9+BC10-BL9,IF(A10&lt;'Données projet'!$A$88,$BA$205^A10,IF(A10='Données projet'!$A$88,'Données projet'!$B$88,BD9+BC10-BL9)))</f>
        <v>7.884688221855062</v>
      </c>
      <c r="BE10" s="13">
        <f>BD10*VLOOKUP('Données projet'!$B$11,Paramètres!$A$1:$I$89,3,0)*VLOOKUP('Données projet'!$B$11,Paramètres!$A$1:$I$89,5,0)</f>
        <v>3.4850321940599378</v>
      </c>
      <c r="BF10" s="13">
        <f t="shared" si="37"/>
        <v>1.3888200842868066</v>
      </c>
      <c r="BG10" s="20">
        <f t="shared" si="7"/>
        <v>8.4886260514539114</v>
      </c>
      <c r="BH10" s="59">
        <f t="shared" si="8"/>
        <v>238.02771010762228</v>
      </c>
      <c r="BI10" s="59">
        <f ca="1">AVERAGE(OFFSET($BH$3,0,0,'Données projet'!$E$11+1,1))-AVERAGE(OFFSET($H$3,0,0,'Données projet'!$E$11+1,1))</f>
        <v>333.23043896066253</v>
      </c>
      <c r="BJ10" s="59">
        <f t="shared" si="38"/>
        <v>440.63438368668983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60.26823504562168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2.649969</v>
      </c>
      <c r="BY10" s="12">
        <f>IF('Données projet'!$A$114&gt;35,BY9+BX10-CG9,IF(A10&lt;'Données projet'!$A$114,$BV$205^A10,IF(A10='Données projet'!$A$114,'Données projet'!$B$114,BY9+BX10-CG9)))</f>
        <v>4.013236710153798</v>
      </c>
      <c r="BZ10" s="13">
        <f>BY10*VLOOKUP('Données projet'!$B$12,Paramètres!$A$1:$I$89,3,0)*VLOOKUP('Données projet'!$B$12,Paramètres!$A$1:$I$89,5,0)</f>
        <v>1.6173343941919804</v>
      </c>
      <c r="CA10" s="13">
        <f t="shared" si="39"/>
        <v>0.70477029005927905</v>
      </c>
      <c r="CB10" s="20">
        <f t="shared" si="10"/>
        <v>4.0443323250709433</v>
      </c>
      <c r="CC10" s="59">
        <f t="shared" si="11"/>
        <v>233.58341638123932</v>
      </c>
      <c r="CD10" s="59">
        <f ca="1">AVERAGE(OFFSET($CC$3,0,0,'Données projet'!$E$12+1,1))-AVERAGE(OFFSET($H$3,0,0,'Données projet'!$E$12+1,1))</f>
        <v>177.34129362526608</v>
      </c>
      <c r="CE10" s="59">
        <f t="shared" si="40"/>
        <v>156.93407673501022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60.26823504562168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3.510336649845994</v>
      </c>
      <c r="CV10" s="13">
        <f t="shared" si="41"/>
        <v>1.397726620379814</v>
      </c>
      <c r="CW10" s="20">
        <f t="shared" si="13"/>
        <v>8.5482101956432839</v>
      </c>
      <c r="CX10" s="59">
        <f t="shared" si="14"/>
        <v>238.08729425181167</v>
      </c>
      <c r="CY10" s="59">
        <f ca="1">AVERAGE(OFFSET($CX$3,0,0,'Données projet'!$E$13+1,1))-AVERAGE(OFFSET($H$3,0,0,'Données projet'!$E$13+1,1))</f>
        <v>267.49254683294629</v>
      </c>
      <c r="CZ10" s="59">
        <f t="shared" si="42"/>
        <v>278.02595256967254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60.26823504562168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3.887142857142857</v>
      </c>
      <c r="DO10" s="12">
        <f>IF('Données projet'!$A$166&gt;35,DO9+DN10-DW9,IF(A10&lt;'Données projet'!$A$166,$DL$205^A10,IF(A10='Données projet'!$A$166,'Données projet'!$B$166,DO9+DN10-DW9)))</f>
        <v>27.209999999999994</v>
      </c>
      <c r="DP10" s="17">
        <f>DO10*VLOOKUP('Données projet'!$B$14,Paramètres!$A$1:$I$89,3,0)*VLOOKUP('Données projet'!$B$14,Paramètres!$A$1:$I$89,5,0)</f>
        <v>24.619607999999992</v>
      </c>
      <c r="DQ10" s="13">
        <f t="shared" si="43"/>
        <v>7.8142639118614152</v>
      </c>
      <c r="DR10" s="20">
        <f t="shared" si="16"/>
        <v>56.488993579825284</v>
      </c>
      <c r="DS10" s="59">
        <f t="shared" si="17"/>
        <v>286.02807763599367</v>
      </c>
      <c r="DT10" s="59">
        <f ca="1">AVERAGE(OFFSET($DS$3,0,0,'Données projet'!$E$14+1,1))-AVERAGE(OFFSET($H$3,0,0,'Données projet'!$E$14+1,1))</f>
        <v>602.02351907077332</v>
      </c>
      <c r="DU10" s="59">
        <f t="shared" si="44"/>
        <v>278.08067690827272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60.26823504562168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60.26823504562168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60.26823504562168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60.26823504562168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2.2000000000000002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8.0666666666666682</v>
      </c>
      <c r="H11" s="67">
        <f t="shared" si="1"/>
        <v>224.4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60.437059410613145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5.8668181818181813</v>
      </c>
      <c r="N11" s="13">
        <f>IF('Données projet'!$A$36&gt;35,N10+M11-V10,IF(A11&lt;'Données projet'!$A$36,$K$205^A11,IF(A11='Données projet'!$A$36,'Données projet'!$B$36,N10+M11-V10)))</f>
        <v>5.8556193873498845</v>
      </c>
      <c r="O11" s="13">
        <f>N11*VLOOKUP('Données projet'!$B$9,Paramètres!$A$1:$I$89,3,0)*VLOOKUP('Données projet'!$B$9,Paramètres!$A$1:$I$89,5,0)</f>
        <v>3.5016603936352309</v>
      </c>
      <c r="P11" s="13">
        <f t="shared" si="33"/>
        <v>1.3946736396044743</v>
      </c>
      <c r="Q11" s="20">
        <f t="shared" si="2"/>
        <v>8.5277817745591538</v>
      </c>
      <c r="R11" s="59">
        <f t="shared" si="0"/>
        <v>239.9081107245851</v>
      </c>
      <c r="S11" s="59">
        <f ca="1">AVERAGE(OFFSET($R$3,0,0,'Données projet'!$E$9+1,1))-AVERAGE(OFFSET($H$3,0,0,'Données projet'!$E$9+1,1))</f>
        <v>360.09035401555587</v>
      </c>
      <c r="T11" s="59">
        <f t="shared" si="34"/>
        <v>266.54879627869821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60.437059410613145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3.8113157894736847</v>
      </c>
      <c r="AI11" s="13">
        <f>IF('Données projet'!$A$62&gt;35,AI10+AH11-AQ10,IF(A11&lt;'Données projet'!$A$62,$AF$205^A11,IF(A11='Données projet'!$A$62,'Données projet'!$B$62,AI10+AH11-AQ10)))</f>
        <v>30.490526315789477</v>
      </c>
      <c r="AJ11" s="13">
        <f>AI11*VLOOKUP('Données projet'!$B$10,Paramètres!$A$1:$I$89,3,0)*VLOOKUP('Données projet'!$B$10,Paramètres!$A$1:$I$89,5,0)</f>
        <v>25.685219368421055</v>
      </c>
      <c r="AK11" s="13">
        <f t="shared" si="35"/>
        <v>8.1123785937581836</v>
      </c>
      <c r="AL11" s="20">
        <f t="shared" si="4"/>
        <v>58.864149784128841</v>
      </c>
      <c r="AM11" s="59">
        <f t="shared" si="5"/>
        <v>290.24447873415477</v>
      </c>
      <c r="AN11" s="59">
        <f ca="1">AVERAGE(OFFSET($AM$3,0,0,'Données projet'!$E$10+1,1))-AVERAGE(OFFSET($H$3,0,0,'Données projet'!$E$10+1,1))</f>
        <v>377.26246345103175</v>
      </c>
      <c r="AO11" s="59">
        <f t="shared" si="36"/>
        <v>258.25890564000258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60.437059410613145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11.239444444444445</v>
      </c>
      <c r="BD11" s="12">
        <f>IF('Données projet'!$A$88&gt;35,BD10+BC11-BL10,IF(A11&lt;'Données projet'!$A$88,$BA$205^A11,IF(A11='Données projet'!$A$88,'Données projet'!$B$88,BD10+BC11-BL10)))</f>
        <v>10.5900156043029</v>
      </c>
      <c r="BE11" s="13">
        <f>BD11*VLOOKUP('Données projet'!$B$11,Paramètres!$A$1:$I$89,3,0)*VLOOKUP('Données projet'!$B$11,Paramètres!$A$1:$I$89,5,0)</f>
        <v>4.680786897101882</v>
      </c>
      <c r="BF11" s="13">
        <f t="shared" si="37"/>
        <v>1.8023777516219532</v>
      </c>
      <c r="BG11" s="20">
        <f t="shared" si="7"/>
        <v>11.291511763194011</v>
      </c>
      <c r="BH11" s="59">
        <f t="shared" si="8"/>
        <v>242.67184071321998</v>
      </c>
      <c r="BI11" s="59">
        <f ca="1">AVERAGE(OFFSET($BH$3,0,0,'Données projet'!$E$11+1,1))-AVERAGE(OFFSET($H$3,0,0,'Données projet'!$E$11+1,1))</f>
        <v>333.23043896066253</v>
      </c>
      <c r="BJ11" s="59">
        <f t="shared" si="38"/>
        <v>440.63438368668983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60.437059410613145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2.649969</v>
      </c>
      <c r="BY11" s="12">
        <f>IF('Données projet'!$A$114&gt;35,BY10+BX11-CG10,IF(A11&lt;'Données projet'!$A$114,$BV$205^A11,IF(A11='Données projet'!$A$114,'Données projet'!$B$114,BY10+BX11-CG10)))</f>
        <v>4.8944998063189988</v>
      </c>
      <c r="BZ11" s="13">
        <f>BY11*VLOOKUP('Données projet'!$B$12,Paramètres!$A$1:$I$89,3,0)*VLOOKUP('Données projet'!$B$12,Paramètres!$A$1:$I$89,5,0)</f>
        <v>1.9724834219465566</v>
      </c>
      <c r="CA11" s="13">
        <f t="shared" si="39"/>
        <v>0.83989669315103233</v>
      </c>
      <c r="CB11" s="20">
        <f t="shared" si="10"/>
        <v>4.8982287004616332</v>
      </c>
      <c r="CC11" s="59">
        <f t="shared" si="11"/>
        <v>236.27855765048758</v>
      </c>
      <c r="CD11" s="59">
        <f ca="1">AVERAGE(OFFSET($CC$3,0,0,'Données projet'!$E$12+1,1))-AVERAGE(OFFSET($H$3,0,0,'Données projet'!$E$12+1,1))</f>
        <v>177.34129362526608</v>
      </c>
      <c r="CE11" s="59">
        <f t="shared" si="40"/>
        <v>156.93407673501022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60.437059410613145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4.4615733451526163</v>
      </c>
      <c r="CV11" s="13">
        <f t="shared" si="41"/>
        <v>1.7275860727911023</v>
      </c>
      <c r="CW11" s="20">
        <f t="shared" si="13"/>
        <v>10.779452652918643</v>
      </c>
      <c r="CX11" s="59">
        <f t="shared" si="14"/>
        <v>242.15978160294461</v>
      </c>
      <c r="CY11" s="59">
        <f ca="1">AVERAGE(OFFSET($CX$3,0,0,'Données projet'!$E$13+1,1))-AVERAGE(OFFSET($H$3,0,0,'Données projet'!$E$13+1,1))</f>
        <v>267.49254683294629</v>
      </c>
      <c r="CZ11" s="59">
        <f t="shared" si="42"/>
        <v>278.02595256967254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60.437059410613145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3.887142857142857</v>
      </c>
      <c r="DO11" s="12">
        <f>IF('Données projet'!$A$166&gt;35,DO10+DN11-DW10,IF(A11&lt;'Données projet'!$A$166,$DL$205^A11,IF(A11='Données projet'!$A$166,'Données projet'!$B$166,DO10+DN11-DW10)))</f>
        <v>31.097142857142849</v>
      </c>
      <c r="DP11" s="17">
        <f>DO11*VLOOKUP('Données projet'!$B$14,Paramètres!$A$1:$I$89,3,0)*VLOOKUP('Données projet'!$B$14,Paramètres!$A$1:$I$89,5,0)</f>
        <v>28.136694857142849</v>
      </c>
      <c r="DQ11" s="13">
        <f t="shared" si="43"/>
        <v>8.792851913254415</v>
      </c>
      <c r="DR11" s="20">
        <f t="shared" si="16"/>
        <v>64.318960625108559</v>
      </c>
      <c r="DS11" s="59">
        <f t="shared" si="17"/>
        <v>295.69928957513451</v>
      </c>
      <c r="DT11" s="59">
        <f ca="1">AVERAGE(OFFSET($DS$3,0,0,'Données projet'!$E$14+1,1))-AVERAGE(OFFSET($H$3,0,0,'Données projet'!$E$14+1,1))</f>
        <v>602.02351907077332</v>
      </c>
      <c r="DU11" s="59">
        <f t="shared" si="44"/>
        <v>278.08067690827272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60.437059410613145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60.437059410613145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60.437059410613145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60.437059410613145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2.2000000000000002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8.0666666666666682</v>
      </c>
      <c r="H12" s="67">
        <f t="shared" si="1"/>
        <v>224.4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60.602955050306733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5.8668181818181813</v>
      </c>
      <c r="N12" s="13">
        <f>IF('Données projet'!$A$36&gt;35,N11+M12-V11,IF(A12&lt;'Données projet'!$A$36,$K$205^A12,IF(A12='Données projet'!$A$36,'Données projet'!$B$36,N11+M12-V11)))</f>
        <v>7.3033051182741131</v>
      </c>
      <c r="O12" s="13">
        <f>N12*VLOOKUP('Données projet'!$B$9,Paramètres!$A$1:$I$89,3,0)*VLOOKUP('Données projet'!$B$9,Paramètres!$A$1:$I$89,5,0)</f>
        <v>4.36737646072792</v>
      </c>
      <c r="P12" s="13">
        <f t="shared" si="33"/>
        <v>1.6953173735084623</v>
      </c>
      <c r="Q12" s="20">
        <f t="shared" si="2"/>
        <v>10.559191761295033</v>
      </c>
      <c r="R12" s="59">
        <f t="shared" si="0"/>
        <v>243.77002694575305</v>
      </c>
      <c r="S12" s="59">
        <f ca="1">AVERAGE(OFFSET($R$3,0,0,'Données projet'!$E$9+1,1))-AVERAGE(OFFSET($H$3,0,0,'Données projet'!$E$9+1,1))</f>
        <v>360.09035401555587</v>
      </c>
      <c r="T12" s="59">
        <f t="shared" si="34"/>
        <v>266.54879627869821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60.602955050306733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3.8113157894736847</v>
      </c>
      <c r="AI12" s="13">
        <f>IF('Données projet'!$A$62&gt;35,AI11+AH12-AQ11,IF(A12&lt;'Données projet'!$A$62,$AF$205^A12,IF(A12='Données projet'!$A$62,'Données projet'!$B$62,AI11+AH12-AQ11)))</f>
        <v>34.301842105263162</v>
      </c>
      <c r="AJ12" s="13">
        <f>AI12*VLOOKUP('Données projet'!$B$10,Paramètres!$A$1:$I$89,3,0)*VLOOKUP('Données projet'!$B$10,Paramètres!$A$1:$I$89,5,0)</f>
        <v>28.895871789473688</v>
      </c>
      <c r="AK12" s="13">
        <f t="shared" si="35"/>
        <v>9.002156924440559</v>
      </c>
      <c r="AL12" s="20">
        <f t="shared" si="4"/>
        <v>66.005733343400635</v>
      </c>
      <c r="AM12" s="59">
        <f t="shared" si="5"/>
        <v>299.21656852785861</v>
      </c>
      <c r="AN12" s="59">
        <f ca="1">AVERAGE(OFFSET($AM$3,0,0,'Données projet'!$E$10+1,1))-AVERAGE(OFFSET($H$3,0,0,'Données projet'!$E$10+1,1))</f>
        <v>377.26246345103175</v>
      </c>
      <c r="AO12" s="59">
        <f t="shared" si="36"/>
        <v>258.25890564000258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60.602955050306733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11.239444444444445</v>
      </c>
      <c r="BD12" s="12">
        <f>IF('Données projet'!$A$88&gt;35,BD11+BC12-BL11,IF(A12&lt;'Données projet'!$A$88,$BA$205^A12,IF(A12='Données projet'!$A$88,'Données projet'!$B$88,BD11+BC12-BL11)))</f>
        <v>14.223571984561403</v>
      </c>
      <c r="BE12" s="13">
        <f>BD12*VLOOKUP('Données projet'!$B$11,Paramètres!$A$1:$I$89,3,0)*VLOOKUP('Données projet'!$B$11,Paramètres!$A$1:$I$89,5,0)</f>
        <v>6.2868188171761403</v>
      </c>
      <c r="BF12" s="13">
        <f t="shared" si="37"/>
        <v>2.339083079440075</v>
      </c>
      <c r="BG12" s="20">
        <f t="shared" si="7"/>
        <v>15.023445803273242</v>
      </c>
      <c r="BH12" s="59">
        <f t="shared" si="8"/>
        <v>248.23428098773124</v>
      </c>
      <c r="BI12" s="59">
        <f ca="1">AVERAGE(OFFSET($BH$3,0,0,'Données projet'!$E$11+1,1))-AVERAGE(OFFSET($H$3,0,0,'Données projet'!$E$11+1,1))</f>
        <v>333.23043896066253</v>
      </c>
      <c r="BJ12" s="59">
        <f t="shared" si="38"/>
        <v>440.63438368668983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60.602955050306733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2.649969</v>
      </c>
      <c r="BY12" s="12">
        <f>IF('Données projet'!$A$114&gt;35,BY11+BX12-CG11,IF(A12&lt;'Données projet'!$A$114,$BV$205^A12,IF(A12='Données projet'!$A$114,'Données projet'!$B$114,BY11+BX12-CG11)))</f>
        <v>5.9692786855671551</v>
      </c>
      <c r="BZ12" s="13">
        <f>BY12*VLOOKUP('Données projet'!$B$12,Paramètres!$A$1:$I$89,3,0)*VLOOKUP('Données projet'!$B$12,Paramètres!$A$1:$I$89,5,0)</f>
        <v>2.4056193102835635</v>
      </c>
      <c r="CA12" s="13">
        <f t="shared" si="39"/>
        <v>1.0009310340064206</v>
      </c>
      <c r="CB12" s="20">
        <f t="shared" si="10"/>
        <v>5.9330751829717228</v>
      </c>
      <c r="CC12" s="59">
        <f t="shared" si="11"/>
        <v>239.14391036742973</v>
      </c>
      <c r="CD12" s="59">
        <f ca="1">AVERAGE(OFFSET($CC$3,0,0,'Données projet'!$E$12+1,1))-AVERAGE(OFFSET($H$3,0,0,'Données projet'!$E$12+1,1))</f>
        <v>177.34129362526608</v>
      </c>
      <c r="CE12" s="59">
        <f t="shared" si="40"/>
        <v>156.93407673501022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60.602955050306733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5.6705776966005823</v>
      </c>
      <c r="CV12" s="13">
        <f t="shared" si="41"/>
        <v>2.1352914049034637</v>
      </c>
      <c r="CW12" s="20">
        <f t="shared" si="13"/>
        <v>13.59522201845288</v>
      </c>
      <c r="CX12" s="59">
        <f t="shared" si="14"/>
        <v>246.80605720291089</v>
      </c>
      <c r="CY12" s="59">
        <f ca="1">AVERAGE(OFFSET($CX$3,0,0,'Données projet'!$E$13+1,1))-AVERAGE(OFFSET($H$3,0,0,'Données projet'!$E$13+1,1))</f>
        <v>267.49254683294629</v>
      </c>
      <c r="CZ12" s="59">
        <f t="shared" si="42"/>
        <v>278.02595256967254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60.602955050306733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3.887142857142857</v>
      </c>
      <c r="DO12" s="12">
        <f>IF('Données projet'!$A$166&gt;35,DO11+DN12-DW11,IF(A12&lt;'Données projet'!$A$166,$DL$205^A12,IF(A12='Données projet'!$A$166,'Données projet'!$B$166,DO11+DN12-DW11)))</f>
        <v>34.984285714285704</v>
      </c>
      <c r="DP12" s="17">
        <f>DO12*VLOOKUP('Données projet'!$B$14,Paramètres!$A$1:$I$89,3,0)*VLOOKUP('Données projet'!$B$14,Paramètres!$A$1:$I$89,5,0)</f>
        <v>31.653781714285703</v>
      </c>
      <c r="DQ12" s="13">
        <f t="shared" si="43"/>
        <v>9.757265618420071</v>
      </c>
      <c r="DR12" s="20">
        <f t="shared" si="16"/>
        <v>72.124240771129223</v>
      </c>
      <c r="DS12" s="59">
        <f t="shared" si="17"/>
        <v>305.33507595558723</v>
      </c>
      <c r="DT12" s="59">
        <f ca="1">AVERAGE(OFFSET($DS$3,0,0,'Données projet'!$E$14+1,1))-AVERAGE(OFFSET($H$3,0,0,'Données projet'!$E$14+1,1))</f>
        <v>602.02351907077332</v>
      </c>
      <c r="DU12" s="59">
        <f t="shared" si="44"/>
        <v>278.08067690827272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60.602955050306733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60.602955050306733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60.602955050306733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60.602955050306733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2.2000000000000002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8.0666666666666682</v>
      </c>
      <c r="H13" s="67">
        <f t="shared" si="1"/>
        <v>224.4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60.765972771538728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5.8668181818181813</v>
      </c>
      <c r="N13" s="13">
        <f>IF('Données projet'!$A$36&gt;35,N12+M13-V12,IF(A13&lt;'Données projet'!$A$36,$K$205^A13,IF(A13='Données projet'!$A$36,'Données projet'!$B$36,N12+M13-V12)))</f>
        <v>9.1089024272714045</v>
      </c>
      <c r="O13" s="13">
        <f>N13*VLOOKUP('Données projet'!$B$9,Paramètres!$A$1:$I$89,3,0)*VLOOKUP('Données projet'!$B$9,Paramètres!$A$1:$I$89,5,0)</f>
        <v>5.4471236515083001</v>
      </c>
      <c r="P13" s="13">
        <f t="shared" si="33"/>
        <v>2.0607695702449207</v>
      </c>
      <c r="Q13" s="20">
        <f t="shared" si="2"/>
        <v>13.076247361220192</v>
      </c>
      <c r="R13" s="59">
        <f t="shared" si="0"/>
        <v>248.10703641241773</v>
      </c>
      <c r="S13" s="59">
        <f ca="1">AVERAGE(OFFSET($R$3,0,0,'Données projet'!$E$9+1,1))-AVERAGE(OFFSET($H$3,0,0,'Données projet'!$E$9+1,1))</f>
        <v>360.09035401555587</v>
      </c>
      <c r="T13" s="59">
        <f t="shared" si="34"/>
        <v>266.54879627869821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60.765972771538728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3.8113157894736847</v>
      </c>
      <c r="AI13" s="13">
        <f>IF('Données projet'!$A$62&gt;35,AI12+AH13-AQ12,IF(A13&lt;'Données projet'!$A$62,$AF$205^A13,IF(A13='Données projet'!$A$62,'Données projet'!$B$62,AI12+AH13-AQ12)))</f>
        <v>38.113157894736844</v>
      </c>
      <c r="AJ13" s="13">
        <f>AI13*VLOOKUP('Données projet'!$B$10,Paramètres!$A$1:$I$89,3,0)*VLOOKUP('Données projet'!$B$10,Paramètres!$A$1:$I$89,5,0)</f>
        <v>32.106524210526324</v>
      </c>
      <c r="AK13" s="13">
        <f t="shared" si="35"/>
        <v>9.8804766895811049</v>
      </c>
      <c r="AL13" s="20">
        <f t="shared" si="4"/>
        <v>73.127359901020441</v>
      </c>
      <c r="AM13" s="59">
        <f t="shared" si="5"/>
        <v>308.15814895221797</v>
      </c>
      <c r="AN13" s="59">
        <f ca="1">AVERAGE(OFFSET($AM$3,0,0,'Données projet'!$E$10+1,1))-AVERAGE(OFFSET($H$3,0,0,'Données projet'!$E$10+1,1))</f>
        <v>377.26246345103175</v>
      </c>
      <c r="AO13" s="59">
        <f t="shared" si="36"/>
        <v>258.25890564000258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60.765972771538728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11.239444444444445</v>
      </c>
      <c r="BD13" s="12">
        <f>IF('Données projet'!$A$88&gt;35,BD12+BC13-BL12,IF(A13&lt;'Données projet'!$A$88,$BA$205^A13,IF(A13='Données projet'!$A$88,'Données projet'!$B$88,BD12+BC13-BL12)))</f>
        <v>19.103843427558129</v>
      </c>
      <c r="BE13" s="13">
        <f>BD13*VLOOKUP('Données projet'!$B$11,Paramètres!$A$1:$I$89,3,0)*VLOOKUP('Données projet'!$B$11,Paramètres!$A$1:$I$89,5,0)</f>
        <v>8.4438987949806936</v>
      </c>
      <c r="BF13" s="13">
        <f t="shared" si="37"/>
        <v>3.0356065189992774</v>
      </c>
      <c r="BG13" s="20">
        <f t="shared" si="7"/>
        <v>19.99347175518178</v>
      </c>
      <c r="BH13" s="59">
        <f t="shared" si="8"/>
        <v>255.02426080637932</v>
      </c>
      <c r="BI13" s="59">
        <f ca="1">AVERAGE(OFFSET($BH$3,0,0,'Données projet'!$E$11+1,1))-AVERAGE(OFFSET($H$3,0,0,'Données projet'!$E$11+1,1))</f>
        <v>333.23043896066253</v>
      </c>
      <c r="BJ13" s="59">
        <f t="shared" si="38"/>
        <v>440.63438368668983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60.765972771538728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2.649969</v>
      </c>
      <c r="BY13" s="12">
        <f>IF('Données projet'!$A$114&gt;35,BY12+BX13-CG12,IF(A13&lt;'Données projet'!$A$114,$BV$205^A13,IF(A13='Données projet'!$A$114,'Données projet'!$B$114,BY12+BX13-CG12)))</f>
        <v>7.280067307381155</v>
      </c>
      <c r="BZ13" s="13">
        <f>BY13*VLOOKUP('Données projet'!$B$12,Paramètres!$A$1:$I$89,3,0)*VLOOKUP('Données projet'!$B$12,Paramètres!$A$1:$I$89,5,0)</f>
        <v>2.9338671248746051</v>
      </c>
      <c r="CA13" s="13">
        <f t="shared" si="39"/>
        <v>1.1928406707716432</v>
      </c>
      <c r="CB13" s="20">
        <f t="shared" si="10"/>
        <v>7.1873494107505485</v>
      </c>
      <c r="CC13" s="59">
        <f t="shared" si="11"/>
        <v>242.21813846194809</v>
      </c>
      <c r="CD13" s="59">
        <f ca="1">AVERAGE(OFFSET($CC$3,0,0,'Données projet'!$E$12+1,1))-AVERAGE(OFFSET($H$3,0,0,'Données projet'!$E$12+1,1))</f>
        <v>177.34129362526608</v>
      </c>
      <c r="CE13" s="59">
        <f t="shared" si="40"/>
        <v>156.93407673501022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60.765972771538728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7.2072000000000003</v>
      </c>
      <c r="CV13" s="13">
        <f t="shared" si="41"/>
        <v>2.6392140198770462</v>
      </c>
      <c r="CW13" s="20">
        <f t="shared" si="13"/>
        <v>17.149171084619187</v>
      </c>
      <c r="CX13" s="59">
        <f t="shared" si="14"/>
        <v>252.17996013581671</v>
      </c>
      <c r="CY13" s="59">
        <f ca="1">AVERAGE(OFFSET($CX$3,0,0,'Données projet'!$E$13+1,1))-AVERAGE(OFFSET($H$3,0,0,'Données projet'!$E$13+1,1))</f>
        <v>267.49254683294629</v>
      </c>
      <c r="CZ13" s="59">
        <f t="shared" si="42"/>
        <v>278.02595256967254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1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60.765972771538728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3.887142857142857</v>
      </c>
      <c r="DO13" s="12">
        <f>IF('Données projet'!$A$166&gt;35,DO12+DN13-DW12,IF(A13&lt;'Données projet'!$A$166,$DL$205^A13,IF(A13='Données projet'!$A$166,'Données projet'!$B$166,DO12+DN13-DW12)))</f>
        <v>38.871428571428559</v>
      </c>
      <c r="DP13" s="17">
        <f>DO13*VLOOKUP('Données projet'!$B$14,Paramètres!$A$1:$I$89,3,0)*VLOOKUP('Données projet'!$B$14,Paramètres!$A$1:$I$89,5,0)</f>
        <v>35.170868571428556</v>
      </c>
      <c r="DQ13" s="13">
        <f t="shared" si="43"/>
        <v>10.709259603674569</v>
      </c>
      <c r="DR13" s="20">
        <f t="shared" si="16"/>
        <v>79.90788990497127</v>
      </c>
      <c r="DS13" s="59">
        <f t="shared" si="17"/>
        <v>314.93867895616881</v>
      </c>
      <c r="DT13" s="59">
        <f ca="1">AVERAGE(OFFSET($DS$3,0,0,'Données projet'!$E$14+1,1))-AVERAGE(OFFSET($H$3,0,0,'Données projet'!$E$14+1,1))</f>
        <v>602.02351907077332</v>
      </c>
      <c r="DU13" s="59">
        <f t="shared" si="44"/>
        <v>278.08067690827272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60.765972771538728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60.765972771538728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60.765972771538728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60.765972771538728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2.2000000000000002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8.0666666666666682</v>
      </c>
      <c r="H14" s="67">
        <f t="shared" si="1"/>
        <v>224.4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60.926162499760366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5.8668181818181813</v>
      </c>
      <c r="N14" s="13">
        <f>IF('Données projet'!$A$36&gt;35,N13+M14-V13,IF(A14&lt;'Données projet'!$A$36,$K$205^A14,IF(A14='Données projet'!$A$36,'Données projet'!$B$36,N13+M14-V13)))</f>
        <v>11.360897851842525</v>
      </c>
      <c r="O14" s="13">
        <f>N14*VLOOKUP('Données projet'!$B$9,Paramètres!$A$1:$I$89,3,0)*VLOOKUP('Données projet'!$B$9,Paramètres!$A$1:$I$89,5,0)</f>
        <v>6.7938169154018313</v>
      </c>
      <c r="P14" s="13">
        <f t="shared" si="33"/>
        <v>2.50500070842708</v>
      </c>
      <c r="Q14" s="20">
        <f t="shared" si="2"/>
        <v>16.195440694835355</v>
      </c>
      <c r="R14" s="59">
        <f t="shared" si="0"/>
        <v>253.03581430506784</v>
      </c>
      <c r="S14" s="59">
        <f ca="1">AVERAGE(OFFSET($R$3,0,0,'Données projet'!$E$9+1,1))-AVERAGE(OFFSET($H$3,0,0,'Données projet'!$E$9+1,1))</f>
        <v>360.09035401555587</v>
      </c>
      <c r="T14" s="59">
        <f t="shared" si="34"/>
        <v>266.54879627869821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60.926162499760366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3.8113157894736847</v>
      </c>
      <c r="AI14" s="13">
        <f>IF('Données projet'!$A$62&gt;35,AI13+AH14-AQ13,IF(A14&lt;'Données projet'!$A$62,$AF$205^A14,IF(A14='Données projet'!$A$62,'Données projet'!$B$62,AI13+AH14-AQ13)))</f>
        <v>41.924473684210525</v>
      </c>
      <c r="AJ14" s="13">
        <f>AI14*VLOOKUP('Données projet'!$B$10,Paramètres!$A$1:$I$89,3,0)*VLOOKUP('Données projet'!$B$10,Paramètres!$A$1:$I$89,5,0)</f>
        <v>35.317176631578953</v>
      </c>
      <c r="AK14" s="13">
        <f t="shared" si="35"/>
        <v>10.748614186761438</v>
      </c>
      <c r="AL14" s="20">
        <f t="shared" si="4"/>
        <v>80.231252341942835</v>
      </c>
      <c r="AM14" s="59">
        <f t="shared" si="5"/>
        <v>317.07162595217534</v>
      </c>
      <c r="AN14" s="59">
        <f ca="1">AVERAGE(OFFSET($AM$3,0,0,'Données projet'!$E$10+1,1))-AVERAGE(OFFSET($H$3,0,0,'Données projet'!$E$10+1,1))</f>
        <v>377.26246345103175</v>
      </c>
      <c r="AO14" s="59">
        <f t="shared" si="36"/>
        <v>258.25890564000258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60.926162499760366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11.239444444444445</v>
      </c>
      <c r="BD14" s="12">
        <f>IF('Données projet'!$A$88&gt;35,BD13+BC14-BL13,IF(A14&lt;'Données projet'!$A$88,$BA$205^A14,IF(A14='Données projet'!$A$88,'Données projet'!$B$88,BD13+BC14-BL13)))</f>
        <v>25.658592236942212</v>
      </c>
      <c r="BE14" s="13">
        <f>BD14*VLOOKUP('Données projet'!$B$11,Paramètres!$A$1:$I$89,3,0)*VLOOKUP('Données projet'!$B$11,Paramètres!$A$1:$I$89,5,0)</f>
        <v>11.341097768728458</v>
      </c>
      <c r="BF14" s="13">
        <f t="shared" si="37"/>
        <v>3.9395381118300254</v>
      </c>
      <c r="BG14" s="20">
        <f t="shared" si="7"/>
        <v>26.613774158639355</v>
      </c>
      <c r="BH14" s="59">
        <f t="shared" si="8"/>
        <v>263.45414776887185</v>
      </c>
      <c r="BI14" s="59">
        <f ca="1">AVERAGE(OFFSET($BH$3,0,0,'Données projet'!$E$11+1,1))-AVERAGE(OFFSET($H$3,0,0,'Données projet'!$E$11+1,1))</f>
        <v>333.23043896066253</v>
      </c>
      <c r="BJ14" s="59">
        <f t="shared" si="38"/>
        <v>440.63438368668983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60.926162499760366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2.649969</v>
      </c>
      <c r="BY14" s="12">
        <f>IF('Données projet'!$A$114&gt;35,BY13+BX14-CG13,IF(A14&lt;'Données projet'!$A$114,$BV$205^A14,IF(A14='Données projet'!$A$114,'Données projet'!$B$114,BY13+BX14-CG13)))</f>
        <v>8.8786908421857866</v>
      </c>
      <c r="BZ14" s="13">
        <f>BY14*VLOOKUP('Données projet'!$B$12,Paramètres!$A$1:$I$89,3,0)*VLOOKUP('Données projet'!$B$12,Paramètres!$A$1:$I$89,5,0)</f>
        <v>3.5781124094008718</v>
      </c>
      <c r="CA14" s="13">
        <f t="shared" si="39"/>
        <v>1.4215453587762539</v>
      </c>
      <c r="CB14" s="20">
        <f t="shared" si="10"/>
        <v>8.7077372795751593</v>
      </c>
      <c r="CC14" s="59">
        <f t="shared" si="11"/>
        <v>245.54811088980765</v>
      </c>
      <c r="CD14" s="59">
        <f ca="1">AVERAGE(OFFSET($CC$3,0,0,'Données projet'!$E$12+1,1))-AVERAGE(OFFSET($H$3,0,0,'Données projet'!$E$12+1,1))</f>
        <v>177.34129362526608</v>
      </c>
      <c r="CE14" s="59">
        <f t="shared" si="40"/>
        <v>156.93407673501022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60.926162499760366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6.8</v>
      </c>
      <c r="CT14" s="12">
        <f>IF('Données projet'!$A$140&gt;35,CT13+CS14-DB13,IF(A14&lt;'Données projet'!$A$140,$CQ$205^A14,IF(A14='Données projet'!$A$140,'Données projet'!$B$140,CT13+CS14-DB13)))</f>
        <v>16.8</v>
      </c>
      <c r="CU14" s="17">
        <f>CT14*VLOOKUP('Données projet'!$B$13,Paramètres!$A$1:$I$89,3,0)*VLOOKUP('Données projet'!$B$13,Paramètres!$A$1:$I$89,5,0)</f>
        <v>11.00736</v>
      </c>
      <c r="CV14" s="13">
        <f t="shared" si="41"/>
        <v>3.8369250365307539</v>
      </c>
      <c r="CW14" s="20">
        <f t="shared" si="13"/>
        <v>25.853796438624396</v>
      </c>
      <c r="CX14" s="59">
        <f t="shared" si="14"/>
        <v>262.6941700488569</v>
      </c>
      <c r="CY14" s="59">
        <f ca="1">AVERAGE(OFFSET($CX$3,0,0,'Données projet'!$E$13+1,1))-AVERAGE(OFFSET($H$3,0,0,'Données projet'!$E$13+1,1))</f>
        <v>267.49254683294629</v>
      </c>
      <c r="CZ14" s="59">
        <f t="shared" si="42"/>
        <v>278.02595256967254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60.926162499760366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3.887142857142857</v>
      </c>
      <c r="DO14" s="12">
        <f>IF('Données projet'!$A$166&gt;35,DO13+DN14-DW13,IF(A14&lt;'Données projet'!$A$166,$DL$205^A14,IF(A14='Données projet'!$A$166,'Données projet'!$B$166,DO13+DN14-DW13)))</f>
        <v>42.758571428571415</v>
      </c>
      <c r="DP14" s="17">
        <f>DO14*VLOOKUP('Données projet'!$B$14,Paramètres!$A$1:$I$89,3,0)*VLOOKUP('Données projet'!$B$14,Paramètres!$A$1:$I$89,5,0)</f>
        <v>38.687955428571414</v>
      </c>
      <c r="DQ14" s="13">
        <f t="shared" si="43"/>
        <v>11.650217223542473</v>
      </c>
      <c r="DR14" s="20">
        <f t="shared" si="16"/>
        <v>87.672317369098337</v>
      </c>
      <c r="DS14" s="59">
        <f t="shared" si="17"/>
        <v>324.51269097933084</v>
      </c>
      <c r="DT14" s="59">
        <f ca="1">AVERAGE(OFFSET($DS$3,0,0,'Données projet'!$E$14+1,1))-AVERAGE(OFFSET($H$3,0,0,'Données projet'!$E$14+1,1))</f>
        <v>602.02351907077332</v>
      </c>
      <c r="DU14" s="59">
        <f t="shared" si="44"/>
        <v>278.08067690827272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60.926162499760366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60.926162499760366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60.926162499760366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60.926162499760366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2.2000000000000002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8.0666666666666682</v>
      </c>
      <c r="H15" s="67">
        <f t="shared" si="1"/>
        <v>224.4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61.083573294327948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5.8668181818181813</v>
      </c>
      <c r="N15" s="13">
        <f>IF('Données projet'!$A$36&gt;35,N14+M15-V14,IF(A15&lt;'Données projet'!$A$36,$K$205^A15,IF(A15='Données projet'!$A$36,'Données projet'!$B$36,N14+M15-V14)))</f>
        <v>14.169654470507195</v>
      </c>
      <c r="O15" s="13">
        <f>N15*VLOOKUP('Données projet'!$B$9,Paramètres!$A$1:$I$89,3,0)*VLOOKUP('Données projet'!$B$9,Paramètres!$A$1:$I$89,5,0)</f>
        <v>8.4734533733633022</v>
      </c>
      <c r="P15" s="13">
        <f t="shared" si="33"/>
        <v>3.044992822013763</v>
      </c>
      <c r="Q15" s="20">
        <f t="shared" si="2"/>
        <v>20.06129379028172</v>
      </c>
      <c r="R15" s="59">
        <f t="shared" si="0"/>
        <v>258.70106253615086</v>
      </c>
      <c r="S15" s="59">
        <f ca="1">AVERAGE(OFFSET($R$3,0,0,'Données projet'!$E$9+1,1))-AVERAGE(OFFSET($H$3,0,0,'Données projet'!$E$9+1,1))</f>
        <v>360.09035401555587</v>
      </c>
      <c r="T15" s="59">
        <f t="shared" si="34"/>
        <v>266.54879627869821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61.083573294327948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3.8113157894736847</v>
      </c>
      <c r="AI15" s="13">
        <f>IF('Données projet'!$A$62&gt;35,AI14+AH15-AQ14,IF(A15&lt;'Données projet'!$A$62,$AF$205^A15,IF(A15='Données projet'!$A$62,'Données projet'!$B$62,AI14+AH15-AQ14)))</f>
        <v>45.735789473684207</v>
      </c>
      <c r="AJ15" s="13">
        <f>AI15*VLOOKUP('Données projet'!$B$10,Paramètres!$A$1:$I$89,3,0)*VLOOKUP('Données projet'!$B$10,Paramètres!$A$1:$I$89,5,0)</f>
        <v>38.527829052631581</v>
      </c>
      <c r="AK15" s="13">
        <f t="shared" si="35"/>
        <v>11.607600349597307</v>
      </c>
      <c r="AL15" s="20">
        <f t="shared" si="4"/>
        <v>87.319206208881965</v>
      </c>
      <c r="AM15" s="59">
        <f t="shared" si="5"/>
        <v>325.95897495475111</v>
      </c>
      <c r="AN15" s="59">
        <f ca="1">AVERAGE(OFFSET($AM$3,0,0,'Données projet'!$E$10+1,1))-AVERAGE(OFFSET($H$3,0,0,'Données projet'!$E$10+1,1))</f>
        <v>377.26246345103175</v>
      </c>
      <c r="AO15" s="59">
        <f t="shared" si="36"/>
        <v>258.25890564000258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61.083573294327948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11.239444444444445</v>
      </c>
      <c r="BD15" s="12">
        <f>IF('Données projet'!$A$88&gt;35,BD14+BC15-BL14,IF(A15&lt;'Données projet'!$A$88,$BA$205^A15,IF(A15='Données projet'!$A$88,'Données projet'!$B$88,BD14+BC15-BL14)))</f>
        <v>34.462350891755804</v>
      </c>
      <c r="BE15" s="13">
        <f>BD15*VLOOKUP('Données projet'!$B$11,Paramètres!$A$1:$I$89,3,0)*VLOOKUP('Données projet'!$B$11,Paramètres!$A$1:$I$89,5,0)</f>
        <v>15.232359094156067</v>
      </c>
      <c r="BF15" s="13">
        <f t="shared" si="37"/>
        <v>5.1126390846194427</v>
      </c>
      <c r="BG15" s="20">
        <f t="shared" si="7"/>
        <v>35.434205161367345</v>
      </c>
      <c r="BH15" s="59">
        <f t="shared" si="8"/>
        <v>274.07397390723645</v>
      </c>
      <c r="BI15" s="59">
        <f ca="1">AVERAGE(OFFSET($BH$3,0,0,'Données projet'!$E$11+1,1))-AVERAGE(OFFSET($H$3,0,0,'Données projet'!$E$11+1,1))</f>
        <v>333.23043896066253</v>
      </c>
      <c r="BJ15" s="59">
        <f t="shared" si="38"/>
        <v>440.63438368668983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61.083573294327948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2.649969</v>
      </c>
      <c r="BY15" s="12">
        <f>IF('Données projet'!$A$114&gt;35,BY14+BX15-CG14,IF(A15&lt;'Données projet'!$A$114,$BV$205^A15,IF(A15='Données projet'!$A$114,'Données projet'!$B$114,BY14+BX15-CG14)))</f>
        <v>10.828354703697311</v>
      </c>
      <c r="BZ15" s="13">
        <f>BY15*VLOOKUP('Données projet'!$B$12,Paramètres!$A$1:$I$89,3,0)*VLOOKUP('Données projet'!$B$12,Paramètres!$A$1:$I$89,5,0)</f>
        <v>4.3638269455900165</v>
      </c>
      <c r="CA15" s="13">
        <f t="shared" si="39"/>
        <v>1.6940998547199666</v>
      </c>
      <c r="CB15" s="20">
        <f t="shared" si="10"/>
        <v>10.550889177206551</v>
      </c>
      <c r="CC15" s="59">
        <f t="shared" si="11"/>
        <v>249.19065792307569</v>
      </c>
      <c r="CD15" s="59">
        <f ca="1">AVERAGE(OFFSET($CC$3,0,0,'Données projet'!$E$12+1,1))-AVERAGE(OFFSET($H$3,0,0,'Données projet'!$E$12+1,1))</f>
        <v>177.34129362526608</v>
      </c>
      <c r="CE15" s="59">
        <f t="shared" si="40"/>
        <v>156.93407673501022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61.083573294327948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6.8</v>
      </c>
      <c r="CT15" s="12">
        <f>IF('Données projet'!$A$140&gt;35,CT14+CS15-DB14,IF(A15&lt;'Données projet'!$A$140,$CQ$205^A15,IF(A15='Données projet'!$A$140,'Données projet'!$B$140,CT14+CS15-DB14)))</f>
        <v>23.6</v>
      </c>
      <c r="CU15" s="17">
        <f>CT15*VLOOKUP('Données projet'!$B$13,Paramètres!$A$1:$I$89,3,0)*VLOOKUP('Données projet'!$B$13,Paramètres!$A$1:$I$89,5,0)</f>
        <v>15.462720000000001</v>
      </c>
      <c r="CV15" s="13">
        <f t="shared" si="41"/>
        <v>5.1808984376512361</v>
      </c>
      <c r="CW15" s="20">
        <f t="shared" si="13"/>
        <v>35.954302112242566</v>
      </c>
      <c r="CX15" s="59">
        <f t="shared" si="14"/>
        <v>274.59407085811171</v>
      </c>
      <c r="CY15" s="59">
        <f ca="1">AVERAGE(OFFSET($CX$3,0,0,'Données projet'!$E$13+1,1))-AVERAGE(OFFSET($H$3,0,0,'Données projet'!$E$13+1,1))</f>
        <v>267.49254683294629</v>
      </c>
      <c r="CZ15" s="59">
        <f t="shared" si="42"/>
        <v>278.02595256967254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61.083573294327948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3.887142857142857</v>
      </c>
      <c r="DO15" s="12">
        <f>IF('Données projet'!$A$166&gt;35,DO14+DN15-DW14,IF(A15&lt;'Données projet'!$A$166,$DL$205^A15,IF(A15='Données projet'!$A$166,'Données projet'!$B$166,DO14+DN15-DW14)))</f>
        <v>46.64571428571427</v>
      </c>
      <c r="DP15" s="17">
        <f>DO15*VLOOKUP('Données projet'!$B$14,Paramètres!$A$1:$I$89,3,0)*VLOOKUP('Données projet'!$B$14,Paramètres!$A$1:$I$89,5,0)</f>
        <v>42.205042285714271</v>
      </c>
      <c r="DQ15" s="13">
        <f t="shared" si="43"/>
        <v>12.581255887241159</v>
      </c>
      <c r="DR15" s="20">
        <f t="shared" si="16"/>
        <v>95.419469317897367</v>
      </c>
      <c r="DS15" s="59">
        <f t="shared" si="17"/>
        <v>334.05923806376649</v>
      </c>
      <c r="DT15" s="59">
        <f ca="1">AVERAGE(OFFSET($DS$3,0,0,'Données projet'!$E$14+1,1))-AVERAGE(OFFSET($H$3,0,0,'Données projet'!$E$14+1,1))</f>
        <v>602.02351907077332</v>
      </c>
      <c r="DU15" s="59">
        <f t="shared" si="44"/>
        <v>278.08067690827272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61.083573294327948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61.083573294327948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61.083573294327948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61.083573294327948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2.2000000000000002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8.0666666666666682</v>
      </c>
      <c r="H16" s="67">
        <f t="shared" si="1"/>
        <v>224.4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61.238253363527591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5.8668181818181813</v>
      </c>
      <c r="N16" s="13">
        <f>IF('Données projet'!$A$36&gt;35,N15+M16-V15,IF(A16&lt;'Données projet'!$A$36,$K$205^A16,IF(A16='Données projet'!$A$36,'Données projet'!$B$36,N15+M16-V15)))</f>
        <v>17.672820443588613</v>
      </c>
      <c r="O16" s="13">
        <f>N16*VLOOKUP('Données projet'!$B$9,Paramètres!$A$1:$I$89,3,0)*VLOOKUP('Données projet'!$B$9,Paramètres!$A$1:$I$89,5,0)</f>
        <v>10.56834662526599</v>
      </c>
      <c r="P16" s="13">
        <f t="shared" si="33"/>
        <v>3.7013886882041378</v>
      </c>
      <c r="Q16" s="20">
        <f t="shared" si="2"/>
        <v>24.853122337627141</v>
      </c>
      <c r="R16" s="59">
        <f t="shared" si="0"/>
        <v>265.28227355945052</v>
      </c>
      <c r="S16" s="59">
        <f ca="1">AVERAGE(OFFSET($R$3,0,0,'Données projet'!$E$9+1,1))-AVERAGE(OFFSET($H$3,0,0,'Données projet'!$E$9+1,1))</f>
        <v>360.09035401555587</v>
      </c>
      <c r="T16" s="59">
        <f t="shared" si="34"/>
        <v>266.54879627869821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61.238253363527591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3.8113157894736847</v>
      </c>
      <c r="AI16" s="13">
        <f>IF('Données projet'!$A$62&gt;35,AI15+AH16-AQ15,IF(A16&lt;'Données projet'!$A$62,$AF$205^A16,IF(A16='Données projet'!$A$62,'Données projet'!$B$62,AI15+AH16-AQ15)))</f>
        <v>49.547105263157889</v>
      </c>
      <c r="AJ16" s="13">
        <f>AI16*VLOOKUP('Données projet'!$B$10,Paramètres!$A$1:$I$89,3,0)*VLOOKUP('Données projet'!$B$10,Paramètres!$A$1:$I$89,5,0)</f>
        <v>41.73848147368421</v>
      </c>
      <c r="AK16" s="13">
        <f t="shared" si="35"/>
        <v>12.458284491404413</v>
      </c>
      <c r="AL16" s="20">
        <f t="shared" si="4"/>
        <v>94.392700722529355</v>
      </c>
      <c r="AM16" s="59">
        <f t="shared" si="5"/>
        <v>334.82185194435272</v>
      </c>
      <c r="AN16" s="59">
        <f ca="1">AVERAGE(OFFSET($AM$3,0,0,'Données projet'!$E$10+1,1))-AVERAGE(OFFSET($H$3,0,0,'Données projet'!$E$10+1,1))</f>
        <v>377.26246345103175</v>
      </c>
      <c r="AO16" s="59">
        <f t="shared" si="36"/>
        <v>258.25890564000258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61.238253363527591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11.239444444444445</v>
      </c>
      <c r="BD16" s="12">
        <f>IF('Données projet'!$A$88&gt;35,BD15+BC16-BL15,IF(A16&lt;'Données projet'!$A$88,$BA$205^A16,IF(A16='Données projet'!$A$88,'Données projet'!$B$88,BD15+BC16-BL15)))</f>
        <v>46.2867805848119</v>
      </c>
      <c r="BE16" s="13">
        <f>BD16*VLOOKUP('Données projet'!$B$11,Paramètres!$A$1:$I$89,3,0)*VLOOKUP('Données projet'!$B$11,Paramètres!$A$1:$I$89,5,0)</f>
        <v>20.458757018486864</v>
      </c>
      <c r="BF16" s="13">
        <f t="shared" si="37"/>
        <v>6.6350616918987022</v>
      </c>
      <c r="BG16" s="20">
        <f t="shared" si="7"/>
        <v>47.188400920588187</v>
      </c>
      <c r="BH16" s="59">
        <f t="shared" si="8"/>
        <v>287.61755214241157</v>
      </c>
      <c r="BI16" s="59">
        <f ca="1">AVERAGE(OFFSET($BH$3,0,0,'Données projet'!$E$11+1,1))-AVERAGE(OFFSET($H$3,0,0,'Données projet'!$E$11+1,1))</f>
        <v>333.23043896066253</v>
      </c>
      <c r="BJ16" s="59">
        <f t="shared" si="38"/>
        <v>440.63438368668983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61.238253363527591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2.649969</v>
      </c>
      <c r="BY16" s="12">
        <f>IF('Données projet'!$A$114&gt;35,BY15+BX16-CG15,IF(A16&lt;'Données projet'!$A$114,$BV$205^A16,IF(A16='Données projet'!$A$114,'Données projet'!$B$114,BY15+BX16-CG15)))</f>
        <v>13.206143526472633</v>
      </c>
      <c r="BZ16" s="13">
        <f>BY16*VLOOKUP('Données projet'!$B$12,Paramètres!$A$1:$I$89,3,0)*VLOOKUP('Données projet'!$B$12,Paramètres!$A$1:$I$89,5,0)</f>
        <v>5.3220758411684717</v>
      </c>
      <c r="CA16" s="13">
        <f t="shared" si="39"/>
        <v>2.0189115317662796</v>
      </c>
      <c r="CB16" s="20">
        <f t="shared" si="10"/>
        <v>12.78555300786136</v>
      </c>
      <c r="CC16" s="59">
        <f t="shared" si="11"/>
        <v>253.21470422968474</v>
      </c>
      <c r="CD16" s="59">
        <f ca="1">AVERAGE(OFFSET($CC$3,0,0,'Données projet'!$E$12+1,1))-AVERAGE(OFFSET($H$3,0,0,'Données projet'!$E$12+1,1))</f>
        <v>177.34129362526608</v>
      </c>
      <c r="CE16" s="59">
        <f t="shared" si="40"/>
        <v>156.93407673501022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61.238253363527591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6.8</v>
      </c>
      <c r="CT16" s="12">
        <f>IF('Données projet'!$A$140&gt;35,CT15+CS16-DB15,IF(A16&lt;'Données projet'!$A$140,$CQ$205^A16,IF(A16='Données projet'!$A$140,'Données projet'!$B$140,CT15+CS16-DB15)))</f>
        <v>30.400000000000002</v>
      </c>
      <c r="CU16" s="17">
        <f>CT16*VLOOKUP('Données projet'!$B$13,Paramètres!$A$1:$I$89,3,0)*VLOOKUP('Données projet'!$B$13,Paramètres!$A$1:$I$89,5,0)</f>
        <v>19.918080000000003</v>
      </c>
      <c r="CV16" s="13">
        <f t="shared" si="41"/>
        <v>6.4798825087607046</v>
      </c>
      <c r="CW16" s="20">
        <f t="shared" si="13"/>
        <v>45.976451369424893</v>
      </c>
      <c r="CX16" s="59">
        <f t="shared" si="14"/>
        <v>286.40560259124828</v>
      </c>
      <c r="CY16" s="59">
        <f ca="1">AVERAGE(OFFSET($CX$3,0,0,'Données projet'!$E$13+1,1))-AVERAGE(OFFSET($H$3,0,0,'Données projet'!$E$13+1,1))</f>
        <v>267.49254683294629</v>
      </c>
      <c r="CZ16" s="59">
        <f t="shared" si="42"/>
        <v>278.02595256967254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61.238253363527591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3.887142857142857</v>
      </c>
      <c r="DO16" s="12">
        <f>IF('Données projet'!$A$166&gt;35,DO15+DN16-DW15,IF(A16&lt;'Données projet'!$A$166,$DL$205^A16,IF(A16='Données projet'!$A$166,'Données projet'!$B$166,DO15+DN16-DW15)))</f>
        <v>50.532857142857125</v>
      </c>
      <c r="DP16" s="17">
        <f>DO16*VLOOKUP('Données projet'!$B$14,Paramètres!$A$1:$I$89,3,0)*VLOOKUP('Données projet'!$B$14,Paramètres!$A$1:$I$89,5,0)</f>
        <v>45.722129142857128</v>
      </c>
      <c r="DQ16" s="13">
        <f t="shared" si="43"/>
        <v>13.50329614922042</v>
      </c>
      <c r="DR16" s="20">
        <f t="shared" si="16"/>
        <v>103.1509490503684</v>
      </c>
      <c r="DS16" s="59">
        <f t="shared" si="17"/>
        <v>343.58010027219177</v>
      </c>
      <c r="DT16" s="59">
        <f ca="1">AVERAGE(OFFSET($DS$3,0,0,'Données projet'!$E$14+1,1))-AVERAGE(OFFSET($H$3,0,0,'Données projet'!$E$14+1,1))</f>
        <v>602.02351907077332</v>
      </c>
      <c r="DU16" s="59">
        <f t="shared" si="44"/>
        <v>278.08067690827272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61.238253363527591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61.238253363527591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61.238253363527591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61.238253363527591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2.2000000000000002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8.0666666666666682</v>
      </c>
      <c r="H17" s="67">
        <f t="shared" si="1"/>
        <v>224.4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61.390250079339452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5.8668181818181813</v>
      </c>
      <c r="N17" s="13">
        <f>IF('Données projet'!$A$36&gt;35,N16+M17-V16,IF(A17&lt;'Données projet'!$A$36,$K$205^A17,IF(A17='Données projet'!$A$36,'Données projet'!$B$36,N16+M17-V16)))</f>
        <v>22.042074708413409</v>
      </c>
      <c r="O17" s="13">
        <f>N17*VLOOKUP('Données projet'!$B$9,Paramètres!$A$1:$I$89,3,0)*VLOOKUP('Données projet'!$B$9,Paramètres!$A$1:$I$89,5,0)</f>
        <v>13.181160675631221</v>
      </c>
      <c r="P17" s="13">
        <f t="shared" si="33"/>
        <v>4.4992809579449391</v>
      </c>
      <c r="Q17" s="20">
        <f t="shared" si="2"/>
        <v>30.793435845145144</v>
      </c>
      <c r="R17" s="59">
        <f t="shared" si="0"/>
        <v>273.00213058050093</v>
      </c>
      <c r="S17" s="59">
        <f ca="1">AVERAGE(OFFSET($R$3,0,0,'Données projet'!$E$9+1,1))-AVERAGE(OFFSET($H$3,0,0,'Données projet'!$E$9+1,1))</f>
        <v>360.09035401555587</v>
      </c>
      <c r="T17" s="59">
        <f t="shared" si="34"/>
        <v>266.54879627869821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61.390250079339452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3.8113157894736847</v>
      </c>
      <c r="AI17" s="13">
        <f>IF('Données projet'!$A$62&gt;35,AI16+AH17-AQ16,IF(A17&lt;'Données projet'!$A$62,$AF$205^A17,IF(A17='Données projet'!$A$62,'Données projet'!$B$62,AI16+AH17-AQ16)))</f>
        <v>53.35842105263157</v>
      </c>
      <c r="AJ17" s="13">
        <f>AI17*VLOOKUP('Données projet'!$B$10,Paramètres!$A$1:$I$89,3,0)*VLOOKUP('Données projet'!$B$10,Paramètres!$A$1:$I$89,5,0)</f>
        <v>44.949133894736839</v>
      </c>
      <c r="AK17" s="13">
        <f t="shared" si="35"/>
        <v>13.301377839378887</v>
      </c>
      <c r="AL17" s="20">
        <f t="shared" si="4"/>
        <v>101.45297460358488</v>
      </c>
      <c r="AM17" s="59">
        <f t="shared" si="5"/>
        <v>343.66166933894067</v>
      </c>
      <c r="AN17" s="59">
        <f ca="1">AVERAGE(OFFSET($AM$3,0,0,'Données projet'!$E$10+1,1))-AVERAGE(OFFSET($H$3,0,0,'Données projet'!$E$10+1,1))</f>
        <v>377.26246345103175</v>
      </c>
      <c r="AO17" s="59">
        <f t="shared" si="36"/>
        <v>258.25890564000258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61.390250079339452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11.239444444444445</v>
      </c>
      <c r="BD17" s="12">
        <f>IF('Données projet'!$A$88&gt;35,BD16+BC17-BL16,IF(A17&lt;'Données projet'!$A$88,$BA$205^A17,IF(A17='Données projet'!$A$88,'Données projet'!$B$88,BD16+BC17-BL16)))</f>
        <v>62.168308355859935</v>
      </c>
      <c r="BE17" s="13">
        <f>BD17*VLOOKUP('Données projet'!$B$11,Paramètres!$A$1:$I$89,3,0)*VLOOKUP('Données projet'!$B$11,Paramètres!$A$1:$I$89,5,0)</f>
        <v>27.478392293290092</v>
      </c>
      <c r="BF17" s="13">
        <f t="shared" si="37"/>
        <v>8.6108256277547373</v>
      </c>
      <c r="BG17" s="20">
        <f t="shared" si="7"/>
        <v>62.855387879153078</v>
      </c>
      <c r="BH17" s="59">
        <f t="shared" si="8"/>
        <v>305.06408261450889</v>
      </c>
      <c r="BI17" s="59">
        <f ca="1">AVERAGE(OFFSET($BH$3,0,0,'Données projet'!$E$11+1,1))-AVERAGE(OFFSET($H$3,0,0,'Données projet'!$E$11+1,1))</f>
        <v>333.23043896066253</v>
      </c>
      <c r="BJ17" s="59">
        <f t="shared" si="38"/>
        <v>440.63438368668983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61.390250079339452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2.649969</v>
      </c>
      <c r="BY17" s="12">
        <f>IF('Données projet'!$A$114&gt;35,BY16+BX17-CG16,IF(A17&lt;'Données projet'!$A$114,$BV$205^A17,IF(A17='Données projet'!$A$114,'Données projet'!$B$114,BY16+BX17-CG16)))</f>
        <v>16.106068891726078</v>
      </c>
      <c r="BZ17" s="13">
        <f>BY17*VLOOKUP('Données projet'!$B$12,Paramètres!$A$1:$I$89,3,0)*VLOOKUP('Données projet'!$B$12,Paramètres!$A$1:$I$89,5,0)</f>
        <v>6.4907457633656103</v>
      </c>
      <c r="CA17" s="13">
        <f t="shared" si="39"/>
        <v>2.4059997182235899</v>
      </c>
      <c r="CB17" s="20">
        <f t="shared" si="10"/>
        <v>15.495165047101187</v>
      </c>
      <c r="CC17" s="59">
        <f t="shared" si="11"/>
        <v>257.70385978245702</v>
      </c>
      <c r="CD17" s="59">
        <f ca="1">AVERAGE(OFFSET($CC$3,0,0,'Données projet'!$E$12+1,1))-AVERAGE(OFFSET($H$3,0,0,'Données projet'!$E$12+1,1))</f>
        <v>177.34129362526608</v>
      </c>
      <c r="CE17" s="59">
        <f t="shared" si="40"/>
        <v>156.93407673501022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61.390250079339452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6.8</v>
      </c>
      <c r="CT17" s="12">
        <f>IF('Données projet'!$A$140&gt;35,CT16+CS17-DB16,IF(A17&lt;'Données projet'!$A$140,$CQ$205^A17,IF(A17='Données projet'!$A$140,'Données projet'!$B$140,CT16+CS17-DB16)))</f>
        <v>37.200000000000003</v>
      </c>
      <c r="CU17" s="17">
        <f>CT17*VLOOKUP('Données projet'!$B$13,Paramètres!$A$1:$I$89,3,0)*VLOOKUP('Données projet'!$B$13,Paramètres!$A$1:$I$89,5,0)</f>
        <v>24.373440000000002</v>
      </c>
      <c r="CV17" s="13">
        <f t="shared" si="41"/>
        <v>7.7451846247230876</v>
      </c>
      <c r="CW17" s="20">
        <f t="shared" si="13"/>
        <v>55.939937888059376</v>
      </c>
      <c r="CX17" s="59">
        <f t="shared" si="14"/>
        <v>298.14863262341521</v>
      </c>
      <c r="CY17" s="59">
        <f ca="1">AVERAGE(OFFSET($CX$3,0,0,'Données projet'!$E$13+1,1))-AVERAGE(OFFSET($H$3,0,0,'Données projet'!$E$13+1,1))</f>
        <v>267.49254683294629</v>
      </c>
      <c r="CZ17" s="59">
        <f t="shared" si="42"/>
        <v>278.02595256967254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61.390250079339452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3.887142857142857</v>
      </c>
      <c r="DO17" s="12">
        <f>IF('Données projet'!$A$166&gt;35,DO16+DN17-DW16,IF(A17&lt;'Données projet'!$A$166,$DL$205^A17,IF(A17='Données projet'!$A$166,'Données projet'!$B$166,DO16+DN17-DW16)))</f>
        <v>54.41999999999998</v>
      </c>
      <c r="DP17" s="17">
        <f>DO17*VLOOKUP('Données projet'!$B$14,Paramètres!$A$1:$I$89,3,0)*VLOOKUP('Données projet'!$B$14,Paramètres!$A$1:$I$89,5,0)</f>
        <v>49.239215999999978</v>
      </c>
      <c r="DQ17" s="13">
        <f t="shared" si="43"/>
        <v>14.417108895027585</v>
      </c>
      <c r="DR17" s="20">
        <f t="shared" si="16"/>
        <v>110.86809919217301</v>
      </c>
      <c r="DS17" s="59">
        <f t="shared" si="17"/>
        <v>353.0767939275288</v>
      </c>
      <c r="DT17" s="59">
        <f ca="1">AVERAGE(OFFSET($DS$3,0,0,'Données projet'!$E$14+1,1))-AVERAGE(OFFSET($H$3,0,0,'Données projet'!$E$14+1,1))</f>
        <v>602.02351907077332</v>
      </c>
      <c r="DU17" s="59">
        <f t="shared" si="44"/>
        <v>278.08067690827272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61.390250079339452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61.390250079339452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61.390250079339452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61.390250079339452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2.2000000000000002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8.0666666666666682</v>
      </c>
      <c r="H18" s="67">
        <f t="shared" si="1"/>
        <v>224.4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61.539609991945724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5.8668181818181813</v>
      </c>
      <c r="N18" s="13">
        <f>IF('Données projet'!$A$36&gt;35,N17+M18-V17,IF(A18&lt;'Données projet'!$A$36,$K$205^A18,IF(A18='Données projet'!$A$36,'Données projet'!$B$36,N17+M18-V17)))</f>
        <v>27.491540413830034</v>
      </c>
      <c r="O18" s="13">
        <f>N18*VLOOKUP('Données projet'!$B$9,Paramètres!$A$1:$I$89,3,0)*VLOOKUP('Données projet'!$B$9,Paramètres!$A$1:$I$89,5,0)</f>
        <v>16.439941167470362</v>
      </c>
      <c r="P18" s="13">
        <f t="shared" si="33"/>
        <v>5.4691713958708279</v>
      </c>
      <c r="Q18" s="20">
        <f t="shared" si="2"/>
        <v>38.158371047819237</v>
      </c>
      <c r="R18" s="59">
        <f t="shared" si="0"/>
        <v>282.1369410182869</v>
      </c>
      <c r="S18" s="59">
        <f ca="1">AVERAGE(OFFSET($R$3,0,0,'Données projet'!$E$9+1,1))-AVERAGE(OFFSET($H$3,0,0,'Données projet'!$E$9+1,1))</f>
        <v>360.09035401555587</v>
      </c>
      <c r="T18" s="59">
        <f t="shared" si="34"/>
        <v>266.54879627869821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61.539609991945724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3.8113157894736847</v>
      </c>
      <c r="AI18" s="13">
        <f>IF('Données projet'!$A$62&gt;35,AI17+AH18-AQ17,IF(A18&lt;'Données projet'!$A$62,$AF$205^A18,IF(A18='Données projet'!$A$62,'Données projet'!$B$62,AI17+AH18-AQ17)))</f>
        <v>57.169736842105252</v>
      </c>
      <c r="AJ18" s="13">
        <f>AI18*VLOOKUP('Données projet'!$B$10,Paramètres!$A$1:$I$89,3,0)*VLOOKUP('Données projet'!$B$10,Paramètres!$A$1:$I$89,5,0)</f>
        <v>48.159786315789468</v>
      </c>
      <c r="AK18" s="13">
        <f t="shared" si="35"/>
        <v>14.1374842594764</v>
      </c>
      <c r="AL18" s="20">
        <f t="shared" si="4"/>
        <v>108.50107958525473</v>
      </c>
      <c r="AM18" s="59">
        <f t="shared" si="5"/>
        <v>352.4796495557224</v>
      </c>
      <c r="AN18" s="59">
        <f ca="1">AVERAGE(OFFSET($AM$3,0,0,'Données projet'!$E$10+1,1))-AVERAGE(OFFSET($H$3,0,0,'Données projet'!$E$10+1,1))</f>
        <v>377.26246345103175</v>
      </c>
      <c r="AO18" s="59">
        <f t="shared" si="36"/>
        <v>258.25890564000258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61.539609991945724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11.239444444444445</v>
      </c>
      <c r="BD18" s="12">
        <f>IF('Données projet'!$A$88&gt;35,BD17+BC18-BL17,IF(A18&lt;'Données projet'!$A$88,$BA$205^A18,IF(A18='Données projet'!$A$88,'Données projet'!$B$88,BD17+BC18-BL17)))</f>
        <v>83.498971304508402</v>
      </c>
      <c r="BE18" s="13">
        <f>BD18*VLOOKUP('Données projet'!$B$11,Paramètres!$A$1:$I$89,3,0)*VLOOKUP('Données projet'!$B$11,Paramètres!$A$1:$I$89,5,0)</f>
        <v>36.90654531659272</v>
      </c>
      <c r="BF18" s="13">
        <f t="shared" si="37"/>
        <v>11.174925183006096</v>
      </c>
      <c r="BG18" s="20">
        <f t="shared" si="7"/>
        <v>83.741894453467935</v>
      </c>
      <c r="BH18" s="59">
        <f t="shared" si="8"/>
        <v>327.7204644239356</v>
      </c>
      <c r="BI18" s="59">
        <f ca="1">AVERAGE(OFFSET($BH$3,0,0,'Données projet'!$E$11+1,1))-AVERAGE(OFFSET($H$3,0,0,'Données projet'!$E$11+1,1))</f>
        <v>333.23043896066253</v>
      </c>
      <c r="BJ18" s="59">
        <f t="shared" si="38"/>
        <v>440.63438368668983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61.539609991945724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2.649969</v>
      </c>
      <c r="BY18" s="12">
        <f>IF('Données projet'!$A$114&gt;35,BY17+BX18-CG17,IF(A18&lt;'Données projet'!$A$114,$BV$205^A18,IF(A18='Données projet'!$A$114,'Données projet'!$B$114,BY17+BX18-CG17)))</f>
        <v>19.642786300560061</v>
      </c>
      <c r="BZ18" s="13">
        <f>BY18*VLOOKUP('Données projet'!$B$12,Paramètres!$A$1:$I$89,3,0)*VLOOKUP('Données projet'!$B$12,Paramètres!$A$1:$I$89,5,0)</f>
        <v>7.9160428791257056</v>
      </c>
      <c r="CA18" s="13">
        <f t="shared" si="39"/>
        <v>2.8673047595243233</v>
      </c>
      <c r="CB18" s="20">
        <f t="shared" si="10"/>
        <v>18.780997137315463</v>
      </c>
      <c r="CC18" s="59">
        <f t="shared" si="11"/>
        <v>262.75956710778308</v>
      </c>
      <c r="CD18" s="59">
        <f ca="1">AVERAGE(OFFSET($CC$3,0,0,'Données projet'!$E$12+1,1))-AVERAGE(OFFSET($H$3,0,0,'Données projet'!$E$12+1,1))</f>
        <v>177.34129362526608</v>
      </c>
      <c r="CE18" s="59">
        <f t="shared" si="40"/>
        <v>156.93407673501022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61.539609991945724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44</v>
      </c>
      <c r="CR18" s="12">
        <f>VLOOKUP(A18,'Données projet'!$A$139:$I$159,9,0)</f>
        <v>6.8</v>
      </c>
      <c r="CS18" s="12">
        <f t="array" ref="CS18">INDEX(CR:CR,MIN(IF(ISNUMBER(CR18:CR214),ROW(CR18:CR214),"")))</f>
        <v>6.8</v>
      </c>
      <c r="CT18" s="12">
        <f>IF('Données projet'!$A$140&gt;35,CT17+CS18-DB17,IF(A18&lt;'Données projet'!$A$140,$CQ$205^A18,IF(A18='Données projet'!$A$140,'Données projet'!$B$140,CT17+CS18-DB17)))</f>
        <v>44</v>
      </c>
      <c r="CU18" s="17">
        <f>CT18*VLOOKUP('Données projet'!$B$13,Paramètres!$A$1:$I$89,3,0)*VLOOKUP('Données projet'!$B$13,Paramètres!$A$1:$I$89,5,0)</f>
        <v>28.828800000000001</v>
      </c>
      <c r="CV18" s="13">
        <f t="shared" si="41"/>
        <v>8.983691253405949</v>
      </c>
      <c r="CW18" s="20">
        <f t="shared" si="13"/>
        <v>65.856755599682032</v>
      </c>
      <c r="CX18" s="59">
        <f t="shared" si="14"/>
        <v>309.83532557014968</v>
      </c>
      <c r="CY18" s="59">
        <f ca="1">AVERAGE(OFFSET($CX$3,0,0,'Données projet'!$E$13+1,1))-AVERAGE(OFFSET($H$3,0,0,'Données projet'!$E$13+1,1))</f>
        <v>267.49254683294629</v>
      </c>
      <c r="CZ18" s="59">
        <f t="shared" si="42"/>
        <v>278.02595256967254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61.539609991945724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3.887142857142857</v>
      </c>
      <c r="DO18" s="12">
        <f>IF('Données projet'!$A$166&gt;35,DO17+DN18-DW17,IF(A18&lt;'Données projet'!$A$166,$DL$205^A18,IF(A18='Données projet'!$A$166,'Données projet'!$B$166,DO17+DN18-DW17)))</f>
        <v>58.307142857142836</v>
      </c>
      <c r="DP18" s="17">
        <f>DO18*VLOOKUP('Données projet'!$B$14,Paramètres!$A$1:$I$89,3,0)*VLOOKUP('Données projet'!$B$14,Paramètres!$A$1:$I$89,5,0)</f>
        <v>52.756302857142842</v>
      </c>
      <c r="DQ18" s="13">
        <f t="shared" si="43"/>
        <v>15.323348643415981</v>
      </c>
      <c r="DR18" s="20">
        <f t="shared" si="16"/>
        <v>118.57205969680662</v>
      </c>
      <c r="DS18" s="59">
        <f t="shared" si="17"/>
        <v>362.55062966727428</v>
      </c>
      <c r="DT18" s="59">
        <f ca="1">AVERAGE(OFFSET($DS$3,0,0,'Données projet'!$E$14+1,1))-AVERAGE(OFFSET($H$3,0,0,'Données projet'!$E$14+1,1))</f>
        <v>602.02351907077332</v>
      </c>
      <c r="DU18" s="59">
        <f t="shared" si="44"/>
        <v>278.08067690827272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61.539609991945724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61.539609991945724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61.539609991945724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61.539609991945724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2.2000000000000002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8.0666666666666682</v>
      </c>
      <c r="H19" s="67">
        <f t="shared" si="1"/>
        <v>224.4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61.686378843987022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5.8668181818181813</v>
      </c>
      <c r="N19" s="13">
        <f>IF('Données projet'!$A$36&gt;35,N18+M19-V18,IF(A19&lt;'Données projet'!$A$36,$K$205^A19,IF(A19='Données projet'!$A$36,'Données projet'!$B$36,N18+M19-V18)))</f>
        <v>34.288278409507839</v>
      </c>
      <c r="O19" s="13">
        <f>N19*VLOOKUP('Données projet'!$B$9,Paramètres!$A$1:$I$89,3,0)*VLOOKUP('Données projet'!$B$9,Paramètres!$A$1:$I$89,5,0)</f>
        <v>20.50439048888569</v>
      </c>
      <c r="P19" s="13">
        <f t="shared" si="33"/>
        <v>6.6481368994289252</v>
      </c>
      <c r="Q19" s="20">
        <f t="shared" si="2"/>
        <v>47.290651867981289</v>
      </c>
      <c r="R19" s="59">
        <f t="shared" si="0"/>
        <v>293.02959651815593</v>
      </c>
      <c r="S19" s="59">
        <f ca="1">AVERAGE(OFFSET($R$3,0,0,'Données projet'!$E$9+1,1))-AVERAGE(OFFSET($H$3,0,0,'Données projet'!$E$9+1,1))</f>
        <v>360.09035401555587</v>
      </c>
      <c r="T19" s="59">
        <f t="shared" si="34"/>
        <v>266.54879627869821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61.686378843987022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3.8113157894736847</v>
      </c>
      <c r="AI19" s="13">
        <f>IF('Données projet'!$A$62&gt;35,AI18+AH19-AQ18,IF(A19&lt;'Données projet'!$A$62,$AF$205^A19,IF(A19='Données projet'!$A$62,'Données projet'!$B$62,AI18+AH19-AQ18)))</f>
        <v>60.981052631578933</v>
      </c>
      <c r="AJ19" s="13">
        <f>AI19*VLOOKUP('Données projet'!$B$10,Paramètres!$A$1:$I$89,3,0)*VLOOKUP('Données projet'!$B$10,Paramètres!$A$1:$I$89,5,0)</f>
        <v>51.370438736842104</v>
      </c>
      <c r="AK19" s="13">
        <f t="shared" si="35"/>
        <v>14.967122547060546</v>
      </c>
      <c r="AL19" s="20">
        <f t="shared" si="4"/>
        <v>115.53791923613043</v>
      </c>
      <c r="AM19" s="59">
        <f t="shared" si="5"/>
        <v>361.27686388630508</v>
      </c>
      <c r="AN19" s="59">
        <f ca="1">AVERAGE(OFFSET($AM$3,0,0,'Données projet'!$E$10+1,1))-AVERAGE(OFFSET($H$3,0,0,'Données projet'!$E$10+1,1))</f>
        <v>377.26246345103175</v>
      </c>
      <c r="AO19" s="59">
        <f t="shared" si="36"/>
        <v>258.25890564000258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61.686378843987022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11.239444444444445</v>
      </c>
      <c r="BD19" s="12">
        <f>IF('Données projet'!$A$88&gt;35,BD18+BC19-BL18,IF(A19&lt;'Données projet'!$A$88,$BA$205^A19,IF(A19='Données projet'!$A$88,'Données projet'!$B$88,BD18+BC19-BL18)))</f>
        <v>112.14843049937892</v>
      </c>
      <c r="BE19" s="13">
        <f>BD19*VLOOKUP('Données projet'!$B$11,Paramètres!$A$1:$I$89,3,0)*VLOOKUP('Données projet'!$B$11,Paramètres!$A$1:$I$89,5,0)</f>
        <v>49.569606280725488</v>
      </c>
      <c r="BF19" s="13">
        <f t="shared" si="37"/>
        <v>14.502552745147833</v>
      </c>
      <c r="BG19" s="20">
        <f t="shared" si="7"/>
        <v>111.59234363672935</v>
      </c>
      <c r="BH19" s="59">
        <f t="shared" si="8"/>
        <v>357.331288286904</v>
      </c>
      <c r="BI19" s="59">
        <f ca="1">AVERAGE(OFFSET($BH$3,0,0,'Données projet'!$E$11+1,1))-AVERAGE(OFFSET($H$3,0,0,'Données projet'!$E$11+1,1))</f>
        <v>333.23043896066253</v>
      </c>
      <c r="BJ19" s="59">
        <f t="shared" si="38"/>
        <v>440.63438368668983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61.686378843987022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2.649969</v>
      </c>
      <c r="BY19" s="12">
        <f>IF('Données projet'!$A$114&gt;35,BY18+BX19-CG18,IF(A19&lt;'Données projet'!$A$114,$BV$205^A19,IF(A19='Données projet'!$A$114,'Données projet'!$B$114,BY18+BX19-CG18)))</f>
        <v>23.956128354056716</v>
      </c>
      <c r="BZ19" s="13">
        <f>BY19*VLOOKUP('Données projet'!$B$12,Paramètres!$A$1:$I$89,3,0)*VLOOKUP('Données projet'!$B$12,Paramètres!$A$1:$I$89,5,0)</f>
        <v>9.6543197266848573</v>
      </c>
      <c r="CA19" s="13">
        <f t="shared" si="39"/>
        <v>3.4170563370061107</v>
      </c>
      <c r="CB19" s="20">
        <f t="shared" si="10"/>
        <v>22.765979977595105</v>
      </c>
      <c r="CC19" s="59">
        <f t="shared" si="11"/>
        <v>268.50492462776975</v>
      </c>
      <c r="CD19" s="59">
        <f ca="1">AVERAGE(OFFSET($CC$3,0,0,'Données projet'!$E$12+1,1))-AVERAGE(OFFSET($H$3,0,0,'Données projet'!$E$12+1,1))</f>
        <v>177.34129362526608</v>
      </c>
      <c r="CE19" s="59">
        <f t="shared" si="40"/>
        <v>156.93407673501022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61.686378843987022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12</v>
      </c>
      <c r="CT19" s="12">
        <f>IF('Données projet'!$A$140&gt;35,CT18+CS19-DB18,IF(A19&lt;'Données projet'!$A$140,$CQ$205^A19,IF(A19='Données projet'!$A$140,'Données projet'!$B$140,CT18+CS19-DB18)))</f>
        <v>52</v>
      </c>
      <c r="CU19" s="17">
        <f>CT19*VLOOKUP('Données projet'!$B$13,Paramètres!$A$1:$I$89,3,0)*VLOOKUP('Données projet'!$B$13,Paramètres!$A$1:$I$89,5,0)</f>
        <v>34.070399999999999</v>
      </c>
      <c r="CV19" s="13">
        <f t="shared" si="41"/>
        <v>10.412633617059315</v>
      </c>
      <c r="CW19" s="20">
        <f t="shared" si="13"/>
        <v>77.474616883044959</v>
      </c>
      <c r="CX19" s="59">
        <f t="shared" si="14"/>
        <v>323.2135615332196</v>
      </c>
      <c r="CY19" s="59">
        <f ca="1">AVERAGE(OFFSET($CX$3,0,0,'Données projet'!$E$13+1,1))-AVERAGE(OFFSET($H$3,0,0,'Données projet'!$E$13+1,1))</f>
        <v>267.49254683294629</v>
      </c>
      <c r="CZ19" s="59">
        <f t="shared" si="42"/>
        <v>278.02595256967254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61.686378843987022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3.887142857142857</v>
      </c>
      <c r="DO19" s="12">
        <f>IF('Données projet'!$A$166&gt;35,DO18+DN19-DW18,IF(A19&lt;'Données projet'!$A$166,$DL$205^A19,IF(A19='Données projet'!$A$166,'Données projet'!$B$166,DO18+DN19-DW18)))</f>
        <v>62.194285714285691</v>
      </c>
      <c r="DP19" s="17">
        <f>DO19*VLOOKUP('Données projet'!$B$14,Paramètres!$A$1:$I$89,3,0)*VLOOKUP('Données projet'!$B$14,Paramètres!$A$1:$I$89,5,0)</f>
        <v>56.273389714285692</v>
      </c>
      <c r="DQ19" s="13">
        <f t="shared" si="43"/>
        <v>16.222577706752112</v>
      </c>
      <c r="DR19" s="20">
        <f t="shared" si="16"/>
        <v>126.26380992497417</v>
      </c>
      <c r="DS19" s="59">
        <f t="shared" si="17"/>
        <v>372.0027545751488</v>
      </c>
      <c r="DT19" s="59">
        <f ca="1">AVERAGE(OFFSET($DS$3,0,0,'Données projet'!$E$14+1,1))-AVERAGE(OFFSET($H$3,0,0,'Données projet'!$E$14+1,1))</f>
        <v>602.02351907077332</v>
      </c>
      <c r="DU19" s="59">
        <f t="shared" si="44"/>
        <v>278.08067690827272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61.686378843987022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61.686378843987022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61.686378843987022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61.686378843987022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2.2000000000000002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8.0666666666666682</v>
      </c>
      <c r="H20" s="67">
        <f t="shared" si="1"/>
        <v>224.4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61.830601584571397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5.8668181818181813</v>
      </c>
      <c r="N20" s="13">
        <f>IF('Données projet'!$A$36&gt;35,N19+M20-V19,IF(A20&lt;'Données projet'!$A$36,$K$205^A20,IF(A20='Données projet'!$A$36,'Données projet'!$B$36,N19+M20-V19)))</f>
        <v>42.765375042297542</v>
      </c>
      <c r="O20" s="13">
        <f>N20*VLOOKUP('Données projet'!$B$9,Paramètres!$A$1:$I$89,3,0)*VLOOKUP('Données projet'!$B$9,Paramètres!$A$1:$I$89,5,0)</f>
        <v>25.573694275293931</v>
      </c>
      <c r="P20" s="13">
        <f t="shared" si="33"/>
        <v>8.0812468716773616</v>
      </c>
      <c r="Q20" s="20">
        <f t="shared" si="2"/>
        <v>58.615689164308343</v>
      </c>
      <c r="R20" s="59">
        <f t="shared" si="0"/>
        <v>306.10567275218125</v>
      </c>
      <c r="S20" s="59">
        <f ca="1">AVERAGE(OFFSET($R$3,0,0,'Données projet'!$E$9+1,1))-AVERAGE(OFFSET($H$3,0,0,'Données projet'!$E$9+1,1))</f>
        <v>360.09035401555587</v>
      </c>
      <c r="T20" s="59">
        <f t="shared" si="34"/>
        <v>266.54879627869821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61.830601584571397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3.8113157894736847</v>
      </c>
      <c r="AI20" s="13">
        <f>IF('Données projet'!$A$62&gt;35,AI19+AH20-AQ19,IF(A20&lt;'Données projet'!$A$62,$AF$205^A20,IF(A20='Données projet'!$A$62,'Données projet'!$B$62,AI19+AH20-AQ19)))</f>
        <v>64.792368421052615</v>
      </c>
      <c r="AJ20" s="13">
        <f>AI20*VLOOKUP('Données projet'!$B$10,Paramètres!$A$1:$I$89,3,0)*VLOOKUP('Données projet'!$B$10,Paramètres!$A$1:$I$89,5,0)</f>
        <v>54.581091157894733</v>
      </c>
      <c r="AK20" s="13">
        <f t="shared" si="35"/>
        <v>15.790742982773375</v>
      </c>
      <c r="AL20" s="20">
        <f t="shared" si="4"/>
        <v>122.56427779499695</v>
      </c>
      <c r="AM20" s="59">
        <f t="shared" si="5"/>
        <v>370.05426138286987</v>
      </c>
      <c r="AN20" s="59">
        <f ca="1">AVERAGE(OFFSET($AM$3,0,0,'Données projet'!$E$10+1,1))-AVERAGE(OFFSET($H$3,0,0,'Données projet'!$E$10+1,1))</f>
        <v>377.26246345103175</v>
      </c>
      <c r="AO20" s="59">
        <f t="shared" si="36"/>
        <v>258.25890564000258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61.830601584571397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11.239444444444445</v>
      </c>
      <c r="BD20" s="12">
        <f>IF('Données projet'!$A$88&gt;35,BD19+BC20-BL19,IF(A20&lt;'Données projet'!$A$88,$BA$205^A20,IF(A20='Données projet'!$A$88,'Données projet'!$B$88,BD19+BC20-BL19)))</f>
        <v>150.62784926543083</v>
      </c>
      <c r="BE20" s="13">
        <f>BD20*VLOOKUP('Données projet'!$B$11,Paramètres!$A$1:$I$89,3,0)*VLOOKUP('Données projet'!$B$11,Paramètres!$A$1:$I$89,5,0)</f>
        <v>66.577509375320432</v>
      </c>
      <c r="BF20" s="13">
        <f t="shared" si="37"/>
        <v>18.821068837725953</v>
      </c>
      <c r="BG20" s="20">
        <f t="shared" si="7"/>
        <v>148.73585705438913</v>
      </c>
      <c r="BH20" s="59">
        <f t="shared" si="8"/>
        <v>396.22584064226203</v>
      </c>
      <c r="BI20" s="59">
        <f ca="1">AVERAGE(OFFSET($BH$3,0,0,'Données projet'!$E$11+1,1))-AVERAGE(OFFSET($H$3,0,0,'Données projet'!$E$11+1,1))</f>
        <v>333.23043896066253</v>
      </c>
      <c r="BJ20" s="59">
        <f t="shared" si="38"/>
        <v>440.63438368668983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61.830601584571397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2.649969</v>
      </c>
      <c r="BY20" s="12">
        <f>IF('Données projet'!$A$114&gt;35,BY19+BX20-CG19,IF(A20&lt;'Données projet'!$A$114,$BV$205^A20,IF(A20='Données projet'!$A$114,'Données projet'!$B$114,BY19+BX20-CG19)))</f>
        <v>29.216633370372566</v>
      </c>
      <c r="BZ20" s="13">
        <f>BY20*VLOOKUP('Données projet'!$B$12,Paramètres!$A$1:$I$89,3,0)*VLOOKUP('Données projet'!$B$12,Paramètres!$A$1:$I$89,5,0)</f>
        <v>11.774303248260145</v>
      </c>
      <c r="CA20" s="13">
        <f t="shared" si="39"/>
        <v>4.072212404868564</v>
      </c>
      <c r="CB20" s="20">
        <f t="shared" si="10"/>
        <v>27.599348095865835</v>
      </c>
      <c r="CC20" s="59">
        <f t="shared" si="11"/>
        <v>275.08933168373875</v>
      </c>
      <c r="CD20" s="59">
        <f ca="1">AVERAGE(OFFSET($CC$3,0,0,'Données projet'!$E$12+1,1))-AVERAGE(OFFSET($H$3,0,0,'Données projet'!$E$12+1,1))</f>
        <v>177.34129362526608</v>
      </c>
      <c r="CE20" s="59">
        <f t="shared" si="40"/>
        <v>156.93407673501022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61.830601584571397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12</v>
      </c>
      <c r="CT20" s="12">
        <f>IF('Données projet'!$A$140&gt;35,CT19+CS20-DB19,IF(A20&lt;'Données projet'!$A$140,$CQ$205^A20,IF(A20='Données projet'!$A$140,'Données projet'!$B$140,CT19+CS20-DB19)))</f>
        <v>64</v>
      </c>
      <c r="CU20" s="17">
        <f>CT20*VLOOKUP('Données projet'!$B$13,Paramètres!$A$1:$I$89,3,0)*VLOOKUP('Données projet'!$B$13,Paramètres!$A$1:$I$89,5,0)</f>
        <v>41.9328</v>
      </c>
      <c r="CV20" s="13">
        <f t="shared" si="41"/>
        <v>12.509520351031938</v>
      </c>
      <c r="CW20" s="20">
        <f t="shared" si="13"/>
        <v>94.820374611380615</v>
      </c>
      <c r="CX20" s="59">
        <f t="shared" si="14"/>
        <v>342.31035819925353</v>
      </c>
      <c r="CY20" s="59">
        <f ca="1">AVERAGE(OFFSET($CX$3,0,0,'Données projet'!$E$13+1,1))-AVERAGE(OFFSET($H$3,0,0,'Données projet'!$E$13+1,1))</f>
        <v>267.49254683294629</v>
      </c>
      <c r="CZ20" s="59">
        <f t="shared" si="42"/>
        <v>278.02595256967254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61.830601584571397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3.887142857142857</v>
      </c>
      <c r="DO20" s="12">
        <f>IF('Données projet'!$A$166&gt;35,DO19+DN20-DW19,IF(A20&lt;'Données projet'!$A$166,$DL$205^A20,IF(A20='Données projet'!$A$166,'Données projet'!$B$166,DO19+DN20-DW19)))</f>
        <v>66.081428571428546</v>
      </c>
      <c r="DP20" s="17">
        <f>DO20*VLOOKUP('Données projet'!$B$14,Paramètres!$A$1:$I$89,3,0)*VLOOKUP('Données projet'!$B$14,Paramètres!$A$1:$I$89,5,0)</f>
        <v>59.790476571428549</v>
      </c>
      <c r="DQ20" s="13">
        <f t="shared" si="43"/>
        <v>17.115284135607041</v>
      </c>
      <c r="DR20" s="20">
        <f t="shared" si="16"/>
        <v>133.94419989808699</v>
      </c>
      <c r="DS20" s="59">
        <f t="shared" si="17"/>
        <v>381.43418348595992</v>
      </c>
      <c r="DT20" s="59">
        <f ca="1">AVERAGE(OFFSET($DS$3,0,0,'Données projet'!$E$14+1,1))-AVERAGE(OFFSET($H$3,0,0,'Données projet'!$E$14+1,1))</f>
        <v>602.02351907077332</v>
      </c>
      <c r="DU20" s="59">
        <f t="shared" si="44"/>
        <v>278.08067690827272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61.830601584571397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61.830601584571397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61.830601584571397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61.830601584571397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2.2000000000000002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8.0666666666666682</v>
      </c>
      <c r="H21" s="67">
        <f t="shared" si="1"/>
        <v>224.4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61.972322383040378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5.8668181818181813</v>
      </c>
      <c r="N21" s="13">
        <f>IF('Données projet'!$A$36&gt;35,N20+M21-V20,IF(A21&lt;'Données projet'!$A$36,$K$205^A21,IF(A21='Données projet'!$A$36,'Données projet'!$B$36,N20+M21-V20)))</f>
        <v>53.338265650608868</v>
      </c>
      <c r="O21" s="13">
        <f>N21*VLOOKUP('Données projet'!$B$9,Paramètres!$A$1:$I$89,3,0)*VLOOKUP('Données projet'!$B$9,Paramètres!$A$1:$I$89,5,0)</f>
        <v>31.896282859064108</v>
      </c>
      <c r="P21" s="13">
        <f t="shared" si="33"/>
        <v>9.8232861309767845</v>
      </c>
      <c r="Q21" s="20">
        <f t="shared" si="2"/>
        <v>72.661582657654549</v>
      </c>
      <c r="R21" s="59">
        <f t="shared" si="0"/>
        <v>321.89343139546929</v>
      </c>
      <c r="S21" s="59">
        <f ca="1">AVERAGE(OFFSET($R$3,0,0,'Données projet'!$E$9+1,1))-AVERAGE(OFFSET($H$3,0,0,'Données projet'!$E$9+1,1))</f>
        <v>360.09035401555587</v>
      </c>
      <c r="T21" s="59">
        <f t="shared" si="34"/>
        <v>266.54879627869821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61.972322383040378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3.8113157894736847</v>
      </c>
      <c r="AI21" s="13">
        <f>IF('Données projet'!$A$62&gt;35,AI20+AH21-AQ20,IF(A21&lt;'Données projet'!$A$62,$AF$205^A21,IF(A21='Données projet'!$A$62,'Données projet'!$B$62,AI20+AH21-AQ20)))</f>
        <v>68.603684210526296</v>
      </c>
      <c r="AJ21" s="13">
        <f>AI21*VLOOKUP('Données projet'!$B$10,Paramètres!$A$1:$I$89,3,0)*VLOOKUP('Données projet'!$B$10,Paramètres!$A$1:$I$89,5,0)</f>
        <v>57.791743578947354</v>
      </c>
      <c r="AK21" s="13">
        <f t="shared" si="35"/>
        <v>16.608739880512992</v>
      </c>
      <c r="AL21" s="20">
        <f t="shared" si="4"/>
        <v>129.58084202522676</v>
      </c>
      <c r="AM21" s="59">
        <f t="shared" si="5"/>
        <v>378.81269076304147</v>
      </c>
      <c r="AN21" s="59">
        <f ca="1">AVERAGE(OFFSET($AM$3,0,0,'Données projet'!$E$10+1,1))-AVERAGE(OFFSET($H$3,0,0,'Données projet'!$E$10+1,1))</f>
        <v>377.26246345103175</v>
      </c>
      <c r="AO21" s="59">
        <f t="shared" si="36"/>
        <v>258.25890564000258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61.972322383040378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202.31</v>
      </c>
      <c r="BB21" s="12">
        <f>VLOOKUP(A21,'Données projet'!$A$87:$I$107,9,0)</f>
        <v>11.239444444444445</v>
      </c>
      <c r="BC21" s="12">
        <f t="array" ref="BC21">INDEX(BB:BB,MIN(IF(ISNUMBER(BB21:BB217),ROW(BB21:BB217),"")))</f>
        <v>11.239444444444445</v>
      </c>
      <c r="BD21" s="12">
        <f>IF('Données projet'!$A$88&gt;35,BD20+BC21-BL20,IF(A21&lt;'Données projet'!$A$88,$BA$205^A21,IF(A21='Données projet'!$A$88,'Données projet'!$B$88,BD20+BC21-BL20)))</f>
        <v>202.31</v>
      </c>
      <c r="BE21" s="13">
        <f>BD21*VLOOKUP('Données projet'!$B$11,Paramètres!$A$1:$I$89,3,0)*VLOOKUP('Données projet'!$B$11,Paramètres!$A$1:$I$89,5,0)</f>
        <v>89.421020000000013</v>
      </c>
      <c r="BF21" s="13">
        <f t="shared" si="37"/>
        <v>24.425536553413707</v>
      </c>
      <c r="BG21" s="20">
        <f t="shared" si="7"/>
        <v>198.2827526638622</v>
      </c>
      <c r="BH21" s="59">
        <f t="shared" si="8"/>
        <v>447.51460140167694</v>
      </c>
      <c r="BI21" s="59">
        <f ca="1">AVERAGE(OFFSET($BH$3,0,0,'Données projet'!$E$11+1,1))-AVERAGE(OFFSET($H$3,0,0,'Données projet'!$E$11+1,1))</f>
        <v>333.23043896066253</v>
      </c>
      <c r="BJ21" s="59">
        <f t="shared" si="38"/>
        <v>440.63438368668983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74.819999999999993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0.55000000000000004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24.033535376094324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24.033535376094324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61.972322383040378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2.649969</v>
      </c>
      <c r="BY21" s="12">
        <f>IF('Données projet'!$A$114&gt;35,BY20+BX21-CG20,IF(A21&lt;'Données projet'!$A$114,$BV$205^A21,IF(A21='Données projet'!$A$114,'Données projet'!$B$114,BY20+BX21-CG20)))</f>
        <v>35.632288025966339</v>
      </c>
      <c r="BZ21" s="13">
        <f>BY21*VLOOKUP('Données projet'!$B$12,Paramètres!$A$1:$I$89,3,0)*VLOOKUP('Données projet'!$B$12,Paramètres!$A$1:$I$89,5,0)</f>
        <v>14.359812074464434</v>
      </c>
      <c r="CA21" s="13">
        <f t="shared" si="39"/>
        <v>4.8529822850081255</v>
      </c>
      <c r="CB21" s="20">
        <f t="shared" si="10"/>
        <v>33.462283509414711</v>
      </c>
      <c r="CC21" s="59">
        <f t="shared" si="11"/>
        <v>282.69413224722945</v>
      </c>
      <c r="CD21" s="59">
        <f ca="1">AVERAGE(OFFSET($CC$3,0,0,'Données projet'!$E$12+1,1))-AVERAGE(OFFSET($H$3,0,0,'Données projet'!$E$12+1,1))</f>
        <v>177.34129362526608</v>
      </c>
      <c r="CE21" s="59">
        <f t="shared" si="40"/>
        <v>156.93407673501022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61.972322383040378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12</v>
      </c>
      <c r="CT21" s="12">
        <f>IF('Données projet'!$A$140&gt;35,CT20+CS21-DB20,IF(A21&lt;'Données projet'!$A$140,$CQ$205^A21,IF(A21='Données projet'!$A$140,'Données projet'!$B$140,CT20+CS21-DB20)))</f>
        <v>76</v>
      </c>
      <c r="CU21" s="17">
        <f>CT21*VLOOKUP('Données projet'!$B$13,Paramètres!$A$1:$I$89,3,0)*VLOOKUP('Données projet'!$B$13,Paramètres!$A$1:$I$89,5,0)</f>
        <v>49.795200000000001</v>
      </c>
      <c r="CV21" s="13">
        <f t="shared" si="41"/>
        <v>14.560856542690781</v>
      </c>
      <c r="CW21" s="20">
        <f t="shared" si="13"/>
        <v>112.08679847851977</v>
      </c>
      <c r="CX21" s="59">
        <f t="shared" si="14"/>
        <v>361.31864721633451</v>
      </c>
      <c r="CY21" s="59">
        <f ca="1">AVERAGE(OFFSET($CX$3,0,0,'Données projet'!$E$13+1,1))-AVERAGE(OFFSET($H$3,0,0,'Données projet'!$E$13+1,1))</f>
        <v>267.49254683294629</v>
      </c>
      <c r="CZ21" s="59">
        <f t="shared" si="42"/>
        <v>278.02595256967254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61.972322383040378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3.887142857142857</v>
      </c>
      <c r="DO21" s="12">
        <f>IF('Données projet'!$A$166&gt;35,DO20+DN21-DW20,IF(A21&lt;'Données projet'!$A$166,$DL$205^A21,IF(A21='Données projet'!$A$166,'Données projet'!$B$166,DO20+DN21-DW20)))</f>
        <v>69.968571428571408</v>
      </c>
      <c r="DP21" s="17">
        <f>DO21*VLOOKUP('Données projet'!$B$14,Paramètres!$A$1:$I$89,3,0)*VLOOKUP('Données projet'!$B$14,Paramètres!$A$1:$I$89,5,0)</f>
        <v>63.307563428571406</v>
      </c>
      <c r="DQ21" s="13">
        <f t="shared" si="43"/>
        <v>18.001895319269028</v>
      </c>
      <c r="DR21" s="20">
        <f t="shared" si="16"/>
        <v>141.61397398582207</v>
      </c>
      <c r="DS21" s="59">
        <f t="shared" si="17"/>
        <v>390.84582272363679</v>
      </c>
      <c r="DT21" s="59">
        <f ca="1">AVERAGE(OFFSET($DS$3,0,0,'Données projet'!$E$14+1,1))-AVERAGE(OFFSET($H$3,0,0,'Données projet'!$E$14+1,1))</f>
        <v>602.02351907077332</v>
      </c>
      <c r="DU21" s="59">
        <f t="shared" si="44"/>
        <v>278.08067690827272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61.972322383040378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61.972322383040378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61.972322383040378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61.972322383040378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2.2000000000000002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8.0666666666666682</v>
      </c>
      <c r="H22" s="67">
        <f t="shared" si="1"/>
        <v>224.4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62.111584642496162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5.8668181818181813</v>
      </c>
      <c r="N22" s="13">
        <f>IF('Données projet'!$A$36&gt;35,N21+M22-V21,IF(A22&lt;'Données projet'!$A$36,$K$205^A22,IF(A22='Données projet'!$A$36,'Données projet'!$B$36,N21+M22-V21)))</f>
        <v>66.525093718950743</v>
      </c>
      <c r="O22" s="13">
        <f>N22*VLOOKUP('Données projet'!$B$9,Paramètres!$A$1:$I$89,3,0)*VLOOKUP('Données projet'!$B$9,Paramètres!$A$1:$I$89,5,0)</f>
        <v>39.782006043932547</v>
      </c>
      <c r="P22" s="13">
        <f t="shared" si="33"/>
        <v>11.940849220834615</v>
      </c>
      <c r="Q22" s="20">
        <f t="shared" si="2"/>
        <v>90.083972919469474</v>
      </c>
      <c r="R22" s="59">
        <f t="shared" si="0"/>
        <v>341.04867216417762</v>
      </c>
      <c r="S22" s="59">
        <f ca="1">AVERAGE(OFFSET($R$3,0,0,'Données projet'!$E$9+1,1))-AVERAGE(OFFSET($H$3,0,0,'Données projet'!$E$9+1,1))</f>
        <v>360.09035401555587</v>
      </c>
      <c r="T22" s="59">
        <f t="shared" si="34"/>
        <v>266.54879627869821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62.111584642496162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3.8113157894736847</v>
      </c>
      <c r="AI22" s="13">
        <f>IF('Données projet'!$A$62&gt;35,AI21+AH22-AQ21,IF(A22&lt;'Données projet'!$A$62,$AF$205^A22,IF(A22='Données projet'!$A$62,'Données projet'!$B$62,AI21+AH22-AQ21)))</f>
        <v>72.414999999999978</v>
      </c>
      <c r="AJ22" s="13">
        <f>AI22*VLOOKUP('Données projet'!$B$10,Paramètres!$A$1:$I$89,3,0)*VLOOKUP('Données projet'!$B$10,Paramètres!$A$1:$I$89,5,0)</f>
        <v>61.002395999999983</v>
      </c>
      <c r="AK22" s="13">
        <f t="shared" si="35"/>
        <v>17.421461267029571</v>
      </c>
      <c r="AL22" s="20">
        <f t="shared" si="4"/>
        <v>136.58821807340979</v>
      </c>
      <c r="AM22" s="59">
        <f t="shared" si="5"/>
        <v>387.55291731811792</v>
      </c>
      <c r="AN22" s="59">
        <f ca="1">AVERAGE(OFFSET($AM$3,0,0,'Données projet'!$E$10+1,1))-AVERAGE(OFFSET($H$3,0,0,'Données projet'!$E$10+1,1))</f>
        <v>377.26246345103175</v>
      </c>
      <c r="AO22" s="59">
        <f t="shared" si="36"/>
        <v>258.25890564000258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62.111584642496162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26.933333333333326</v>
      </c>
      <c r="BD22" s="12">
        <f>IF('Données projet'!$A$88&gt;35,BD21+BC22-BL21,IF(A22&lt;'Données projet'!$A$88,$BA$205^A22,IF(A22='Données projet'!$A$88,'Données projet'!$B$88,BD21+BC22-BL21)))</f>
        <v>154.42333333333335</v>
      </c>
      <c r="BE22" s="13">
        <f>BD22*VLOOKUP('Données projet'!$B$11,Paramètres!$A$1:$I$89,3,0)*VLOOKUP('Données projet'!$B$11,Paramètres!$A$1:$I$89,5,0)</f>
        <v>68.255113333333355</v>
      </c>
      <c r="BF22" s="13">
        <f t="shared" si="37"/>
        <v>19.239506171249076</v>
      </c>
      <c r="BG22" s="20">
        <f t="shared" si="7"/>
        <v>152.3864623038144</v>
      </c>
      <c r="BH22" s="59">
        <f t="shared" si="8"/>
        <v>403.35116154852255</v>
      </c>
      <c r="BI22" s="59">
        <f ca="1">AVERAGE(OFFSET($BH$3,0,0,'Données projet'!$E$11+1,1))-AVERAGE(OFFSET($H$3,0,0,'Données projet'!$E$11+1,1))</f>
        <v>333.23043896066253</v>
      </c>
      <c r="BJ22" s="59">
        <f t="shared" si="38"/>
        <v>440.63438368668983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23.376337087366331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23.376337087366331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62.111584642496162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2.649969</v>
      </c>
      <c r="BY22" s="12">
        <f>IF('Données projet'!$A$114&gt;35,BY21+BX22-CG21,IF(A22&lt;'Données projet'!$A$114,$BV$205^A22,IF(A22='Données projet'!$A$114,'Données projet'!$B$114,BY21+BX22-CG21)))</f>
        <v>43.456750607444604</v>
      </c>
      <c r="BZ22" s="13">
        <f>BY22*VLOOKUP('Données projet'!$B$12,Paramètres!$A$1:$I$89,3,0)*VLOOKUP('Données projet'!$B$12,Paramètres!$A$1:$I$89,5,0)</f>
        <v>17.513070494800179</v>
      </c>
      <c r="CA22" s="13">
        <f t="shared" si="39"/>
        <v>5.783450055415968</v>
      </c>
      <c r="CB22" s="20">
        <f t="shared" si="10"/>
        <v>40.57477329162645</v>
      </c>
      <c r="CC22" s="59">
        <f t="shared" si="11"/>
        <v>291.53947253633459</v>
      </c>
      <c r="CD22" s="59">
        <f ca="1">AVERAGE(OFFSET($CC$3,0,0,'Données projet'!$E$12+1,1))-AVERAGE(OFFSET($H$3,0,0,'Données projet'!$E$12+1,1))</f>
        <v>177.34129362526608</v>
      </c>
      <c r="CE22" s="59">
        <f t="shared" si="40"/>
        <v>156.93407673501022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62.111584642496162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12</v>
      </c>
      <c r="CT22" s="12">
        <f>IF('Données projet'!$A$140&gt;35,CT21+CS22-DB21,IF(A22&lt;'Données projet'!$A$140,$CQ$205^A22,IF(A22='Données projet'!$A$140,'Données projet'!$B$140,CT21+CS22-DB21)))</f>
        <v>88</v>
      </c>
      <c r="CU22" s="17">
        <f>CT22*VLOOKUP('Données projet'!$B$13,Paramètres!$A$1:$I$89,3,0)*VLOOKUP('Données projet'!$B$13,Paramètres!$A$1:$I$89,5,0)</f>
        <v>57.657600000000002</v>
      </c>
      <c r="CV22" s="13">
        <f t="shared" si="41"/>
        <v>16.574671209026025</v>
      </c>
      <c r="CW22" s="20">
        <f t="shared" si="13"/>
        <v>129.28787235572034</v>
      </c>
      <c r="CX22" s="59">
        <f t="shared" si="14"/>
        <v>380.2525716004285</v>
      </c>
      <c r="CY22" s="59">
        <f ca="1">AVERAGE(OFFSET($CX$3,0,0,'Données projet'!$E$13+1,1))-AVERAGE(OFFSET($H$3,0,0,'Données projet'!$E$13+1,1))</f>
        <v>267.49254683294629</v>
      </c>
      <c r="CZ22" s="59">
        <f t="shared" si="42"/>
        <v>278.02595256967254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62.111584642496162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3.887142857142857</v>
      </c>
      <c r="DO22" s="12">
        <f>IF('Données projet'!$A$166&gt;35,DO21+DN22-DW21,IF(A22&lt;'Données projet'!$A$166,$DL$205^A22,IF(A22='Données projet'!$A$166,'Données projet'!$B$166,DO21+DN22-DW21)))</f>
        <v>73.855714285714271</v>
      </c>
      <c r="DP22" s="17">
        <f>DO22*VLOOKUP('Données projet'!$B$14,Paramètres!$A$1:$I$89,3,0)*VLOOKUP('Données projet'!$B$14,Paramètres!$A$1:$I$89,5,0)</f>
        <v>66.82465028571427</v>
      </c>
      <c r="DQ22" s="13">
        <f t="shared" si="43"/>
        <v>18.882788477272459</v>
      </c>
      <c r="DR22" s="20">
        <f t="shared" si="16"/>
        <v>149.27378917886855</v>
      </c>
      <c r="DS22" s="59">
        <f t="shared" si="17"/>
        <v>400.23848842357671</v>
      </c>
      <c r="DT22" s="59">
        <f ca="1">AVERAGE(OFFSET($DS$3,0,0,'Données projet'!$E$14+1,1))-AVERAGE(OFFSET($H$3,0,0,'Données projet'!$E$14+1,1))</f>
        <v>602.02351907077332</v>
      </c>
      <c r="DU22" s="59">
        <f t="shared" si="44"/>
        <v>278.08067690827272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62.111584642496162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62.111584642496162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62.111584642496162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62.111584642496162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2.2000000000000002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8.0666666666666682</v>
      </c>
      <c r="H23" s="67">
        <f t="shared" si="1"/>
        <v>224.4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62.248431013094155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5.8668181818181813</v>
      </c>
      <c r="N23" s="13">
        <f>IF('Données projet'!$A$36&gt;35,N22+M23-V22,IF(A23&lt;'Données projet'!$A$36,$K$205^A23,IF(A23='Données projet'!$A$36,'Données projet'!$B$36,N22+M23-V22)))</f>
        <v>82.972103429550899</v>
      </c>
      <c r="O23" s="13">
        <f>N23*VLOOKUP('Données projet'!$B$9,Paramètres!$A$1:$I$89,3,0)*VLOOKUP('Données projet'!$B$9,Paramètres!$A$1:$I$89,5,0)</f>
        <v>49.617317850871444</v>
      </c>
      <c r="P23" s="13">
        <f t="shared" si="33"/>
        <v>14.514886181018609</v>
      </c>
      <c r="Q23" s="20">
        <f t="shared" si="2"/>
        <v>111.69692202220851</v>
      </c>
      <c r="R23" s="59">
        <f t="shared" si="0"/>
        <v>364.38561351466484</v>
      </c>
      <c r="S23" s="59">
        <f ca="1">AVERAGE(OFFSET($R$3,0,0,'Données projet'!$E$9+1,1))-AVERAGE(OFFSET($H$3,0,0,'Données projet'!$E$9+1,1))</f>
        <v>360.09035401555587</v>
      </c>
      <c r="T23" s="59">
        <f t="shared" si="34"/>
        <v>266.54879627869821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62.248431013094155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3.8113157894736847</v>
      </c>
      <c r="AI23" s="13">
        <f>IF('Données projet'!$A$62&gt;35,AI22+AH23-AQ22,IF(A23&lt;'Données projet'!$A$62,$AF$205^A23,IF(A23='Données projet'!$A$62,'Données projet'!$B$62,AI22+AH23-AQ22)))</f>
        <v>76.226315789473659</v>
      </c>
      <c r="AJ23" s="13">
        <f>AI23*VLOOKUP('Données projet'!$B$10,Paramètres!$A$1:$I$89,3,0)*VLOOKUP('Données projet'!$B$10,Paramètres!$A$1:$I$89,5,0)</f>
        <v>64.213048421052619</v>
      </c>
      <c r="AK23" s="13">
        <f t="shared" si="35"/>
        <v>18.229216465577537</v>
      </c>
      <c r="AL23" s="20">
        <f t="shared" si="4"/>
        <v>143.58694467754751</v>
      </c>
      <c r="AM23" s="59">
        <f t="shared" si="5"/>
        <v>396.27563617000385</v>
      </c>
      <c r="AN23" s="59">
        <f ca="1">AVERAGE(OFFSET($AM$3,0,0,'Données projet'!$E$10+1,1))-AVERAGE(OFFSET($H$3,0,0,'Données projet'!$E$10+1,1))</f>
        <v>377.26246345103175</v>
      </c>
      <c r="AO23" s="59">
        <f t="shared" si="36"/>
        <v>258.25890564000258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62.248431013094155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26.933333333333326</v>
      </c>
      <c r="BD23" s="12">
        <f>IF('Données projet'!$A$88&gt;35,BD22+BC23-BL22,IF(A23&lt;'Données projet'!$A$88,$BA$205^A23,IF(A23='Données projet'!$A$88,'Données projet'!$B$88,BD22+BC23-BL22)))</f>
        <v>181.35666666666668</v>
      </c>
      <c r="BE23" s="13">
        <f>BD23*VLOOKUP('Données projet'!$B$11,Paramètres!$A$1:$I$89,3,0)*VLOOKUP('Données projet'!$B$11,Paramètres!$A$1:$I$89,5,0)</f>
        <v>80.159646666666688</v>
      </c>
      <c r="BF23" s="13">
        <f t="shared" si="37"/>
        <v>22.176214038404822</v>
      </c>
      <c r="BG23" s="20">
        <f t="shared" si="7"/>
        <v>178.23495739466622</v>
      </c>
      <c r="BH23" s="59">
        <f t="shared" si="8"/>
        <v>430.92364888712257</v>
      </c>
      <c r="BI23" s="59">
        <f ca="1">AVERAGE(OFFSET($BH$3,0,0,'Données projet'!$E$11+1,1))-AVERAGE(OFFSET($H$3,0,0,'Données projet'!$E$11+1,1))</f>
        <v>333.23043896066253</v>
      </c>
      <c r="BJ23" s="59">
        <f t="shared" si="38"/>
        <v>440.63438368668983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22.737109920404158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22.737109920404158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62.248431013094155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52.999380000000002</v>
      </c>
      <c r="BW23" s="12">
        <f>VLOOKUP(A23,'Données projet'!$A$113:$I$133,9,0)</f>
        <v>2.649969</v>
      </c>
      <c r="BX23" s="12">
        <f t="array" ref="BX23">INDEX(BW:BW,MIN(IF(ISNUMBER(BW23:BW219),ROW(BW23:BW219),"")))</f>
        <v>2.649969</v>
      </c>
      <c r="BY23" s="12">
        <f>IF('Données projet'!$A$114&gt;35,BY22+BX23-CG22,IF(A23&lt;'Données projet'!$A$114,$BV$205^A23,IF(A23='Données projet'!$A$114,'Données projet'!$B$114,BY22+BX23-CG22)))</f>
        <v>52.999380000000002</v>
      </c>
      <c r="BZ23" s="13">
        <f>BY23*VLOOKUP('Données projet'!$B$12,Paramètres!$A$1:$I$89,3,0)*VLOOKUP('Données projet'!$B$12,Paramètres!$A$1:$I$89,5,0)</f>
        <v>21.358750139999998</v>
      </c>
      <c r="CA23" s="13">
        <f t="shared" si="39"/>
        <v>6.8923174615369502</v>
      </c>
      <c r="CB23" s="20">
        <f t="shared" si="10"/>
        <v>49.203942739343518</v>
      </c>
      <c r="CC23" s="59">
        <f t="shared" si="11"/>
        <v>301.89263423179989</v>
      </c>
      <c r="CD23" s="59">
        <f ca="1">AVERAGE(OFFSET($CC$3,0,0,'Données projet'!$E$12+1,1))-AVERAGE(OFFSET($H$3,0,0,'Données projet'!$E$12+1,1))</f>
        <v>177.34129362526608</v>
      </c>
      <c r="CE23" s="59">
        <f t="shared" si="40"/>
        <v>156.93407673501022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1.4421600000000001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0.55000000000000004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0.42237303045648139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0.42237303045648139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62.248431013094155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100</v>
      </c>
      <c r="CR23" s="12">
        <f>VLOOKUP(A23,'Données projet'!$A$139:$I$159,9,0)</f>
        <v>12</v>
      </c>
      <c r="CS23" s="12">
        <f t="array" ref="CS23">INDEX(CR:CR,MIN(IF(ISNUMBER(CR23:CR219),ROW(CR23:CR219),"")))</f>
        <v>12</v>
      </c>
      <c r="CT23" s="12">
        <f>IF('Données projet'!$A$140&gt;35,CT22+CS23-DB22,IF(A23&lt;'Données projet'!$A$140,$CQ$205^A23,IF(A23='Données projet'!$A$140,'Données projet'!$B$140,CT22+CS23-DB22)))</f>
        <v>100</v>
      </c>
      <c r="CU23" s="17">
        <f>CT23*VLOOKUP('Données projet'!$B$13,Paramètres!$A$1:$I$89,3,0)*VLOOKUP('Données projet'!$B$13,Paramètres!$A$1:$I$89,5,0)</f>
        <v>65.52</v>
      </c>
      <c r="CV23" s="13">
        <f t="shared" si="41"/>
        <v>18.556669503136725</v>
      </c>
      <c r="CW23" s="20">
        <f t="shared" si="13"/>
        <v>146.43353271796309</v>
      </c>
      <c r="CX23" s="59">
        <f t="shared" si="14"/>
        <v>399.1222242104194</v>
      </c>
      <c r="CY23" s="59">
        <f ca="1">AVERAGE(OFFSET($CX$3,0,0,'Données projet'!$E$13+1,1))-AVERAGE(OFFSET($H$3,0,0,'Données projet'!$E$13+1,1))</f>
        <v>267.49254683294629</v>
      </c>
      <c r="CZ23" s="59">
        <f t="shared" si="42"/>
        <v>278.02595256967254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10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62.248431013094155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3.887142857142857</v>
      </c>
      <c r="DO23" s="12">
        <f>IF('Données projet'!$A$166&gt;35,DO22+DN23-DW22,IF(A23&lt;'Données projet'!$A$166,$DL$205^A23,IF(A23='Données projet'!$A$166,'Données projet'!$B$166,DO22+DN23-DW22)))</f>
        <v>77.742857142857133</v>
      </c>
      <c r="DP23" s="17">
        <f>DO23*VLOOKUP('Données projet'!$B$14,Paramètres!$A$1:$I$89,3,0)*VLOOKUP('Données projet'!$B$14,Paramètres!$A$1:$I$89,5,0)</f>
        <v>70.341737142857127</v>
      </c>
      <c r="DQ23" s="13">
        <f t="shared" si="43"/>
        <v>19.758298879173367</v>
      </c>
      <c r="DR23" s="20">
        <f t="shared" si="16"/>
        <v>156.92422940503644</v>
      </c>
      <c r="DS23" s="59">
        <f t="shared" si="17"/>
        <v>409.61292089749281</v>
      </c>
      <c r="DT23" s="59">
        <f ca="1">AVERAGE(OFFSET($DS$3,0,0,'Données projet'!$E$14+1,1))-AVERAGE(OFFSET($H$3,0,0,'Données projet'!$E$14+1,1))</f>
        <v>602.02351907077332</v>
      </c>
      <c r="DU23" s="59">
        <f t="shared" si="44"/>
        <v>278.08067690827272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62.248431013094155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62.248431013094155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62.248431013094155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62.248431013094155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2.2000000000000002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8.0666666666666682</v>
      </c>
      <c r="H24" s="67">
        <f t="shared" si="1"/>
        <v>224.4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62.382903405104926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5.8668181818181813</v>
      </c>
      <c r="N24" s="13">
        <f>IF('Données projet'!$A$36&gt;35,N23+M24-V23,IF(A24&lt;'Données projet'!$A$36,$K$205^A24,IF(A24='Données projet'!$A$36,'Données projet'!$B$36,N23+M24-V23)))</f>
        <v>103.48531001863087</v>
      </c>
      <c r="O24" s="13">
        <f>N24*VLOOKUP('Données projet'!$B$9,Paramètres!$A$1:$I$89,3,0)*VLOOKUP('Données projet'!$B$9,Paramètres!$A$1:$I$89,5,0)</f>
        <v>61.884215391141261</v>
      </c>
      <c r="P24" s="13">
        <f t="shared" si="33"/>
        <v>17.643797099482939</v>
      </c>
      <c r="Q24" s="20">
        <f t="shared" si="2"/>
        <v>138.51128842117049</v>
      </c>
      <c r="R24" s="59">
        <f t="shared" si="0"/>
        <v>392.91526757322185</v>
      </c>
      <c r="S24" s="59">
        <f ca="1">AVERAGE(OFFSET($R$3,0,0,'Données projet'!$E$9+1,1))-AVERAGE(OFFSET($H$3,0,0,'Données projet'!$E$9+1,1))</f>
        <v>360.09035401555587</v>
      </c>
      <c r="T24" s="59">
        <f t="shared" si="34"/>
        <v>266.54879627869821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62.382903405104926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3.8113157894736847</v>
      </c>
      <c r="AI24" s="13">
        <f>IF('Données projet'!$A$62&gt;35,AI23+AH24-AQ23,IF(A24&lt;'Données projet'!$A$62,$AF$205^A24,IF(A24='Données projet'!$A$62,'Données projet'!$B$62,AI23+AH24-AQ23)))</f>
        <v>80.037631578947341</v>
      </c>
      <c r="AJ24" s="13">
        <f>AI24*VLOOKUP('Données projet'!$B$10,Paramètres!$A$1:$I$89,3,0)*VLOOKUP('Données projet'!$B$10,Paramètres!$A$1:$I$89,5,0)</f>
        <v>67.423700842105248</v>
      </c>
      <c r="AK24" s="13">
        <f t="shared" si="35"/>
        <v>19.032282119734433</v>
      </c>
      <c r="AL24" s="20">
        <f t="shared" si="4"/>
        <v>150.57750365853744</v>
      </c>
      <c r="AM24" s="59">
        <f t="shared" si="5"/>
        <v>404.98148281058883</v>
      </c>
      <c r="AN24" s="59">
        <f ca="1">AVERAGE(OFFSET($AM$3,0,0,'Données projet'!$E$10+1,1))-AVERAGE(OFFSET($H$3,0,0,'Données projet'!$E$10+1,1))</f>
        <v>377.26246345103175</v>
      </c>
      <c r="AO24" s="59">
        <f t="shared" si="36"/>
        <v>258.25890564000258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62.382903405104926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26.933333333333326</v>
      </c>
      <c r="BD24" s="12">
        <f>IF('Données projet'!$A$88&gt;35,BD23+BC24-BL23,IF(A24&lt;'Données projet'!$A$88,$BA$205^A24,IF(A24='Données projet'!$A$88,'Données projet'!$B$88,BD23+BC24-BL23)))</f>
        <v>208.29000000000002</v>
      </c>
      <c r="BE24" s="13">
        <f>BD24*VLOOKUP('Données projet'!$B$11,Paramètres!$A$1:$I$89,3,0)*VLOOKUP('Données projet'!$B$11,Paramètres!$A$1:$I$89,5,0)</f>
        <v>92.064180000000022</v>
      </c>
      <c r="BF24" s="13">
        <f t="shared" si="37"/>
        <v>25.062396586115501</v>
      </c>
      <c r="BG24" s="20">
        <f t="shared" si="7"/>
        <v>203.99545422081783</v>
      </c>
      <c r="BH24" s="59">
        <f t="shared" si="8"/>
        <v>458.39943337286923</v>
      </c>
      <c r="BI24" s="59">
        <f ca="1">AVERAGE(OFFSET($BH$3,0,0,'Données projet'!$E$11+1,1))-AVERAGE(OFFSET($H$3,0,0,'Données projet'!$E$11+1,1))</f>
        <v>333.23043896066253</v>
      </c>
      <c r="BJ24" s="59">
        <f t="shared" si="38"/>
        <v>440.63438368668983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22.115362453938062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22.115362453938062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62.382903405104926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9.1937700000000007</v>
      </c>
      <c r="BY24" s="12">
        <f>IF('Données projet'!$A$114&gt;35,BY23+BX24-CG23,IF(A24&lt;'Données projet'!$A$114,$BV$205^A24,IF(A24='Données projet'!$A$114,'Données projet'!$B$114,BY23+BX24-CG23)))</f>
        <v>60.750990000000002</v>
      </c>
      <c r="BZ24" s="13">
        <f>BY24*VLOOKUP('Données projet'!$B$12,Paramètres!$A$1:$I$89,3,0)*VLOOKUP('Données projet'!$B$12,Paramètres!$A$1:$I$89,5,0)</f>
        <v>24.482648970000003</v>
      </c>
      <c r="CA24" s="13">
        <f t="shared" si="39"/>
        <v>7.7758406528048667</v>
      </c>
      <c r="CB24" s="20">
        <f t="shared" si="10"/>
        <v>56.183536093051821</v>
      </c>
      <c r="CC24" s="59">
        <f t="shared" si="11"/>
        <v>310.58751524510319</v>
      </c>
      <c r="CD24" s="59">
        <f ca="1">AVERAGE(OFFSET($CC$3,0,0,'Données projet'!$E$12+1,1))-AVERAGE(OFFSET($H$3,0,0,'Données projet'!$E$12+1,1))</f>
        <v>177.34129362526608</v>
      </c>
      <c r="CE24" s="59">
        <f t="shared" si="40"/>
        <v>156.93407673501022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0.41082321772701658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0.41082321772701658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62.382903405104926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9.6</v>
      </c>
      <c r="CT24" s="12">
        <f>IF('Données projet'!$A$140&gt;35,CT23+CS24-DB23,IF(A24&lt;'Données projet'!$A$140,$CQ$205^A24,IF(A24='Données projet'!$A$140,'Données projet'!$B$140,CT23+CS24-DB23)))</f>
        <v>99.6</v>
      </c>
      <c r="CU24" s="17">
        <f>CT24*VLOOKUP('Données projet'!$B$13,Paramètres!$A$1:$I$89,3,0)*VLOOKUP('Données projet'!$B$13,Paramètres!$A$1:$I$89,5,0)</f>
        <v>65.257919999999999</v>
      </c>
      <c r="CV24" s="13">
        <f t="shared" si="41"/>
        <v>18.491067519086762</v>
      </c>
      <c r="CW24" s="20">
        <f t="shared" si="13"/>
        <v>145.8628199290761</v>
      </c>
      <c r="CX24" s="59">
        <f t="shared" si="14"/>
        <v>400.26679908112749</v>
      </c>
      <c r="CY24" s="59">
        <f ca="1">AVERAGE(OFFSET($CX$3,0,0,'Données projet'!$E$13+1,1))-AVERAGE(OFFSET($H$3,0,0,'Données projet'!$E$13+1,1))</f>
        <v>267.49254683294629</v>
      </c>
      <c r="CZ24" s="59">
        <f t="shared" si="42"/>
        <v>278.02595256967254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62.382903405104926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3.887142857142857</v>
      </c>
      <c r="DO24" s="12">
        <f>IF('Données projet'!$A$166&gt;35,DO23+DN24-DW23,IF(A24&lt;'Données projet'!$A$166,$DL$205^A24,IF(A24='Données projet'!$A$166,'Données projet'!$B$166,DO23+DN24-DW23)))</f>
        <v>81.63</v>
      </c>
      <c r="DP24" s="17">
        <f>DO24*VLOOKUP('Données projet'!$B$14,Paramètres!$A$1:$I$89,3,0)*VLOOKUP('Données projet'!$B$14,Paramètres!$A$1:$I$89,5,0)</f>
        <v>73.858823999999984</v>
      </c>
      <c r="DQ24" s="13">
        <f t="shared" si="43"/>
        <v>20.628726373651425</v>
      </c>
      <c r="DR24" s="20">
        <f t="shared" si="16"/>
        <v>164.56581690077618</v>
      </c>
      <c r="DS24" s="59">
        <f t="shared" si="17"/>
        <v>418.96979605282758</v>
      </c>
      <c r="DT24" s="59">
        <f ca="1">AVERAGE(OFFSET($DS$3,0,0,'Données projet'!$E$14+1,1))-AVERAGE(OFFSET($H$3,0,0,'Données projet'!$E$14+1,1))</f>
        <v>602.02351907077332</v>
      </c>
      <c r="DU24" s="59">
        <f t="shared" si="44"/>
        <v>278.08067690827272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62.382903405104926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62.382903405104926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62.382903405104926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62.382903405104926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2.2000000000000002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8.0666666666666682</v>
      </c>
      <c r="H25" s="67">
        <f t="shared" si="1"/>
        <v>224.4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62.51504300174954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129.07</v>
      </c>
      <c r="L25" s="12">
        <f>VLOOKUP(A25,'Données projet'!$A$35:$I$55,9,0)</f>
        <v>5.8668181818181813</v>
      </c>
      <c r="M25" s="12">
        <f t="array" ref="M25">INDEX(L:L,MIN(IF(ISNUMBER(L25:L221),ROW(L25:L221),"")))</f>
        <v>5.8668181818181813</v>
      </c>
      <c r="N25" s="13">
        <f>IF('Données projet'!$A$36&gt;35,N24+M25-V24,IF(A25&lt;'Données projet'!$A$36,$K$205^A25,IF(A25='Données projet'!$A$36,'Données projet'!$B$36,N24+M25-V24)))</f>
        <v>129.07</v>
      </c>
      <c r="O25" s="13">
        <f>N25*VLOOKUP('Données projet'!$B$9,Paramètres!$A$1:$I$89,3,0)*VLOOKUP('Données projet'!$B$9,Paramètres!$A$1:$I$89,5,0)</f>
        <v>77.183859999999996</v>
      </c>
      <c r="P25" s="13">
        <f t="shared" si="33"/>
        <v>21.447193743401183</v>
      </c>
      <c r="Q25" s="20">
        <f t="shared" si="2"/>
        <v>171.78241860309038</v>
      </c>
      <c r="R25" s="59">
        <f t="shared" si="0"/>
        <v>427.8931318317276</v>
      </c>
      <c r="S25" s="59">
        <f ca="1">AVERAGE(OFFSET($R$3,0,0,'Données projet'!$E$9+1,1))-AVERAGE(OFFSET($H$3,0,0,'Données projet'!$E$9+1,1))</f>
        <v>360.09035401555587</v>
      </c>
      <c r="T25" s="59">
        <f t="shared" si="34"/>
        <v>266.54879627869821</v>
      </c>
      <c r="U25" s="15">
        <f>IF(ISNA(VLOOKUP(A25,'Données projet'!$A$35:$I$55,3,0)),0,VLOOKUP(A25,'Données projet'!$A$35:$I$55,3,0))</f>
        <v>1</v>
      </c>
      <c r="V25" s="15">
        <f>IF(ISNA(VLOOKUP(A25,'Données projet'!$A$35:$I$55,4,0)),0,VLOOKUP(A25,'Données projet'!$A$35:$I$55,4,0))</f>
        <v>52.41</v>
      </c>
      <c r="W25" s="16">
        <f>IF(ISNA(VLOOKUP(A25,'Données projet'!$A$35:$I$55,5,0)),0%,VLOOKUP(A25,'Données projet'!$A$35:$I$55,5,0)*VLOOKUP('Données projet'!$B$9,Paramètres!$A$1:$I$89,7,0))</f>
        <v>4.5000000000000005E-2</v>
      </c>
      <c r="X25" s="16">
        <f>IF(ISNA(VLOOKUP(A25,'Données projet'!$A$35:$I$55,6,0)),0%,VLOOKUP(A25,'Données projet'!$A$35:$I$55,6,0)*VLOOKUP('Données projet'!$B$9,Paramètres!$A$1:$I$89,7,0))</f>
        <v>0.36000000000000004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1.8709242920789675</v>
      </c>
      <c r="AA25" s="21">
        <f>EXP(-LN(2)/25)*AA24+(1-EXP(-LN(2)/25))/(LN(2)/25)*Calculateur!V25*Calculateur!X25*VLOOKUP('Données projet'!$B$9,Paramètres!$A$1:$I$89,3,0)*0.475*44/12</f>
        <v>14.908462002104068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16.779386294183034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62.51504300174954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3.8113157894736847</v>
      </c>
      <c r="AI25" s="13">
        <f>IF('Données projet'!$A$62&gt;35,AI24+AH25-AQ24,IF(A25&lt;'Données projet'!$A$62,$AF$205^A25,IF(A25='Données projet'!$A$62,'Données projet'!$B$62,AI24+AH25-AQ24)))</f>
        <v>83.848947368421022</v>
      </c>
      <c r="AJ25" s="13">
        <f>AI25*VLOOKUP('Données projet'!$B$10,Paramètres!$A$1:$I$89,3,0)*VLOOKUP('Données projet'!$B$10,Paramètres!$A$1:$I$89,5,0)</f>
        <v>70.634353263157877</v>
      </c>
      <c r="AK25" s="13">
        <f t="shared" si="35"/>
        <v>19.83090703731613</v>
      </c>
      <c r="AL25" s="20">
        <f t="shared" si="4"/>
        <v>157.56032835665889</v>
      </c>
      <c r="AM25" s="59">
        <f t="shared" si="5"/>
        <v>413.67104158529611</v>
      </c>
      <c r="AN25" s="59">
        <f ca="1">AVERAGE(OFFSET($AM$3,0,0,'Données projet'!$E$10+1,1))-AVERAGE(OFFSET($H$3,0,0,'Données projet'!$E$10+1,1))</f>
        <v>377.26246345103175</v>
      </c>
      <c r="AO25" s="59">
        <f t="shared" si="36"/>
        <v>258.25890564000258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62.51504300174954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26.933333333333326</v>
      </c>
      <c r="BD25" s="12">
        <f>IF('Données projet'!$A$88&gt;35,BD24+BC25-BL24,IF(A25&lt;'Données projet'!$A$88,$BA$205^A25,IF(A25='Données projet'!$A$88,'Données projet'!$B$88,BD24+BC25-BL24)))</f>
        <v>235.22333333333336</v>
      </c>
      <c r="BE25" s="13">
        <f>BD25*VLOOKUP('Données projet'!$B$11,Paramètres!$A$1:$I$89,3,0)*VLOOKUP('Données projet'!$B$11,Paramètres!$A$1:$I$89,5,0)</f>
        <v>103.96871333333335</v>
      </c>
      <c r="BF25" s="13">
        <f t="shared" si="37"/>
        <v>27.905336478184612</v>
      </c>
      <c r="BG25" s="20">
        <f t="shared" si="7"/>
        <v>229.68063675506048</v>
      </c>
      <c r="BH25" s="59">
        <f t="shared" si="8"/>
        <v>485.79134998369773</v>
      </c>
      <c r="BI25" s="59">
        <f ca="1">AVERAGE(OFFSET($BH$3,0,0,'Données projet'!$E$11+1,1))-AVERAGE(OFFSET($H$3,0,0,'Données projet'!$E$11+1,1))</f>
        <v>333.23043896066253</v>
      </c>
      <c r="BJ25" s="59">
        <f t="shared" si="38"/>
        <v>440.63438368668983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21.51061670463876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21.51061670463876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62.51504300174954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9.1937700000000007</v>
      </c>
      <c r="BY25" s="12">
        <f>IF('Données projet'!$A$114&gt;35,BY24+BX25-CG24,IF(A25&lt;'Données projet'!$A$114,$BV$205^A25,IF(A25='Données projet'!$A$114,'Données projet'!$B$114,BY24+BX25-CG24)))</f>
        <v>69.944760000000002</v>
      </c>
      <c r="BZ25" s="13">
        <f>BY25*VLOOKUP('Données projet'!$B$12,Paramètres!$A$1:$I$89,3,0)*VLOOKUP('Données projet'!$B$12,Paramètres!$A$1:$I$89,5,0)</f>
        <v>28.187738280000001</v>
      </c>
      <c r="CA25" s="13">
        <f t="shared" si="39"/>
        <v>8.8069450072925211</v>
      </c>
      <c r="CB25" s="20">
        <f t="shared" si="10"/>
        <v>64.432406725367812</v>
      </c>
      <c r="CC25" s="59">
        <f t="shared" si="11"/>
        <v>320.54311995400502</v>
      </c>
      <c r="CD25" s="59">
        <f ca="1">AVERAGE(OFFSET($CC$3,0,0,'Données projet'!$E$12+1,1))-AVERAGE(OFFSET($H$3,0,0,'Données projet'!$E$12+1,1))</f>
        <v>177.34129362526608</v>
      </c>
      <c r="CE25" s="59">
        <f t="shared" si="40"/>
        <v>156.93407673501022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0.39958923523401724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0.39958923523401724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62.51504300174954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9.6</v>
      </c>
      <c r="CT25" s="12">
        <f>IF('Données projet'!$A$140&gt;35,CT24+CS25-DB24,IF(A25&lt;'Données projet'!$A$140,$CQ$205^A25,IF(A25='Données projet'!$A$140,'Données projet'!$B$140,CT24+CS25-DB24)))</f>
        <v>109.19999999999999</v>
      </c>
      <c r="CU25" s="17">
        <f>CT25*VLOOKUP('Données projet'!$B$13,Paramètres!$A$1:$I$89,3,0)*VLOOKUP('Données projet'!$B$13,Paramètres!$A$1:$I$89,5,0)</f>
        <v>71.547839999999994</v>
      </c>
      <c r="CV25" s="13">
        <f t="shared" si="41"/>
        <v>20.05735014974319</v>
      </c>
      <c r="CW25" s="20">
        <f t="shared" si="13"/>
        <v>159.54570617746938</v>
      </c>
      <c r="CX25" s="59">
        <f t="shared" si="14"/>
        <v>415.65641940610658</v>
      </c>
      <c r="CY25" s="59">
        <f ca="1">AVERAGE(OFFSET($CX$3,0,0,'Données projet'!$E$13+1,1))-AVERAGE(OFFSET($H$3,0,0,'Données projet'!$E$13+1,1))</f>
        <v>267.49254683294629</v>
      </c>
      <c r="CZ25" s="59">
        <f t="shared" si="42"/>
        <v>278.02595256967254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62.51504300174954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3.887142857142857</v>
      </c>
      <c r="DO25" s="12">
        <f>IF('Données projet'!$A$166&gt;35,DO24+DN25-DW24,IF(A25&lt;'Données projet'!$A$166,$DL$205^A25,IF(A25='Données projet'!$A$166,'Données projet'!$B$166,DO24+DN25-DW24)))</f>
        <v>85.517142857142858</v>
      </c>
      <c r="DP25" s="17">
        <f>DO25*VLOOKUP('Données projet'!$B$14,Paramètres!$A$1:$I$89,3,0)*VLOOKUP('Données projet'!$B$14,Paramètres!$A$1:$I$89,5,0)</f>
        <v>77.375910857142856</v>
      </c>
      <c r="DQ25" s="13">
        <f t="shared" si="43"/>
        <v>21.49434063873689</v>
      </c>
      <c r="DR25" s="20">
        <f t="shared" si="16"/>
        <v>172.19902135532388</v>
      </c>
      <c r="DS25" s="59">
        <f t="shared" si="17"/>
        <v>428.30973458396113</v>
      </c>
      <c r="DT25" s="59">
        <f ca="1">AVERAGE(OFFSET($DS$3,0,0,'Données projet'!$E$14+1,1))-AVERAGE(OFFSET($H$3,0,0,'Données projet'!$E$14+1,1))</f>
        <v>602.02351907077332</v>
      </c>
      <c r="DU25" s="59">
        <f t="shared" si="44"/>
        <v>278.08067690827272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62.51504300174954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62.51504300174954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62.51504300174954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62.51504300174954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2.2000000000000002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8.0666666666666682</v>
      </c>
      <c r="H26" s="67">
        <f t="shared" si="1"/>
        <v>224.4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62.644890271812251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15.766000000000002</v>
      </c>
      <c r="N26" s="13">
        <f>IF('Données projet'!$A$36&gt;35,N25+M26-V25,IF(A26&lt;'Données projet'!$A$36,$K$205^A26,IF(A26='Données projet'!$A$36,'Données projet'!$B$36,N25+M26-V25)))</f>
        <v>92.425999999999988</v>
      </c>
      <c r="O26" s="13">
        <f>N26*VLOOKUP('Données projet'!$B$9,Paramètres!$A$1:$I$89,3,0)*VLOOKUP('Données projet'!$B$9,Paramètres!$A$1:$I$89,5,0)</f>
        <v>55.27074799999999</v>
      </c>
      <c r="P26" s="13">
        <f t="shared" si="33"/>
        <v>15.966912640281619</v>
      </c>
      <c r="Q26" s="20">
        <f t="shared" si="2"/>
        <v>124.07225894849046</v>
      </c>
      <c r="R26" s="59">
        <f t="shared" si="0"/>
        <v>381.88130105624651</v>
      </c>
      <c r="S26" s="59">
        <f ca="1">AVERAGE(OFFSET($R$3,0,0,'Données projet'!$E$9+1,1))-AVERAGE(OFFSET($H$3,0,0,'Données projet'!$E$9+1,1))</f>
        <v>360.09035401555587</v>
      </c>
      <c r="T26" s="59">
        <f t="shared" si="34"/>
        <v>266.54879627869821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1.8342366078624377</v>
      </c>
      <c r="AA26" s="21">
        <f>EXP(-LN(2)/25)*AA25+(1-EXP(-LN(2)/25))/(LN(2)/25)*Calculateur!V26*Calculateur!X26*VLOOKUP('Données projet'!$B$9,Paramètres!$A$1:$I$89,3,0)*0.475*44/12</f>
        <v>14.500789324654589</v>
      </c>
      <c r="AB26" s="21">
        <f>EXP(-LN(2)/2)*AB25+(1-EXP(-LN(2)/2))/(LN(2)/2)*V26*Y26*VLOOKUP('Données projet'!$B$9,Paramètres!$A$1:$I$89,3,0)*0.475*44/12</f>
        <v>0</v>
      </c>
      <c r="AC26" s="22">
        <f t="shared" si="3"/>
        <v>16.335025932517027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62.644890271812251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3.8113157894736847</v>
      </c>
      <c r="AI26" s="13">
        <f>IF('Données projet'!$A$62&gt;35,AI25+AH26-AQ25,IF(A26&lt;'Données projet'!$A$62,$AF$205^A26,IF(A26='Données projet'!$A$62,'Données projet'!$B$62,AI25+AH26-AQ25)))</f>
        <v>87.660263157894704</v>
      </c>
      <c r="AJ26" s="13">
        <f>AI26*VLOOKUP('Données projet'!$B$10,Paramètres!$A$1:$I$89,3,0)*VLOOKUP('Données projet'!$B$10,Paramètres!$A$1:$I$89,5,0)</f>
        <v>73.845005684210506</v>
      </c>
      <c r="AK26" s="13">
        <f t="shared" si="35"/>
        <v>20.625316128684492</v>
      </c>
      <c r="AL26" s="20">
        <f t="shared" si="4"/>
        <v>164.5358104907921</v>
      </c>
      <c r="AM26" s="59">
        <f t="shared" si="5"/>
        <v>422.34485259854819</v>
      </c>
      <c r="AN26" s="59">
        <f ca="1">AVERAGE(OFFSET($AM$3,0,0,'Données projet'!$E$10+1,1))-AVERAGE(OFFSET($H$3,0,0,'Données projet'!$E$10+1,1))</f>
        <v>377.26246345103175</v>
      </c>
      <c r="AO26" s="59">
        <f t="shared" si="36"/>
        <v>258.25890564000258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62.644890271812251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26.933333333333326</v>
      </c>
      <c r="BD26" s="12">
        <f>IF('Données projet'!$A$88&gt;35,BD25+BC26-BL25,IF(A26&lt;'Données projet'!$A$88,$BA$205^A26,IF(A26='Données projet'!$A$88,'Données projet'!$B$88,BD25+BC26-BL25)))</f>
        <v>262.15666666666669</v>
      </c>
      <c r="BE26" s="13">
        <f>BD26*VLOOKUP('Données projet'!$B$11,Paramètres!$A$1:$I$89,3,0)*VLOOKUP('Données projet'!$B$11,Paramètres!$A$1:$I$89,5,0)</f>
        <v>115.87324666666669</v>
      </c>
      <c r="BF26" s="13">
        <f t="shared" si="37"/>
        <v>30.710550321414171</v>
      </c>
      <c r="BG26" s="20">
        <f t="shared" si="7"/>
        <v>255.30011308757412</v>
      </c>
      <c r="BH26" s="59">
        <f t="shared" si="8"/>
        <v>513.10915519533023</v>
      </c>
      <c r="BI26" s="59">
        <f ca="1">AVERAGE(OFFSET($BH$3,0,0,'Données projet'!$E$11+1,1))-AVERAGE(OFFSET($H$3,0,0,'Données projet'!$E$11+1,1))</f>
        <v>333.23043896066253</v>
      </c>
      <c r="BJ26" s="59">
        <f t="shared" si="38"/>
        <v>440.63438368668983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20.922407759656245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20.922407759656245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62.644890271812251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9.1937700000000007</v>
      </c>
      <c r="BY26" s="12">
        <f>IF('Données projet'!$A$114&gt;35,BY25+BX26-CG25,IF(A26&lt;'Données projet'!$A$114,$BV$205^A26,IF(A26='Données projet'!$A$114,'Données projet'!$B$114,BY25+BX26-CG25)))</f>
        <v>79.138530000000003</v>
      </c>
      <c r="BZ26" s="13">
        <f>BY26*VLOOKUP('Données projet'!$B$12,Paramètres!$A$1:$I$89,3,0)*VLOOKUP('Données projet'!$B$12,Paramètres!$A$1:$I$89,5,0)</f>
        <v>31.892827590000003</v>
      </c>
      <c r="CA26" s="13">
        <f t="shared" si="39"/>
        <v>9.8223458513257285</v>
      </c>
      <c r="CB26" s="20">
        <f t="shared" si="10"/>
        <v>72.653927076975648</v>
      </c>
      <c r="CC26" s="59">
        <f t="shared" si="11"/>
        <v>330.46296918473172</v>
      </c>
      <c r="CD26" s="59">
        <f ca="1">AVERAGE(OFFSET($CC$3,0,0,'Données projet'!$E$12+1,1))-AVERAGE(OFFSET($H$3,0,0,'Données projet'!$E$12+1,1))</f>
        <v>177.34129362526608</v>
      </c>
      <c r="CE26" s="59">
        <f t="shared" si="40"/>
        <v>156.93407673501022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0.38866244658305843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0.38866244658305843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62.644890271812251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9.6</v>
      </c>
      <c r="CT26" s="12">
        <f>IF('Données projet'!$A$140&gt;35,CT25+CS26-DB25,IF(A26&lt;'Données projet'!$A$140,$CQ$205^A26,IF(A26='Données projet'!$A$140,'Données projet'!$B$140,CT25+CS26-DB25)))</f>
        <v>118.79999999999998</v>
      </c>
      <c r="CU26" s="17">
        <f>CT26*VLOOKUP('Données projet'!$B$13,Paramètres!$A$1:$I$89,3,0)*VLOOKUP('Données projet'!$B$13,Paramètres!$A$1:$I$89,5,0)</f>
        <v>77.837759999999989</v>
      </c>
      <c r="CV26" s="13">
        <f t="shared" si="41"/>
        <v>21.607665094033621</v>
      </c>
      <c r="CW26" s="20">
        <f t="shared" si="13"/>
        <v>173.2007820387752</v>
      </c>
      <c r="CX26" s="59">
        <f t="shared" si="14"/>
        <v>431.00982414653129</v>
      </c>
      <c r="CY26" s="59">
        <f ca="1">AVERAGE(OFFSET($CX$3,0,0,'Données projet'!$E$13+1,1))-AVERAGE(OFFSET($H$3,0,0,'Données projet'!$E$13+1,1))</f>
        <v>267.49254683294629</v>
      </c>
      <c r="CZ26" s="59">
        <f t="shared" si="42"/>
        <v>278.02595256967254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62.644890271812251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3.887142857142857</v>
      </c>
      <c r="DO26" s="12">
        <f>IF('Données projet'!$A$166&gt;35,DO25+DN26-DW25,IF(A26&lt;'Données projet'!$A$166,$DL$205^A26,IF(A26='Données projet'!$A$166,'Données projet'!$B$166,DO25+DN26-DW25)))</f>
        <v>89.40428571428572</v>
      </c>
      <c r="DP26" s="17">
        <f>DO26*VLOOKUP('Données projet'!$B$14,Paramètres!$A$1:$I$89,3,0)*VLOOKUP('Données projet'!$B$14,Paramètres!$A$1:$I$89,5,0)</f>
        <v>80.892997714285713</v>
      </c>
      <c r="DQ26" s="13">
        <f t="shared" si="43"/>
        <v>22.355385450466887</v>
      </c>
      <c r="DR26" s="20">
        <f t="shared" si="16"/>
        <v>179.82426734527743</v>
      </c>
      <c r="DS26" s="59">
        <f t="shared" si="17"/>
        <v>437.63330945303346</v>
      </c>
      <c r="DT26" s="59">
        <f ca="1">AVERAGE(OFFSET($DS$3,0,0,'Données projet'!$E$14+1,1))-AVERAGE(OFFSET($H$3,0,0,'Données projet'!$E$14+1,1))</f>
        <v>602.02351907077332</v>
      </c>
      <c r="DU26" s="59">
        <f t="shared" si="44"/>
        <v>278.08067690827272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62.644890271812251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62.644890271812251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62.644890271812251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62.644890271812251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2.2000000000000002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8.0666666666666682</v>
      </c>
      <c r="H27" s="67">
        <f t="shared" si="1"/>
        <v>224.4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62.772484982034378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15.766000000000002</v>
      </c>
      <c r="N27" s="13">
        <f>IF('Données projet'!$A$36&gt;35,N26+M27-V26,IF(A27&lt;'Données projet'!$A$36,$K$205^A27,IF(A27='Données projet'!$A$36,'Données projet'!$B$36,N26+M27-V26)))</f>
        <v>108.19199999999999</v>
      </c>
      <c r="O27" s="13">
        <f>N27*VLOOKUP('Données projet'!$B$9,Paramètres!$A$1:$I$89,3,0)*VLOOKUP('Données projet'!$B$9,Paramètres!$A$1:$I$89,5,0)</f>
        <v>64.698815999999994</v>
      </c>
      <c r="P27" s="13">
        <f t="shared" si="33"/>
        <v>18.351013925322782</v>
      </c>
      <c r="Q27" s="20">
        <f t="shared" si="2"/>
        <v>144.64512045327049</v>
      </c>
      <c r="R27" s="59">
        <f t="shared" si="0"/>
        <v>404.1442320540632</v>
      </c>
      <c r="S27" s="59">
        <f ca="1">AVERAGE(OFFSET($R$3,0,0,'Données projet'!$E$9+1,1))-AVERAGE(OFFSET($H$3,0,0,'Données projet'!$E$9+1,1))</f>
        <v>360.09035401555587</v>
      </c>
      <c r="T27" s="59">
        <f t="shared" si="34"/>
        <v>266.54879627869821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1.7982683467561162</v>
      </c>
      <c r="AA27" s="21">
        <f>EXP(-LN(2)/25)*AA26+(1-EXP(-LN(2)/25))/(LN(2)/25)*Calculateur!V27*Calculateur!X27*VLOOKUP('Données projet'!$B$9,Paramètres!$A$1:$I$89,3,0)*0.475*44/12</f>
        <v>14.10426447800854</v>
      </c>
      <c r="AB27" s="21">
        <f>EXP(-LN(2)/2)*AB26+(1-EXP(-LN(2)/2))/(LN(2)/2)*V27*Y27*VLOOKUP('Données projet'!$B$9,Paramètres!$A$1:$I$89,3,0)*0.475*44/12</f>
        <v>0</v>
      </c>
      <c r="AC27" s="22">
        <f t="shared" si="3"/>
        <v>15.902532824764656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62.772484982034378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3.8113157894736847</v>
      </c>
      <c r="AI27" s="13">
        <f>IF('Données projet'!$A$62&gt;35,AI26+AH27-AQ26,IF(A27&lt;'Données projet'!$A$62,$AF$205^A27,IF(A27='Données projet'!$A$62,'Données projet'!$B$62,AI26+AH27-AQ26)))</f>
        <v>91.471578947368386</v>
      </c>
      <c r="AJ27" s="13">
        <f>AI27*VLOOKUP('Données projet'!$B$10,Paramètres!$A$1:$I$89,3,0)*VLOOKUP('Données projet'!$B$10,Paramètres!$A$1:$I$89,5,0)</f>
        <v>77.055658105263134</v>
      </c>
      <c r="AK27" s="13">
        <f t="shared" si="35"/>
        <v>21.415713640805496</v>
      </c>
      <c r="AL27" s="20">
        <f t="shared" si="4"/>
        <v>171.50430579106953</v>
      </c>
      <c r="AM27" s="59">
        <f t="shared" si="5"/>
        <v>431.00341739186217</v>
      </c>
      <c r="AN27" s="59">
        <f ca="1">AVERAGE(OFFSET($AM$3,0,0,'Données projet'!$E$10+1,1))-AVERAGE(OFFSET($H$3,0,0,'Données projet'!$E$10+1,1))</f>
        <v>377.26246345103175</v>
      </c>
      <c r="AO27" s="59">
        <f t="shared" si="36"/>
        <v>258.25890564000258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62.772484982034378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289.08999999999997</v>
      </c>
      <c r="BB27" s="12">
        <f>VLOOKUP(A27,'Données projet'!$A$87:$I$107,9,0)</f>
        <v>26.933333333333326</v>
      </c>
      <c r="BC27" s="12">
        <f t="array" ref="BC27">INDEX(BB:BB,MIN(IF(ISNUMBER(BB27:BB223),ROW(BB27:BB223),"")))</f>
        <v>26.933333333333326</v>
      </c>
      <c r="BD27" s="12">
        <f>IF('Données projet'!$A$88&gt;35,BD26+BC27-BL26,IF(A27&lt;'Données projet'!$A$88,$BA$205^A27,IF(A27='Données projet'!$A$88,'Données projet'!$B$88,BD26+BC27-BL26)))</f>
        <v>289.09000000000003</v>
      </c>
      <c r="BE27" s="13">
        <f>BD27*VLOOKUP('Données projet'!$B$11,Paramètres!$A$1:$I$89,3,0)*VLOOKUP('Données projet'!$B$11,Paramètres!$A$1:$I$89,5,0)</f>
        <v>127.77778000000002</v>
      </c>
      <c r="BF27" s="13">
        <f t="shared" si="37"/>
        <v>33.482355400940818</v>
      </c>
      <c r="BG27" s="20">
        <f t="shared" si="7"/>
        <v>280.86140248997191</v>
      </c>
      <c r="BH27" s="59">
        <f t="shared" si="8"/>
        <v>540.36051409076458</v>
      </c>
      <c r="BI27" s="59">
        <f ca="1">AVERAGE(OFFSET($BH$3,0,0,'Données projet'!$E$11+1,1))-AVERAGE(OFFSET($H$3,0,0,'Données projet'!$E$11+1,1))</f>
        <v>333.23043896066253</v>
      </c>
      <c r="BJ27" s="59">
        <f t="shared" si="38"/>
        <v>440.63438368668983</v>
      </c>
      <c r="BK27" s="15">
        <f>IF(ISNA(VLOOKUP(A27,'Données projet'!$A$87:$I$107,3,0)),0,VLOOKUP(A27,'Données projet'!$A$87:$I$107,3,0))</f>
        <v>2</v>
      </c>
      <c r="BL27" s="15">
        <f>IF(ISNA(VLOOKUP(A27,'Données projet'!$A$87:$I$107,4,0)),0,VLOOKUP(A27,'Données projet'!$A$87:$I$107,4,0))</f>
        <v>51.39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0.55000000000000004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36.857679609764006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36.857679609764006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62.772484982034378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9.1937700000000007</v>
      </c>
      <c r="BY27" s="12">
        <f>IF('Données projet'!$A$114&gt;35,BY26+BX27-CG26,IF(A27&lt;'Données projet'!$A$114,$BV$205^A27,IF(A27='Données projet'!$A$114,'Données projet'!$B$114,BY26+BX27-CG26)))</f>
        <v>88.332300000000004</v>
      </c>
      <c r="BZ27" s="13">
        <f>BY27*VLOOKUP('Données projet'!$B$12,Paramètres!$A$1:$I$89,3,0)*VLOOKUP('Données projet'!$B$12,Paramètres!$A$1:$I$89,5,0)</f>
        <v>35.597916900000001</v>
      </c>
      <c r="CA27" s="13">
        <f t="shared" si="39"/>
        <v>10.824075878887035</v>
      </c>
      <c r="CB27" s="20">
        <f t="shared" si="10"/>
        <v>80.851637423228254</v>
      </c>
      <c r="CC27" s="59">
        <f t="shared" si="11"/>
        <v>340.35074902402096</v>
      </c>
      <c r="CD27" s="59">
        <f ca="1">AVERAGE(OFFSET($CC$3,0,0,'Données projet'!$E$12+1,1))-AVERAGE(OFFSET($H$3,0,0,'Données projet'!$E$12+1,1))</f>
        <v>177.34129362526608</v>
      </c>
      <c r="CE27" s="59">
        <f t="shared" si="40"/>
        <v>156.93407673501022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0.37803445154237492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0.37803445154237492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62.772484982034378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9.6</v>
      </c>
      <c r="CT27" s="12">
        <f>IF('Données projet'!$A$140&gt;35,CT26+CS27-DB26,IF(A27&lt;'Données projet'!$A$140,$CQ$205^A27,IF(A27='Données projet'!$A$140,'Données projet'!$B$140,CT26+CS27-DB26)))</f>
        <v>128.39999999999998</v>
      </c>
      <c r="CU27" s="17">
        <f>CT27*VLOOKUP('Données projet'!$B$13,Paramètres!$A$1:$I$89,3,0)*VLOOKUP('Données projet'!$B$13,Paramètres!$A$1:$I$89,5,0)</f>
        <v>84.127679999999984</v>
      </c>
      <c r="CV27" s="13">
        <f t="shared" si="41"/>
        <v>23.143449366413215</v>
      </c>
      <c r="CW27" s="20">
        <f t="shared" si="13"/>
        <v>186.83055031316962</v>
      </c>
      <c r="CX27" s="59">
        <f t="shared" si="14"/>
        <v>446.3296619139623</v>
      </c>
      <c r="CY27" s="59">
        <f ca="1">AVERAGE(OFFSET($CX$3,0,0,'Données projet'!$E$13+1,1))-AVERAGE(OFFSET($H$3,0,0,'Données projet'!$E$13+1,1))</f>
        <v>267.49254683294629</v>
      </c>
      <c r="CZ27" s="59">
        <f t="shared" si="42"/>
        <v>278.02595256967254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62.772484982034378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3.887142857142857</v>
      </c>
      <c r="DO27" s="12">
        <f>IF('Données projet'!$A$166&gt;35,DO26+DN27-DW26,IF(A27&lt;'Données projet'!$A$166,$DL$205^A27,IF(A27='Données projet'!$A$166,'Données projet'!$B$166,DO26+DN27-DW26)))</f>
        <v>93.291428571428582</v>
      </c>
      <c r="DP27" s="17">
        <f>DO27*VLOOKUP('Données projet'!$B$14,Paramètres!$A$1:$I$89,3,0)*VLOOKUP('Données projet'!$B$14,Paramètres!$A$1:$I$89,5,0)</f>
        <v>84.410084571428584</v>
      </c>
      <c r="DQ27" s="13">
        <f t="shared" si="43"/>
        <v>23.212082188219242</v>
      </c>
      <c r="DR27" s="20">
        <f t="shared" si="16"/>
        <v>187.44194043971996</v>
      </c>
      <c r="DS27" s="59">
        <f t="shared" si="17"/>
        <v>446.94105204051266</v>
      </c>
      <c r="DT27" s="59">
        <f ca="1">AVERAGE(OFFSET($DS$3,0,0,'Données projet'!$E$14+1,1))-AVERAGE(OFFSET($H$3,0,0,'Données projet'!$E$14+1,1))</f>
        <v>602.02351907077332</v>
      </c>
      <c r="DU27" s="59">
        <f t="shared" si="44"/>
        <v>278.08067690827272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62.772484982034378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62.772484982034378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62.772484982034378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62.772484982034378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2.2000000000000002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8.0666666666666682</v>
      </c>
      <c r="H28" s="67">
        <f t="shared" si="1"/>
        <v>224.4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62.897866209293184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15.766000000000002</v>
      </c>
      <c r="N28" s="13">
        <f>IF('Données projet'!$A$36&gt;35,N27+M28-V27,IF(A28&lt;'Données projet'!$A$36,$K$205^A28,IF(A28='Données projet'!$A$36,'Données projet'!$B$36,N27+M28-V27)))</f>
        <v>123.958</v>
      </c>
      <c r="O28" s="13">
        <f>N28*VLOOKUP('Données projet'!$B$9,Paramètres!$A$1:$I$89,3,0)*VLOOKUP('Données projet'!$B$9,Paramètres!$A$1:$I$89,5,0)</f>
        <v>74.126884000000004</v>
      </c>
      <c r="P28" s="13">
        <f t="shared" si="33"/>
        <v>20.694866668390631</v>
      </c>
      <c r="Q28" s="20">
        <f t="shared" si="2"/>
        <v>165.1478824141137</v>
      </c>
      <c r="R28" s="59">
        <f t="shared" si="0"/>
        <v>426.32894740374422</v>
      </c>
      <c r="S28" s="59">
        <f ca="1">AVERAGE(OFFSET($R$3,0,0,'Données projet'!$E$9+1,1))-AVERAGE(OFFSET($H$3,0,0,'Données projet'!$E$9+1,1))</f>
        <v>360.09035401555587</v>
      </c>
      <c r="T28" s="59">
        <f t="shared" si="34"/>
        <v>266.54879627869821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1.7630054013116168</v>
      </c>
      <c r="AA28" s="21">
        <f>EXP(-LN(2)/25)*AA27+(1-EXP(-LN(2)/25))/(LN(2)/25)*Calculateur!V28*Calculateur!X28*VLOOKUP('Données projet'!$B$9,Paramètres!$A$1:$I$89,3,0)*0.475*44/12</f>
        <v>13.718582624146363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15.481588025457979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62.897866209293184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3.8113157894736847</v>
      </c>
      <c r="AI28" s="13">
        <f>IF('Données projet'!$A$62&gt;35,AI27+AH28-AQ27,IF(A28&lt;'Données projet'!$A$62,$AF$205^A28,IF(A28='Données projet'!$A$62,'Données projet'!$B$62,AI27+AH28-AQ27)))</f>
        <v>95.282894736842067</v>
      </c>
      <c r="AJ28" s="13">
        <f>AI28*VLOOKUP('Données projet'!$B$10,Paramètres!$A$1:$I$89,3,0)*VLOOKUP('Données projet'!$B$10,Paramètres!$A$1:$I$89,5,0)</f>
        <v>80.266310526315763</v>
      </c>
      <c r="AK28" s="13">
        <f t="shared" si="35"/>
        <v>22.202285837109411</v>
      </c>
      <c r="AL28" s="20">
        <f t="shared" si="4"/>
        <v>178.46613866629886</v>
      </c>
      <c r="AM28" s="59">
        <f t="shared" si="5"/>
        <v>439.64720365592939</v>
      </c>
      <c r="AN28" s="59">
        <f ca="1">AVERAGE(OFFSET($AM$3,0,0,'Données projet'!$E$10+1,1))-AVERAGE(OFFSET($H$3,0,0,'Données projet'!$E$10+1,1))</f>
        <v>377.26246345103175</v>
      </c>
      <c r="AO28" s="59">
        <f t="shared" si="36"/>
        <v>258.25890564000258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62.897866209293184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28.810000000000002</v>
      </c>
      <c r="BD28" s="12">
        <f>IF('Données projet'!$A$88&gt;35,BD27+BC28-BL27,IF(A28&lt;'Données projet'!$A$88,$BA$205^A28,IF(A28='Données projet'!$A$88,'Données projet'!$B$88,BD27+BC28-BL27)))</f>
        <v>266.51000000000005</v>
      </c>
      <c r="BE28" s="13">
        <f>BD28*VLOOKUP('Données projet'!$B$11,Paramètres!$A$1:$I$89,3,0)*VLOOKUP('Données projet'!$B$11,Paramètres!$A$1:$I$89,5,0)</f>
        <v>117.79742000000005</v>
      </c>
      <c r="BF28" s="13">
        <f t="shared" si="37"/>
        <v>31.160731117001546</v>
      </c>
      <c r="BG28" s="20">
        <f t="shared" si="7"/>
        <v>259.43544652877773</v>
      </c>
      <c r="BH28" s="59">
        <f t="shared" si="8"/>
        <v>520.61651151840829</v>
      </c>
      <c r="BI28" s="59">
        <f ca="1">AVERAGE(OFFSET($BH$3,0,0,'Données projet'!$E$11+1,1))-AVERAGE(OFFSET($H$3,0,0,'Données projet'!$E$11+1,1))</f>
        <v>333.23043896066253</v>
      </c>
      <c r="BJ28" s="59">
        <f t="shared" si="38"/>
        <v>440.63438368668983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35.849804422573875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35.849804422573875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62.897866209293184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97.526070000000004</v>
      </c>
      <c r="BW28" s="12">
        <f>VLOOKUP(A28,'Données projet'!$A$113:$I$133,9,0)</f>
        <v>9.1937700000000007</v>
      </c>
      <c r="BX28" s="12">
        <f t="array" ref="BX28">INDEX(BW:BW,MIN(IF(ISNUMBER(BW28:BW224),ROW(BW28:BW224),"")))</f>
        <v>9.1937700000000007</v>
      </c>
      <c r="BY28" s="12">
        <f>IF('Données projet'!$A$114&gt;35,BY27+BX28-CG27,IF(A28&lt;'Données projet'!$A$114,$BV$205^A28,IF(A28='Données projet'!$A$114,'Données projet'!$B$114,BY27+BX28-CG27)))</f>
        <v>97.526070000000004</v>
      </c>
      <c r="BZ28" s="13">
        <f>BY28*VLOOKUP('Données projet'!$B$12,Paramètres!$A$1:$I$89,3,0)*VLOOKUP('Données projet'!$B$12,Paramètres!$A$1:$I$89,5,0)</f>
        <v>39.303006209999999</v>
      </c>
      <c r="CA28" s="13">
        <f t="shared" si="39"/>
        <v>11.813720051827318</v>
      </c>
      <c r="CB28" s="20">
        <f t="shared" si="10"/>
        <v>89.02829823934924</v>
      </c>
      <c r="CC28" s="59">
        <f t="shared" si="11"/>
        <v>350.20936322897978</v>
      </c>
      <c r="CD28" s="59">
        <f ca="1">AVERAGE(OFFSET($CC$3,0,0,'Données projet'!$E$12+1,1))-AVERAGE(OFFSET($H$3,0,0,'Données projet'!$E$12+1,1))</f>
        <v>177.34129362526608</v>
      </c>
      <c r="CE28" s="59">
        <f t="shared" si="40"/>
        <v>156.93407673501022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25.237800000000004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0.55000000000000004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7.7592251125734055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7.7592251125734055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62.897866209293184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138</v>
      </c>
      <c r="CR28" s="12">
        <f>VLOOKUP(A28,'Données projet'!$A$139:$I$159,9,0)</f>
        <v>9.6</v>
      </c>
      <c r="CS28" s="12">
        <f t="array" ref="CS28">INDEX(CR:CR,MIN(IF(ISNUMBER(CR28:CR224),ROW(CR28:CR224),"")))</f>
        <v>9.6</v>
      </c>
      <c r="CT28" s="12">
        <f>IF('Données projet'!$A$140&gt;35,CT27+CS28-DB27,IF(A28&lt;'Données projet'!$A$140,$CQ$205^A28,IF(A28='Données projet'!$A$140,'Données projet'!$B$140,CT27+CS28-DB27)))</f>
        <v>137.99999999999997</v>
      </c>
      <c r="CU28" s="17">
        <f>CT28*VLOOKUP('Données projet'!$B$13,Paramètres!$A$1:$I$89,3,0)*VLOOKUP('Données projet'!$B$13,Paramètres!$A$1:$I$89,5,0)</f>
        <v>90.417599999999979</v>
      </c>
      <c r="CV28" s="13">
        <f t="shared" si="41"/>
        <v>24.665912907068826</v>
      </c>
      <c r="CW28" s="20">
        <f t="shared" si="13"/>
        <v>200.43711831314485</v>
      </c>
      <c r="CX28" s="59">
        <f t="shared" si="14"/>
        <v>461.61818330277538</v>
      </c>
      <c r="CY28" s="59">
        <f ca="1">AVERAGE(OFFSET($CX$3,0,0,'Données projet'!$E$13+1,1))-AVERAGE(OFFSET($H$3,0,0,'Données projet'!$E$13+1,1))</f>
        <v>267.49254683294629</v>
      </c>
      <c r="CZ28" s="59">
        <f t="shared" si="42"/>
        <v>278.02595256967254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62.897866209293184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3.887142857142857</v>
      </c>
      <c r="DO28" s="12">
        <f>IF('Données projet'!$A$166&gt;35,DO27+DN28-DW27,IF(A28&lt;'Données projet'!$A$166,$DL$205^A28,IF(A28='Données projet'!$A$166,'Données projet'!$B$166,DO27+DN28-DW27)))</f>
        <v>97.178571428571445</v>
      </c>
      <c r="DP28" s="17">
        <f>DO28*VLOOKUP('Données projet'!$B$14,Paramètres!$A$1:$I$89,3,0)*VLOOKUP('Données projet'!$B$14,Paramètres!$A$1:$I$89,5,0)</f>
        <v>87.927171428571441</v>
      </c>
      <c r="DQ28" s="13">
        <f t="shared" si="43"/>
        <v>24.06463273936156</v>
      </c>
      <c r="DR28" s="20">
        <f t="shared" si="16"/>
        <v>195.05239225914997</v>
      </c>
      <c r="DS28" s="59">
        <f t="shared" si="17"/>
        <v>456.2334572487805</v>
      </c>
      <c r="DT28" s="59">
        <f ca="1">AVERAGE(OFFSET($DS$3,0,0,'Données projet'!$E$14+1,1))-AVERAGE(OFFSET($H$3,0,0,'Données projet'!$E$14+1,1))</f>
        <v>602.02351907077332</v>
      </c>
      <c r="DU28" s="59">
        <f t="shared" si="44"/>
        <v>278.08067690827272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62.897866209293184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62.897866209293184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62.897866209293184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62.897866209293184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2.2000000000000002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8.0666666666666682</v>
      </c>
      <c r="H29" s="67">
        <f t="shared" si="1"/>
        <v>224.4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63.02107235256949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15.766000000000002</v>
      </c>
      <c r="N29" s="13">
        <f>IF('Données projet'!$A$36&gt;35,N28+M29-V28,IF(A29&lt;'Données projet'!$A$36,$K$205^A29,IF(A29='Données projet'!$A$36,'Données projet'!$B$36,N28+M29-V28)))</f>
        <v>139.72399999999999</v>
      </c>
      <c r="O29" s="13">
        <f>N29*VLOOKUP('Données projet'!$B$9,Paramètres!$A$1:$I$89,3,0)*VLOOKUP('Données projet'!$B$9,Paramètres!$A$1:$I$89,5,0)</f>
        <v>83.554952</v>
      </c>
      <c r="P29" s="13">
        <f t="shared" si="33"/>
        <v>23.004176736574664</v>
      </c>
      <c r="Q29" s="20">
        <f t="shared" si="2"/>
        <v>185.59048254953419</v>
      </c>
      <c r="R29" s="59">
        <f t="shared" si="0"/>
        <v>448.44552562006675</v>
      </c>
      <c r="S29" s="59">
        <f ca="1">AVERAGE(OFFSET($R$3,0,0,'Données projet'!$E$9+1,1))-AVERAGE(OFFSET($H$3,0,0,'Données projet'!$E$9+1,1))</f>
        <v>360.09035401555587</v>
      </c>
      <c r="T29" s="59">
        <f t="shared" si="34"/>
        <v>266.54879627869821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1.728433940719011</v>
      </c>
      <c r="AA29" s="21">
        <f>EXP(-LN(2)/25)*AA28+(1-EXP(-LN(2)/25))/(LN(2)/25)*Calculateur!V29*Calculateur!X29*VLOOKUP('Données projet'!$B$9,Paramètres!$A$1:$I$89,3,0)*0.475*44/12</f>
        <v>13.343447260860174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15.071881201579185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63.02107235256949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3.8113157894736847</v>
      </c>
      <c r="AI29" s="13">
        <f>IF('Données projet'!$A$62&gt;35,AI28+AH29-AQ28,IF(A29&lt;'Données projet'!$A$62,$AF$205^A29,IF(A29='Données projet'!$A$62,'Données projet'!$B$62,AI28+AH29-AQ28)))</f>
        <v>99.094210526315749</v>
      </c>
      <c r="AJ29" s="13">
        <f>AI29*VLOOKUP('Données projet'!$B$10,Paramètres!$A$1:$I$89,3,0)*VLOOKUP('Données projet'!$B$10,Paramètres!$A$1:$I$89,5,0)</f>
        <v>83.476962947368392</v>
      </c>
      <c r="AK29" s="13">
        <f t="shared" si="35"/>
        <v>22.985203236503651</v>
      </c>
      <c r="AL29" s="20">
        <f t="shared" si="4"/>
        <v>185.42160610357715</v>
      </c>
      <c r="AM29" s="59">
        <f t="shared" si="5"/>
        <v>448.27664917410971</v>
      </c>
      <c r="AN29" s="59">
        <f ca="1">AVERAGE(OFFSET($AM$3,0,0,'Données projet'!$E$10+1,1))-AVERAGE(OFFSET($H$3,0,0,'Données projet'!$E$10+1,1))</f>
        <v>377.26246345103175</v>
      </c>
      <c r="AO29" s="59">
        <f t="shared" si="36"/>
        <v>258.25890564000258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63.02107235256949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28.810000000000002</v>
      </c>
      <c r="BD29" s="12">
        <f>IF('Données projet'!$A$88&gt;35,BD28+BC29-BL28,IF(A29&lt;'Données projet'!$A$88,$BA$205^A29,IF(A29='Données projet'!$A$88,'Données projet'!$B$88,BD28+BC29-BL28)))</f>
        <v>295.32000000000005</v>
      </c>
      <c r="BE29" s="13">
        <f>BD29*VLOOKUP('Données projet'!$B$11,Paramètres!$A$1:$I$89,3,0)*VLOOKUP('Données projet'!$B$11,Paramètres!$A$1:$I$89,5,0)</f>
        <v>130.53144000000003</v>
      </c>
      <c r="BF29" s="13">
        <f t="shared" si="37"/>
        <v>34.119130340423034</v>
      </c>
      <c r="BG29" s="20">
        <f t="shared" si="7"/>
        <v>286.76641000957017</v>
      </c>
      <c r="BH29" s="59">
        <f t="shared" si="8"/>
        <v>549.62145308010281</v>
      </c>
      <c r="BI29" s="59">
        <f ca="1">AVERAGE(OFFSET($BH$3,0,0,'Données projet'!$E$11+1,1))-AVERAGE(OFFSET($H$3,0,0,'Données projet'!$E$11+1,1))</f>
        <v>333.23043896066253</v>
      </c>
      <c r="BJ29" s="59">
        <f t="shared" si="38"/>
        <v>440.63438368668983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34.869489635379317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34.869489635379317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63.02107235256949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10.203282000000002</v>
      </c>
      <c r="BY29" s="12">
        <f>IF('Données projet'!$A$114&gt;35,BY28+BX29-CG28,IF(A29&lt;'Données projet'!$A$114,$BV$205^A29,IF(A29='Données projet'!$A$114,'Données projet'!$B$114,BY28+BX29-CG28)))</f>
        <v>82.491551999999999</v>
      </c>
      <c r="BZ29" s="13">
        <f>BY29*VLOOKUP('Données projet'!$B$12,Paramètres!$A$1:$I$89,3,0)*VLOOKUP('Données projet'!$B$12,Paramètres!$A$1:$I$89,5,0)</f>
        <v>33.244095456000004</v>
      </c>
      <c r="CA29" s="13">
        <f t="shared" si="39"/>
        <v>10.189174858578948</v>
      </c>
      <c r="CB29" s="20">
        <f t="shared" si="10"/>
        <v>75.646279131225</v>
      </c>
      <c r="CC29" s="59">
        <f t="shared" si="11"/>
        <v>338.5013222017576</v>
      </c>
      <c r="CD29" s="59">
        <f ca="1">AVERAGE(OFFSET($CC$3,0,0,'Données projet'!$E$12+1,1))-AVERAGE(OFFSET($H$3,0,0,'Données projet'!$E$12+1,1))</f>
        <v>177.34129362526608</v>
      </c>
      <c r="CE29" s="59">
        <f t="shared" si="40"/>
        <v>156.93407673501022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7.5470486938301713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7.5470486938301713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63.02107235256949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8.8000000000000007</v>
      </c>
      <c r="CT29" s="12">
        <f>IF('Données projet'!$A$140&gt;35,CT28+CS29-DB28,IF(A29&lt;'Données projet'!$A$140,$CQ$205^A29,IF(A29='Données projet'!$A$140,'Données projet'!$B$140,CT28+CS29-DB28)))</f>
        <v>125.79999999999998</v>
      </c>
      <c r="CU29" s="17">
        <f>CT29*VLOOKUP('Données projet'!$B$13,Paramètres!$A$1:$I$89,3,0)*VLOOKUP('Données projet'!$B$13,Paramètres!$A$1:$I$89,5,0)</f>
        <v>82.424159999999986</v>
      </c>
      <c r="CV29" s="13">
        <f t="shared" si="41"/>
        <v>22.728870146421784</v>
      </c>
      <c r="CW29" s="20">
        <f t="shared" si="13"/>
        <v>183.14152750501788</v>
      </c>
      <c r="CX29" s="59">
        <f t="shared" si="14"/>
        <v>445.99657057555044</v>
      </c>
      <c r="CY29" s="59">
        <f ca="1">AVERAGE(OFFSET($CX$3,0,0,'Données projet'!$E$13+1,1))-AVERAGE(OFFSET($H$3,0,0,'Données projet'!$E$13+1,1))</f>
        <v>267.49254683294629</v>
      </c>
      <c r="CZ29" s="59">
        <f t="shared" si="42"/>
        <v>278.02595256967254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63.02107235256949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3.887142857142857</v>
      </c>
      <c r="DO29" s="12">
        <f>IF('Données projet'!$A$166&gt;35,DO28+DN29-DW28,IF(A29&lt;'Données projet'!$A$166,$DL$205^A29,IF(A29='Données projet'!$A$166,'Données projet'!$B$166,DO28+DN29-DW28)))</f>
        <v>101.06571428571431</v>
      </c>
      <c r="DP29" s="17">
        <f>DO29*VLOOKUP('Données projet'!$B$14,Paramètres!$A$1:$I$89,3,0)*VLOOKUP('Données projet'!$B$14,Paramètres!$A$1:$I$89,5,0)</f>
        <v>91.444258285714298</v>
      </c>
      <c r="DQ29" s="13">
        <f t="shared" si="43"/>
        <v>24.913221926074399</v>
      </c>
      <c r="DR29" s="20">
        <f t="shared" si="16"/>
        <v>202.65594470219867</v>
      </c>
      <c r="DS29" s="59">
        <f t="shared" si="17"/>
        <v>465.51098777273126</v>
      </c>
      <c r="DT29" s="59">
        <f ca="1">AVERAGE(OFFSET($DS$3,0,0,'Données projet'!$E$14+1,1))-AVERAGE(OFFSET($H$3,0,0,'Données projet'!$E$14+1,1))</f>
        <v>602.02351907077332</v>
      </c>
      <c r="DU29" s="59">
        <f t="shared" si="44"/>
        <v>278.08067690827272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63.02107235256949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63.02107235256949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63.02107235256949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63.02107235256949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2.2000000000000002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8.0666666666666682</v>
      </c>
      <c r="H30" s="67">
        <f t="shared" si="1"/>
        <v>224.4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63.142141144707622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155.49</v>
      </c>
      <c r="L30" s="12">
        <f>VLOOKUP(A30,'Données projet'!$A$35:$I$55,9,0)</f>
        <v>15.766000000000002</v>
      </c>
      <c r="M30" s="12">
        <f t="array" ref="M30">INDEX(L:L,MIN(IF(ISNUMBER(L30:L226),ROW(L30:L226),"")))</f>
        <v>15.766000000000002</v>
      </c>
      <c r="N30" s="13">
        <f>IF('Données projet'!$A$36&gt;35,N29+M30-V29,IF(A30&lt;'Données projet'!$A$36,$K$205^A30,IF(A30='Données projet'!$A$36,'Données projet'!$B$36,N29+M30-V29)))</f>
        <v>155.48999999999998</v>
      </c>
      <c r="O30" s="13">
        <f>N30*VLOOKUP('Données projet'!$B$9,Paramètres!$A$1:$I$89,3,0)*VLOOKUP('Données projet'!$B$9,Paramètres!$A$1:$I$89,5,0)</f>
        <v>92.983019999999996</v>
      </c>
      <c r="P30" s="13">
        <f t="shared" si="33"/>
        <v>25.283286610692237</v>
      </c>
      <c r="Q30" s="20">
        <f t="shared" si="2"/>
        <v>205.98048401362226</v>
      </c>
      <c r="R30" s="59">
        <f t="shared" si="0"/>
        <v>470.50166821088351</v>
      </c>
      <c r="S30" s="59">
        <f ca="1">AVERAGE(OFFSET($R$3,0,0,'Données projet'!$E$9+1,1))-AVERAGE(OFFSET($H$3,0,0,'Données projet'!$E$9+1,1))</f>
        <v>360.09035401555587</v>
      </c>
      <c r="T30" s="59">
        <f t="shared" si="34"/>
        <v>266.54879627869821</v>
      </c>
      <c r="U30" s="15">
        <f>IF(ISNA(VLOOKUP(A30,'Données projet'!$A$35:$I$55,3,0)),0,VLOOKUP(A30,'Données projet'!$A$35:$I$55,3,0))</f>
        <v>2</v>
      </c>
      <c r="V30" s="15">
        <f>IF(ISNA(VLOOKUP(A30,'Données projet'!$A$35:$I$55,4,0)),0,VLOOKUP(A30,'Données projet'!$A$35:$I$55,4,0))</f>
        <v>37.840000000000003</v>
      </c>
      <c r="W30" s="16">
        <f>IF(ISNA(VLOOKUP(A30,'Données projet'!$A$35:$I$55,5,0)),0%,VLOOKUP(A30,'Données projet'!$A$35:$I$55,5,0)*VLOOKUP('Données projet'!$B$9,Paramètres!$A$1:$I$89,7,0))</f>
        <v>4.5000000000000005E-2</v>
      </c>
      <c r="X30" s="16">
        <f>IF(ISNA(VLOOKUP(A30,'Données projet'!$A$35:$I$55,6,0)),0%,VLOOKUP(A30,'Données projet'!$A$35:$I$55,6,0)*VLOOKUP('Données projet'!$B$9,Paramètres!$A$1:$I$89,7,0))</f>
        <v>0.36000000000000004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3.0453470303061421</v>
      </c>
      <c r="AA30" s="21">
        <f>EXP(-LN(2)/25)*AA29+(1-EXP(-LN(2)/25))/(LN(2)/25)*Calculateur!V30*Calculateur!X30*VLOOKUP('Données projet'!$B$9,Paramètres!$A$1:$I$89,3,0)*0.475*44/12</f>
        <v>23.742473870162744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26.787820900468887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63.142141144707622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3.8113157894736847</v>
      </c>
      <c r="AI30" s="13">
        <f>IF('Données projet'!$A$62&gt;35,AI29+AH30-AQ29,IF(A30&lt;'Données projet'!$A$62,$AF$205^A30,IF(A30='Données projet'!$A$62,'Données projet'!$B$62,AI29+AH30-AQ29)))</f>
        <v>102.90552631578943</v>
      </c>
      <c r="AJ30" s="13">
        <f>AI30*VLOOKUP('Données projet'!$B$10,Paramètres!$A$1:$I$89,3,0)*VLOOKUP('Données projet'!$B$10,Paramètres!$A$1:$I$89,5,0)</f>
        <v>86.687615368421021</v>
      </c>
      <c r="AK30" s="13">
        <f t="shared" si="35"/>
        <v>23.764622498233482</v>
      </c>
      <c r="AL30" s="20">
        <f t="shared" si="4"/>
        <v>192.3709809510899</v>
      </c>
      <c r="AM30" s="59">
        <f t="shared" si="5"/>
        <v>456.89216514835118</v>
      </c>
      <c r="AN30" s="59">
        <f ca="1">AVERAGE(OFFSET($AM$3,0,0,'Données projet'!$E$10+1,1))-AVERAGE(OFFSET($H$3,0,0,'Données projet'!$E$10+1,1))</f>
        <v>377.26246345103175</v>
      </c>
      <c r="AO30" s="59">
        <f t="shared" si="36"/>
        <v>258.25890564000258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63.142141144707622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28.810000000000002</v>
      </c>
      <c r="BD30" s="12">
        <f>IF('Données projet'!$A$88&gt;35,BD29+BC30-BL29,IF(A30&lt;'Données projet'!$A$88,$BA$205^A30,IF(A30='Données projet'!$A$88,'Données projet'!$B$88,BD29+BC30-BL29)))</f>
        <v>324.13000000000005</v>
      </c>
      <c r="BE30" s="13">
        <f>BD30*VLOOKUP('Données projet'!$B$11,Paramètres!$A$1:$I$89,3,0)*VLOOKUP('Données projet'!$B$11,Paramètres!$A$1:$I$89,5,0)</f>
        <v>143.26546000000005</v>
      </c>
      <c r="BF30" s="13">
        <f t="shared" si="37"/>
        <v>37.044069727968875</v>
      </c>
      <c r="BG30" s="20">
        <f t="shared" si="7"/>
        <v>314.03909760954588</v>
      </c>
      <c r="BH30" s="59">
        <f t="shared" si="8"/>
        <v>578.5602818068071</v>
      </c>
      <c r="BI30" s="59">
        <f ca="1">AVERAGE(OFFSET($BH$3,0,0,'Données projet'!$E$11+1,1))-AVERAGE(OFFSET($H$3,0,0,'Données projet'!$E$11+1,1))</f>
        <v>333.23043896066253</v>
      </c>
      <c r="BJ30" s="59">
        <f t="shared" si="38"/>
        <v>440.63438368668983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33.915981607593103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33.915981607593103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63.142141144707622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10.203282000000002</v>
      </c>
      <c r="BY30" s="12">
        <f>IF('Données projet'!$A$114&gt;35,BY29+BX30-CG29,IF(A30&lt;'Données projet'!$A$114,$BV$205^A30,IF(A30='Données projet'!$A$114,'Données projet'!$B$114,BY29+BX30-CG29)))</f>
        <v>92.694834</v>
      </c>
      <c r="BZ30" s="13">
        <f>BY30*VLOOKUP('Données projet'!$B$12,Paramètres!$A$1:$I$89,3,0)*VLOOKUP('Données projet'!$B$12,Paramètres!$A$1:$I$89,5,0)</f>
        <v>37.356018102</v>
      </c>
      <c r="CA30" s="13">
        <f t="shared" si="39"/>
        <v>11.295094554249395</v>
      </c>
      <c r="CB30" s="20">
        <f t="shared" si="10"/>
        <v>84.734021209634349</v>
      </c>
      <c r="CC30" s="59">
        <f t="shared" si="11"/>
        <v>349.25520540689564</v>
      </c>
      <c r="CD30" s="59">
        <f ca="1">AVERAGE(OFFSET($CC$3,0,0,'Données projet'!$E$12+1,1))-AVERAGE(OFFSET($H$3,0,0,'Données projet'!$E$12+1,1))</f>
        <v>177.34129362526608</v>
      </c>
      <c r="CE30" s="59">
        <f t="shared" si="40"/>
        <v>156.93407673501022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7.3406742504153435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7.3406742504153435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63.142141144707622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8.8000000000000007</v>
      </c>
      <c r="CT30" s="12">
        <f>IF('Données projet'!$A$140&gt;35,CT29+CS30-DB29,IF(A30&lt;'Données projet'!$A$140,$CQ$205^A30,IF(A30='Données projet'!$A$140,'Données projet'!$B$140,CT29+CS30-DB29)))</f>
        <v>134.6</v>
      </c>
      <c r="CU30" s="17">
        <f>CT30*VLOOKUP('Données projet'!$B$13,Paramètres!$A$1:$I$89,3,0)*VLOOKUP('Données projet'!$B$13,Paramètres!$A$1:$I$89,5,0)</f>
        <v>88.189920000000001</v>
      </c>
      <c r="CV30" s="13">
        <f t="shared" si="41"/>
        <v>24.128162431798632</v>
      </c>
      <c r="CW30" s="20">
        <f t="shared" si="13"/>
        <v>195.62066023538262</v>
      </c>
      <c r="CX30" s="59">
        <f t="shared" si="14"/>
        <v>460.14184443264389</v>
      </c>
      <c r="CY30" s="59">
        <f ca="1">AVERAGE(OFFSET($CX$3,0,0,'Données projet'!$E$13+1,1))-AVERAGE(OFFSET($H$3,0,0,'Données projet'!$E$13+1,1))</f>
        <v>267.49254683294629</v>
      </c>
      <c r="CZ30" s="59">
        <f t="shared" si="42"/>
        <v>278.02595256967254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63.142141144707622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3.887142857142857</v>
      </c>
      <c r="DO30" s="12">
        <f>IF('Données projet'!$A$166&gt;35,DO29+DN30-DW29,IF(A30&lt;'Données projet'!$A$166,$DL$205^A30,IF(A30='Données projet'!$A$166,'Données projet'!$B$166,DO29+DN30-DW29)))</f>
        <v>104.95285714285717</v>
      </c>
      <c r="DP30" s="17">
        <f>DO30*VLOOKUP('Données projet'!$B$14,Paramètres!$A$1:$I$89,3,0)*VLOOKUP('Données projet'!$B$14,Paramètres!$A$1:$I$89,5,0)</f>
        <v>94.961345142857169</v>
      </c>
      <c r="DQ30" s="13">
        <f t="shared" si="43"/>
        <v>25.758019548315733</v>
      </c>
      <c r="DR30" s="20">
        <f t="shared" si="16"/>
        <v>210.25289350379276</v>
      </c>
      <c r="DS30" s="59">
        <f t="shared" si="17"/>
        <v>474.77407770105401</v>
      </c>
      <c r="DT30" s="59">
        <f ca="1">AVERAGE(OFFSET($DS$3,0,0,'Données projet'!$E$14+1,1))-AVERAGE(OFFSET($H$3,0,0,'Données projet'!$E$14+1,1))</f>
        <v>602.02351907077332</v>
      </c>
      <c r="DU30" s="59">
        <f t="shared" si="44"/>
        <v>278.08067690827272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63.142141144707622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63.142141144707622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63.142141144707622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63.142141144707622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2.2000000000000002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8.0666666666666682</v>
      </c>
      <c r="H31" s="67">
        <f t="shared" si="1"/>
        <v>224.4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63.261109663971425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16.614999999999998</v>
      </c>
      <c r="N31" s="13">
        <f>IF('Données projet'!$A$36&gt;35,N30+M31-V30,IF(A31&lt;'Données projet'!$A$36,$K$205^A31,IF(A31='Données projet'!$A$36,'Données projet'!$B$36,N30+M31-V30)))</f>
        <v>134.26499999999999</v>
      </c>
      <c r="O31" s="13">
        <f>N31*VLOOKUP('Données projet'!$B$9,Paramètres!$A$1:$I$89,3,0)*VLOOKUP('Données projet'!$B$9,Paramètres!$A$1:$I$89,5,0)</f>
        <v>80.290469999999999</v>
      </c>
      <c r="P31" s="13">
        <f t="shared" si="33"/>
        <v>22.208190565938402</v>
      </c>
      <c r="Q31" s="20">
        <f t="shared" si="2"/>
        <v>178.51850048567601</v>
      </c>
      <c r="R31" s="59">
        <f t="shared" si="0"/>
        <v>444.69812480912674</v>
      </c>
      <c r="S31" s="59">
        <f ca="1">AVERAGE(OFFSET($R$3,0,0,'Données projet'!$E$9+1,1))-AVERAGE(OFFSET($H$3,0,0,'Données projet'!$E$9+1,1))</f>
        <v>360.09035401555587</v>
      </c>
      <c r="T31" s="59">
        <f t="shared" si="34"/>
        <v>266.54879627869821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2.9856296325201162</v>
      </c>
      <c r="AA31" s="21">
        <f>EXP(-LN(2)/25)*AA30+(1-EXP(-LN(2)/25))/(LN(2)/25)*Calculateur!V31*Calculateur!X31*VLOOKUP('Données projet'!$B$9,Paramètres!$A$1:$I$89,3,0)*0.475*44/12</f>
        <v>23.093234673620707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26.078864306140822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63.261109663971425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3.8113157894736847</v>
      </c>
      <c r="AI31" s="13">
        <f>IF('Données projet'!$A$62&gt;35,AI30+AH31-AQ30,IF(A31&lt;'Données projet'!$A$62,$AF$205^A31,IF(A31='Données projet'!$A$62,'Données projet'!$B$62,AI30+AH31-AQ30)))</f>
        <v>106.71684210526311</v>
      </c>
      <c r="AJ31" s="13">
        <f>AI31*VLOOKUP('Données projet'!$B$10,Paramètres!$A$1:$I$89,3,0)*VLOOKUP('Données projet'!$B$10,Paramètres!$A$1:$I$89,5,0)</f>
        <v>89.89826778947365</v>
      </c>
      <c r="AK31" s="13">
        <f t="shared" si="35"/>
        <v>24.540688019654006</v>
      </c>
      <c r="AL31" s="20">
        <f t="shared" si="4"/>
        <v>199.31451470089735</v>
      </c>
      <c r="AM31" s="59">
        <f t="shared" si="5"/>
        <v>465.4941390243481</v>
      </c>
      <c r="AN31" s="59">
        <f ca="1">AVERAGE(OFFSET($AM$3,0,0,'Données projet'!$E$10+1,1))-AVERAGE(OFFSET($H$3,0,0,'Données projet'!$E$10+1,1))</f>
        <v>377.26246345103175</v>
      </c>
      <c r="AO31" s="59">
        <f t="shared" si="36"/>
        <v>258.25890564000258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63.261109663971425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28.810000000000002</v>
      </c>
      <c r="BD31" s="12">
        <f>IF('Données projet'!$A$88&gt;35,BD30+BC31-BL30,IF(A31&lt;'Données projet'!$A$88,$BA$205^A31,IF(A31='Données projet'!$A$88,'Données projet'!$B$88,BD30+BC31-BL30)))</f>
        <v>352.94000000000005</v>
      </c>
      <c r="BE31" s="13">
        <f>BD31*VLOOKUP('Données projet'!$B$11,Paramètres!$A$1:$I$89,3,0)*VLOOKUP('Données projet'!$B$11,Paramètres!$A$1:$I$89,5,0)</f>
        <v>155.99948000000003</v>
      </c>
      <c r="BF31" s="13">
        <f t="shared" si="37"/>
        <v>39.938861513736946</v>
      </c>
      <c r="BG31" s="20">
        <f t="shared" si="7"/>
        <v>341.25927813642528</v>
      </c>
      <c r="BH31" s="59">
        <f t="shared" si="8"/>
        <v>607.43890245987609</v>
      </c>
      <c r="BI31" s="59">
        <f ca="1">AVERAGE(OFFSET($BH$3,0,0,'Données projet'!$E$11+1,1))-AVERAGE(OFFSET($H$3,0,0,'Données projet'!$E$11+1,1))</f>
        <v>333.23043896066253</v>
      </c>
      <c r="BJ31" s="59">
        <f t="shared" si="38"/>
        <v>440.63438368668983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32.988547306969515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32.988547306969515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63.261109663971425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10.203282000000002</v>
      </c>
      <c r="BY31" s="12">
        <f>IF('Données projet'!$A$114&gt;35,BY30+BX31-CG30,IF(A31&lt;'Données projet'!$A$114,$BV$205^A31,IF(A31='Données projet'!$A$114,'Données projet'!$B$114,BY30+BX31-CG30)))</f>
        <v>102.898116</v>
      </c>
      <c r="BZ31" s="13">
        <f>BY31*VLOOKUP('Données projet'!$B$12,Paramètres!$A$1:$I$89,3,0)*VLOOKUP('Données projet'!$B$12,Paramètres!$A$1:$I$89,5,0)</f>
        <v>41.467940748000004</v>
      </c>
      <c r="CA31" s="13">
        <f t="shared" si="39"/>
        <v>12.386904883748967</v>
      </c>
      <c r="CB31" s="20">
        <f t="shared" si="10"/>
        <v>93.797189475296122</v>
      </c>
      <c r="CC31" s="59">
        <f t="shared" si="11"/>
        <v>359.97681379874689</v>
      </c>
      <c r="CD31" s="59">
        <f ca="1">AVERAGE(OFFSET($CC$3,0,0,'Données projet'!$E$12+1,1))-AVERAGE(OFFSET($H$3,0,0,'Données projet'!$E$12+1,1))</f>
        <v>177.34129362526608</v>
      </c>
      <c r="CE31" s="59">
        <f t="shared" si="40"/>
        <v>156.93407673501022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7.1399431270084541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7.1399431270084541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63.261109663971425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8.8000000000000007</v>
      </c>
      <c r="CT31" s="12">
        <f>IF('Données projet'!$A$140&gt;35,CT30+CS31-DB30,IF(A31&lt;'Données projet'!$A$140,$CQ$205^A31,IF(A31='Données projet'!$A$140,'Données projet'!$B$140,CT30+CS31-DB30)))</f>
        <v>143.4</v>
      </c>
      <c r="CU31" s="17">
        <f>CT31*VLOOKUP('Données projet'!$B$13,Paramètres!$A$1:$I$89,3,0)*VLOOKUP('Données projet'!$B$13,Paramètres!$A$1:$I$89,5,0)</f>
        <v>93.955680000000001</v>
      </c>
      <c r="CV31" s="13">
        <f t="shared" si="41"/>
        <v>25.516838392731955</v>
      </c>
      <c r="CW31" s="20">
        <f t="shared" si="13"/>
        <v>208.08130286734149</v>
      </c>
      <c r="CX31" s="59">
        <f t="shared" si="14"/>
        <v>474.26092719079224</v>
      </c>
      <c r="CY31" s="59">
        <f ca="1">AVERAGE(OFFSET($CX$3,0,0,'Données projet'!$E$13+1,1))-AVERAGE(OFFSET($H$3,0,0,'Données projet'!$E$13+1,1))</f>
        <v>267.49254683294629</v>
      </c>
      <c r="CZ31" s="59">
        <f t="shared" si="42"/>
        <v>278.02595256967254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63.261109663971425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3.887142857142857</v>
      </c>
      <c r="DO31" s="12">
        <f>IF('Données projet'!$A$166&gt;35,DO30+DN31-DW30,IF(A31&lt;'Données projet'!$A$166,$DL$205^A31,IF(A31='Données projet'!$A$166,'Données projet'!$B$166,DO30+DN31-DW30)))</f>
        <v>108.84000000000003</v>
      </c>
      <c r="DP31" s="17">
        <f>DO31*VLOOKUP('Données projet'!$B$14,Paramètres!$A$1:$I$89,3,0)*VLOOKUP('Données projet'!$B$14,Paramètres!$A$1:$I$89,5,0)</f>
        <v>98.478432000000026</v>
      </c>
      <c r="DQ31" s="13">
        <f t="shared" si="43"/>
        <v>26.599182115615513</v>
      </c>
      <c r="DR31" s="20">
        <f t="shared" si="16"/>
        <v>217.84351125136371</v>
      </c>
      <c r="DS31" s="59">
        <f t="shared" si="17"/>
        <v>484.02313557481443</v>
      </c>
      <c r="DT31" s="59">
        <f ca="1">AVERAGE(OFFSET($DS$3,0,0,'Données projet'!$E$14+1,1))-AVERAGE(OFFSET($H$3,0,0,'Données projet'!$E$14+1,1))</f>
        <v>602.02351907077332</v>
      </c>
      <c r="DU31" s="59">
        <f t="shared" si="44"/>
        <v>278.08067690827272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63.261109663971425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63.261109663971425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63.261109663971425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63.261109663971425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2.2000000000000002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8.0666666666666682</v>
      </c>
      <c r="H32" s="67">
        <f t="shared" si="1"/>
        <v>224.4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63.37801434539977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16.614999999999998</v>
      </c>
      <c r="N32" s="13">
        <f>IF('Données projet'!$A$36&gt;35,N31+M32-V31,IF(A32&lt;'Données projet'!$A$36,$K$205^A32,IF(A32='Données projet'!$A$36,'Données projet'!$B$36,N31+M32-V31)))</f>
        <v>150.88</v>
      </c>
      <c r="O32" s="13">
        <f>N32*VLOOKUP('Données projet'!$B$9,Paramètres!$A$1:$I$89,3,0)*VLOOKUP('Données projet'!$B$9,Paramètres!$A$1:$I$89,5,0)</f>
        <v>90.22623999999999</v>
      </c>
      <c r="P32" s="13">
        <f t="shared" si="33"/>
        <v>24.619780658757083</v>
      </c>
      <c r="Q32" s="20">
        <f t="shared" si="2"/>
        <v>200.02348598066854</v>
      </c>
      <c r="R32" s="59">
        <f t="shared" si="0"/>
        <v>467.85398302491217</v>
      </c>
      <c r="S32" s="59">
        <f ca="1">AVERAGE(OFFSET($R$3,0,0,'Données projet'!$E$9+1,1))-AVERAGE(OFFSET($H$3,0,0,'Données projet'!$E$9+1,1))</f>
        <v>360.09035401555587</v>
      </c>
      <c r="T32" s="59">
        <f t="shared" si="34"/>
        <v>266.54879627869821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2.9270832564806581</v>
      </c>
      <c r="AA32" s="21">
        <f>EXP(-LN(2)/25)*AA31+(1-EXP(-LN(2)/25))/(LN(2)/25)*Calculateur!V32*Calculateur!X32*VLOOKUP('Données projet'!$B$9,Paramètres!$A$1:$I$89,3,0)*0.475*44/12</f>
        <v>22.461748957050116</v>
      </c>
      <c r="AB32" s="21">
        <f>EXP(-LN(2)/2)*AB31+(1-EXP(-LN(2)/2))/(LN(2)/2)*V32*Y32*VLOOKUP('Données projet'!$B$9,Paramètres!$A$1:$I$89,3,0)*0.475*44/12</f>
        <v>0</v>
      </c>
      <c r="AC32" s="22">
        <f t="shared" si="3"/>
        <v>25.388832213530772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63.37801434539977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3.8113157894736847</v>
      </c>
      <c r="AI32" s="13">
        <f>IF('Données projet'!$A$62&gt;35,AI31+AH32-AQ31,IF(A32&lt;'Données projet'!$A$62,$AF$205^A32,IF(A32='Données projet'!$A$62,'Données projet'!$B$62,AI31+AH32-AQ31)))</f>
        <v>110.52815789473679</v>
      </c>
      <c r="AJ32" s="13">
        <f>AI32*VLOOKUP('Données projet'!$B$10,Paramètres!$A$1:$I$89,3,0)*VLOOKUP('Données projet'!$B$10,Paramètres!$A$1:$I$89,5,0)</f>
        <v>93.108920210526293</v>
      </c>
      <c r="AK32" s="13">
        <f t="shared" si="35"/>
        <v>25.313533299335088</v>
      </c>
      <c r="AL32" s="20">
        <f t="shared" si="4"/>
        <v>206.25243986300856</v>
      </c>
      <c r="AM32" s="59">
        <f t="shared" si="5"/>
        <v>474.08293690725213</v>
      </c>
      <c r="AN32" s="59">
        <f ca="1">AVERAGE(OFFSET($AM$3,0,0,'Données projet'!$E$10+1,1))-AVERAGE(OFFSET($H$3,0,0,'Données projet'!$E$10+1,1))</f>
        <v>377.26246345103175</v>
      </c>
      <c r="AO32" s="59">
        <f t="shared" si="36"/>
        <v>258.25890564000258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63.37801434539977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28.810000000000002</v>
      </c>
      <c r="BD32" s="12">
        <f>IF('Données projet'!$A$88&gt;35,BD31+BC32-BL31,IF(A32&lt;'Données projet'!$A$88,$BA$205^A32,IF(A32='Données projet'!$A$88,'Données projet'!$B$88,BD31+BC32-BL31)))</f>
        <v>381.75000000000006</v>
      </c>
      <c r="BE32" s="13">
        <f>BD32*VLOOKUP('Données projet'!$B$11,Paramètres!$A$1:$I$89,3,0)*VLOOKUP('Données projet'!$B$11,Paramètres!$A$1:$I$89,5,0)</f>
        <v>168.73350000000002</v>
      </c>
      <c r="BF32" s="13">
        <f t="shared" si="37"/>
        <v>42.806246384447611</v>
      </c>
      <c r="BG32" s="20">
        <f t="shared" si="7"/>
        <v>368.43172495291293</v>
      </c>
      <c r="BH32" s="59">
        <f t="shared" si="8"/>
        <v>636.26222199715653</v>
      </c>
      <c r="BI32" s="59">
        <f ca="1">AVERAGE(OFFSET($BH$3,0,0,'Données projet'!$E$11+1,1))-AVERAGE(OFFSET($H$3,0,0,'Données projet'!$E$11+1,1))</f>
        <v>333.23043896066253</v>
      </c>
      <c r="BJ32" s="59">
        <f t="shared" si="38"/>
        <v>440.63438368668983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32.08647374606813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32.08647374606813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63.37801434539977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10.203282000000002</v>
      </c>
      <c r="BY32" s="12">
        <f>IF('Données projet'!$A$114&gt;35,BY31+BX32-CG31,IF(A32&lt;'Données projet'!$A$114,$BV$205^A32,IF(A32='Données projet'!$A$114,'Données projet'!$B$114,BY31+BX32-CG31)))</f>
        <v>113.101398</v>
      </c>
      <c r="BZ32" s="13">
        <f>BY32*VLOOKUP('Données projet'!$B$12,Paramètres!$A$1:$I$89,3,0)*VLOOKUP('Données projet'!$B$12,Paramètres!$A$1:$I$89,5,0)</f>
        <v>45.579863394000007</v>
      </c>
      <c r="CA32" s="13">
        <f t="shared" si="39"/>
        <v>13.466164166566085</v>
      </c>
      <c r="CB32" s="20">
        <f t="shared" si="10"/>
        <v>102.83849800131925</v>
      </c>
      <c r="CC32" s="59">
        <f t="shared" si="11"/>
        <v>370.66899504556284</v>
      </c>
      <c r="CD32" s="59">
        <f ca="1">AVERAGE(OFFSET($CC$3,0,0,'Données projet'!$E$12+1,1))-AVERAGE(OFFSET($H$3,0,0,'Données projet'!$E$12+1,1))</f>
        <v>177.34129362526608</v>
      </c>
      <c r="CE32" s="59">
        <f t="shared" si="40"/>
        <v>156.93407673501022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6.9447010067271178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6.9447010067271178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63.37801434539977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8.8000000000000007</v>
      </c>
      <c r="CT32" s="12">
        <f>IF('Données projet'!$A$140&gt;35,CT31+CS32-DB31,IF(A32&lt;'Données projet'!$A$140,$CQ$205^A32,IF(A32='Données projet'!$A$140,'Données projet'!$B$140,CT31+CS32-DB31)))</f>
        <v>152.20000000000002</v>
      </c>
      <c r="CU32" s="17">
        <f>CT32*VLOOKUP('Données projet'!$B$13,Paramètres!$A$1:$I$89,3,0)*VLOOKUP('Données projet'!$B$13,Paramètres!$A$1:$I$89,5,0)</f>
        <v>99.721440000000015</v>
      </c>
      <c r="CV32" s="13">
        <f t="shared" si="41"/>
        <v>26.895623699520389</v>
      </c>
      <c r="CW32" s="20">
        <f t="shared" si="13"/>
        <v>220.52471927666468</v>
      </c>
      <c r="CX32" s="59">
        <f t="shared" si="14"/>
        <v>488.35521632090831</v>
      </c>
      <c r="CY32" s="59">
        <f ca="1">AVERAGE(OFFSET($CX$3,0,0,'Données projet'!$E$13+1,1))-AVERAGE(OFFSET($H$3,0,0,'Données projet'!$E$13+1,1))</f>
        <v>267.49254683294629</v>
      </c>
      <c r="CZ32" s="59">
        <f t="shared" si="42"/>
        <v>278.02595256967254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63.37801434539977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3.887142857142857</v>
      </c>
      <c r="DO32" s="12">
        <f>IF('Données projet'!$A$166&gt;35,DO31+DN32-DW31,IF(A32&lt;'Données projet'!$A$166,$DL$205^A32,IF(A32='Données projet'!$A$166,'Données projet'!$B$166,DO31+DN32-DW31)))</f>
        <v>112.72714285714289</v>
      </c>
      <c r="DP32" s="17">
        <f>DO32*VLOOKUP('Données projet'!$B$14,Paramètres!$A$1:$I$89,3,0)*VLOOKUP('Données projet'!$B$14,Paramètres!$A$1:$I$89,5,0)</f>
        <v>101.99551885714288</v>
      </c>
      <c r="DQ32" s="13">
        <f t="shared" si="43"/>
        <v>27.436854324518826</v>
      </c>
      <c r="DR32" s="20">
        <f t="shared" si="16"/>
        <v>225.4280499580608</v>
      </c>
      <c r="DS32" s="59">
        <f t="shared" si="17"/>
        <v>493.2585470023044</v>
      </c>
      <c r="DT32" s="59">
        <f ca="1">AVERAGE(OFFSET($DS$3,0,0,'Données projet'!$E$14+1,1))-AVERAGE(OFFSET($H$3,0,0,'Données projet'!$E$14+1,1))</f>
        <v>602.02351907077332</v>
      </c>
      <c r="DU32" s="59">
        <f t="shared" si="44"/>
        <v>278.08067690827272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63.37801434539977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63.37801434539977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63.37801434539977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63.37801434539977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2.2000000000000002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8.0666666666666682</v>
      </c>
      <c r="H33" s="67">
        <f t="shared" si="1"/>
        <v>224.4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63.492890991965041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16.614999999999998</v>
      </c>
      <c r="N33" s="13">
        <f>IF('Données projet'!$A$36&gt;35,N32+M33-V32,IF(A33&lt;'Données projet'!$A$36,$K$205^A33,IF(A33='Données projet'!$A$36,'Données projet'!$B$36,N32+M33-V32)))</f>
        <v>167.495</v>
      </c>
      <c r="O33" s="13">
        <f>N33*VLOOKUP('Données projet'!$B$9,Paramètres!$A$1:$I$89,3,0)*VLOOKUP('Données projet'!$B$9,Paramètres!$A$1:$I$89,5,0)</f>
        <v>100.16201000000001</v>
      </c>
      <c r="P33" s="13">
        <f t="shared" si="33"/>
        <v>27.000590559708886</v>
      </c>
      <c r="Q33" s="20">
        <f t="shared" si="2"/>
        <v>221.47486264149299</v>
      </c>
      <c r="R33" s="59">
        <f t="shared" si="0"/>
        <v>490.94879627869818</v>
      </c>
      <c r="S33" s="59">
        <f ca="1">AVERAGE(OFFSET($R$3,0,0,'Données projet'!$E$9+1,1))-AVERAGE(OFFSET($H$3,0,0,'Données projet'!$E$9+1,1))</f>
        <v>360.09035401555587</v>
      </c>
      <c r="T33" s="59">
        <f t="shared" si="34"/>
        <v>266.54879627869821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2.8696849391655705</v>
      </c>
      <c r="AA33" s="21">
        <f>EXP(-LN(2)/25)*AA32+(1-EXP(-LN(2)/25))/(LN(2)/25)*Calculateur!V33*Calculateur!X33*VLOOKUP('Données projet'!$B$9,Paramètres!$A$1:$I$89,3,0)*0.475*44/12</f>
        <v>21.847531250607538</v>
      </c>
      <c r="AB33" s="21">
        <f>EXP(-LN(2)/2)*AB32+(1-EXP(-LN(2)/2))/(LN(2)/2)*V33*Y33*VLOOKUP('Données projet'!$B$9,Paramètres!$A$1:$I$89,3,0)*0.475*44/12</f>
        <v>0</v>
      </c>
      <c r="AC33" s="22">
        <f t="shared" si="3"/>
        <v>24.717216189773108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63.492890991965041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3.8113157894736847</v>
      </c>
      <c r="AI33" s="13">
        <f>IF('Données projet'!$A$62&gt;35,AI32+AH33-AQ32,IF(A33&lt;'Données projet'!$A$62,$AF$205^A33,IF(A33='Données projet'!$A$62,'Données projet'!$B$62,AI32+AH33-AQ32)))</f>
        <v>114.33947368421047</v>
      </c>
      <c r="AJ33" s="13">
        <f>AI33*VLOOKUP('Données projet'!$B$10,Paramètres!$A$1:$I$89,3,0)*VLOOKUP('Données projet'!$B$10,Paramètres!$A$1:$I$89,5,0)</f>
        <v>96.319572631578922</v>
      </c>
      <c r="AK33" s="13">
        <f t="shared" si="35"/>
        <v>26.083282106869351</v>
      </c>
      <c r="AL33" s="20">
        <f t="shared" si="4"/>
        <v>213.18497200279739</v>
      </c>
      <c r="AM33" s="59">
        <f t="shared" si="5"/>
        <v>482.65890564000256</v>
      </c>
      <c r="AN33" s="59">
        <f ca="1">AVERAGE(OFFSET($AM$3,0,0,'Données projet'!$E$10+1,1))-AVERAGE(OFFSET($H$3,0,0,'Données projet'!$E$10+1,1))</f>
        <v>377.26246345103175</v>
      </c>
      <c r="AO33" s="59">
        <f t="shared" si="36"/>
        <v>258.25890564000258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63.492890991965041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410.56</v>
      </c>
      <c r="BB33" s="12">
        <f>VLOOKUP(A33,'Données projet'!$A$87:$I$107,9,0)</f>
        <v>28.810000000000002</v>
      </c>
      <c r="BC33" s="12">
        <f t="array" ref="BC33">INDEX(BB:BB,MIN(IF(ISNUMBER(BB33:BB229),ROW(BB33:BB229),"")))</f>
        <v>28.810000000000002</v>
      </c>
      <c r="BD33" s="12">
        <f>IF('Données projet'!$A$88&gt;35,BD32+BC33-BL32,IF(A33&lt;'Données projet'!$A$88,$BA$205^A33,IF(A33='Données projet'!$A$88,'Données projet'!$B$88,BD32+BC33-BL32)))</f>
        <v>410.56000000000006</v>
      </c>
      <c r="BE33" s="13">
        <f>BD33*VLOOKUP('Données projet'!$B$11,Paramètres!$A$1:$I$89,3,0)*VLOOKUP('Données projet'!$B$11,Paramètres!$A$1:$I$89,5,0)</f>
        <v>181.46752000000004</v>
      </c>
      <c r="BF33" s="13">
        <f t="shared" si="37"/>
        <v>45.648527875302193</v>
      </c>
      <c r="BG33" s="20">
        <f t="shared" si="7"/>
        <v>395.5604500494847</v>
      </c>
      <c r="BH33" s="59">
        <f t="shared" si="8"/>
        <v>665.03438368668981</v>
      </c>
      <c r="BI33" s="59">
        <f ca="1">AVERAGE(OFFSET($BH$3,0,0,'Données projet'!$E$11+1,1))-AVERAGE(OFFSET($H$3,0,0,'Données projet'!$E$11+1,1))</f>
        <v>333.23043896066253</v>
      </c>
      <c r="BJ33" s="59">
        <f t="shared" si="38"/>
        <v>440.63438368668983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80.97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0.55000000000000004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57.218093889652266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57.218093889652266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63.492890991965041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123.30468</v>
      </c>
      <c r="BW33" s="12">
        <f>VLOOKUP(A33,'Données projet'!$A$113:$I$133,9,0)</f>
        <v>10.203282000000002</v>
      </c>
      <c r="BX33" s="12">
        <f t="array" ref="BX33">INDEX(BW:BW,MIN(IF(ISNUMBER(BW33:BW229),ROW(BW33:BW229),"")))</f>
        <v>10.203282000000002</v>
      </c>
      <c r="BY33" s="12">
        <f>IF('Données projet'!$A$114&gt;35,BY32+BX33-CG32,IF(A33&lt;'Données projet'!$A$114,$BV$205^A33,IF(A33='Données projet'!$A$114,'Données projet'!$B$114,BY32+BX33-CG32)))</f>
        <v>123.30468</v>
      </c>
      <c r="BZ33" s="13">
        <f>BY33*VLOOKUP('Données projet'!$B$12,Paramètres!$A$1:$I$89,3,0)*VLOOKUP('Données projet'!$B$12,Paramètres!$A$1:$I$89,5,0)</f>
        <v>49.691786040000004</v>
      </c>
      <c r="CA33" s="13">
        <f t="shared" si="39"/>
        <v>14.534133441993346</v>
      </c>
      <c r="CB33" s="20">
        <f t="shared" si="10"/>
        <v>111.86014309780506</v>
      </c>
      <c r="CC33" s="59">
        <f t="shared" si="11"/>
        <v>381.33407673501023</v>
      </c>
      <c r="CD33" s="59">
        <f ca="1">AVERAGE(OFFSET($CC$3,0,0,'Données projet'!$E$12+1,1))-AVERAGE(OFFSET($H$3,0,0,'Données projet'!$E$12+1,1))</f>
        <v>177.34129362526608</v>
      </c>
      <c r="CE33" s="59">
        <f t="shared" si="40"/>
        <v>156.93407673501022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25.237800000000004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0.55000000000000004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14.146325825480636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14.146325825480636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63.492890991965041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161</v>
      </c>
      <c r="CR33" s="12">
        <f>VLOOKUP(A33,'Données projet'!$A$139:$I$159,9,0)</f>
        <v>8.8000000000000007</v>
      </c>
      <c r="CS33" s="12">
        <f t="array" ref="CS33">INDEX(CR:CR,MIN(IF(ISNUMBER(CR33:CR229),ROW(CR33:CR229),"")))</f>
        <v>8.8000000000000007</v>
      </c>
      <c r="CT33" s="12">
        <f>IF('Données projet'!$A$140&gt;35,CT32+CS33-DB32,IF(A33&lt;'Données projet'!$A$140,$CQ$205^A33,IF(A33='Données projet'!$A$140,'Données projet'!$B$140,CT32+CS33-DB32)))</f>
        <v>161.00000000000003</v>
      </c>
      <c r="CU33" s="17">
        <f>CT33*VLOOKUP('Données projet'!$B$13,Paramètres!$A$1:$I$89,3,0)*VLOOKUP('Données projet'!$B$13,Paramètres!$A$1:$I$89,5,0)</f>
        <v>105.48720000000002</v>
      </c>
      <c r="CV33" s="13">
        <f t="shared" si="41"/>
        <v>28.265155367923839</v>
      </c>
      <c r="CW33" s="20">
        <f t="shared" si="13"/>
        <v>232.95201893246738</v>
      </c>
      <c r="CX33" s="59">
        <f t="shared" si="14"/>
        <v>502.42595256967252</v>
      </c>
      <c r="CY33" s="59">
        <f ca="1">AVERAGE(OFFSET($CX$3,0,0,'Données projet'!$E$13+1,1))-AVERAGE(OFFSET($H$3,0,0,'Données projet'!$E$13+1,1))</f>
        <v>267.49254683294629</v>
      </c>
      <c r="CZ33" s="59">
        <f t="shared" si="42"/>
        <v>278.02595256967254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23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63.492890991965041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3.887142857142857</v>
      </c>
      <c r="DO33" s="12">
        <f>IF('Données projet'!$A$166&gt;35,DO32+DN33-DW32,IF(A33&lt;'Données projet'!$A$166,$DL$205^A33,IF(A33='Données projet'!$A$166,'Données projet'!$B$166,DO32+DN33-DW32)))</f>
        <v>116.61428571428576</v>
      </c>
      <c r="DP33" s="17">
        <f>DO33*VLOOKUP('Données projet'!$B$14,Paramètres!$A$1:$I$89,3,0)*VLOOKUP('Données projet'!$B$14,Paramètres!$A$1:$I$89,5,0)</f>
        <v>105.51260571428575</v>
      </c>
      <c r="DQ33" s="13">
        <f t="shared" si="43"/>
        <v>28.271170326518615</v>
      </c>
      <c r="DR33" s="20">
        <f t="shared" si="16"/>
        <v>233.00674327106756</v>
      </c>
      <c r="DS33" s="59">
        <f t="shared" si="17"/>
        <v>502.4806769082727</v>
      </c>
      <c r="DT33" s="59">
        <f ca="1">AVERAGE(OFFSET($DS$3,0,0,'Données projet'!$E$14+1,1))-AVERAGE(OFFSET($H$3,0,0,'Données projet'!$E$14+1,1))</f>
        <v>602.02351907077332</v>
      </c>
      <c r="DU33" s="59">
        <f t="shared" si="44"/>
        <v>278.08067690827272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63.492890991965041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63.492890991965041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63.492890991965041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63.492890991965041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2.2000000000000002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8.0666666666666682</v>
      </c>
      <c r="H34" s="67">
        <f t="shared" si="1"/>
        <v>224.4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63.605774785538102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16.614999999999998</v>
      </c>
      <c r="N34" s="13">
        <f>IF('Données projet'!$A$36&gt;35,N33+M34-V33,IF(A34&lt;'Données projet'!$A$36,$K$205^A34,IF(A34='Données projet'!$A$36,'Données projet'!$B$36,N33+M34-V33)))</f>
        <v>184.11</v>
      </c>
      <c r="O34" s="13">
        <f>N34*VLOOKUP('Données projet'!$B$9,Paramètres!$A$1:$I$89,3,0)*VLOOKUP('Données projet'!$B$9,Paramètres!$A$1:$I$89,5,0)</f>
        <v>110.09778000000001</v>
      </c>
      <c r="P34" s="13">
        <f t="shared" si="33"/>
        <v>29.354021111763256</v>
      </c>
      <c r="Q34" s="20">
        <f t="shared" si="2"/>
        <v>242.87855360298769</v>
      </c>
      <c r="R34" s="59">
        <f t="shared" si="0"/>
        <v>512.76639448329411</v>
      </c>
      <c r="S34" s="59">
        <f ca="1">AVERAGE(OFFSET($R$3,0,0,'Données projet'!$E$9+1,1))-AVERAGE(OFFSET($H$3,0,0,'Données projet'!$E$9+1,1))</f>
        <v>360.09035401555587</v>
      </c>
      <c r="T34" s="59">
        <f t="shared" si="34"/>
        <v>266.54879627869821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2.8134121678435156</v>
      </c>
      <c r="AA34" s="21">
        <f>EXP(-LN(2)/25)*AA33+(1-EXP(-LN(2)/25))/(LN(2)/25)*Calculateur!V34*Calculateur!X34*VLOOKUP('Données projet'!$B$9,Paramètres!$A$1:$I$89,3,0)*0.475*44/12</f>
        <v>21.25010935964794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24.063521527491456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63.605774785538102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3.8113157894736847</v>
      </c>
      <c r="AI34" s="13">
        <f>IF('Données projet'!$A$62&gt;35,AI33+AH34-AQ33,IF(A34&lt;'Données projet'!$A$62,$AF$205^A34,IF(A34='Données projet'!$A$62,'Données projet'!$B$62,AI33+AH34-AQ33)))</f>
        <v>118.15078947368416</v>
      </c>
      <c r="AJ34" s="13">
        <f>AI34*VLOOKUP('Données projet'!$B$10,Paramètres!$A$1:$I$89,3,0)*VLOOKUP('Données projet'!$B$10,Paramètres!$A$1:$I$89,5,0)</f>
        <v>99.53022505263155</v>
      </c>
      <c r="AK34" s="13">
        <f t="shared" si="35"/>
        <v>26.850049492324516</v>
      </c>
      <c r="AL34" s="20">
        <f t="shared" si="4"/>
        <v>220.11231149913181</v>
      </c>
      <c r="AM34" s="59">
        <f t="shared" si="5"/>
        <v>490.00015237943819</v>
      </c>
      <c r="AN34" s="59">
        <f ca="1">AVERAGE(OFFSET($AM$3,0,0,'Données projet'!$E$10+1,1))-AVERAGE(OFFSET($H$3,0,0,'Données projet'!$E$10+1,1))</f>
        <v>377.26246345103175</v>
      </c>
      <c r="AO34" s="59">
        <f t="shared" si="36"/>
        <v>258.25890564000258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63.605774785538102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28.636666666666667</v>
      </c>
      <c r="BD34" s="12">
        <f>IF('Données projet'!$A$88&gt;35,BD33+BC34-BL33,IF(A34&lt;'Données projet'!$A$88,$BA$205^A34,IF(A34='Données projet'!$A$88,'Données projet'!$B$88,BD33+BC34-BL33)))</f>
        <v>358.22666666666669</v>
      </c>
      <c r="BE34" s="13">
        <f>BD34*VLOOKUP('Données projet'!$B$11,Paramètres!$A$1:$I$89,3,0)*VLOOKUP('Données projet'!$B$11,Paramètres!$A$1:$I$89,5,0)</f>
        <v>158.33618666666669</v>
      </c>
      <c r="BF34" s="13">
        <f t="shared" si="37"/>
        <v>40.467009658698856</v>
      </c>
      <c r="BG34" s="20">
        <f t="shared" si="7"/>
        <v>346.24890026667828</v>
      </c>
      <c r="BH34" s="59">
        <f t="shared" si="8"/>
        <v>616.1367411469846</v>
      </c>
      <c r="BI34" s="59">
        <f ca="1">AVERAGE(OFFSET($BH$3,0,0,'Données projet'!$E$11+1,1))-AVERAGE(OFFSET($H$3,0,0,'Données projet'!$E$11+1,1))</f>
        <v>333.23043896066253</v>
      </c>
      <c r="BJ34" s="59">
        <f t="shared" si="38"/>
        <v>440.63438368668983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55.65346210327094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55.65346210327094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63.605774785538102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10.45566</v>
      </c>
      <c r="BY34" s="12">
        <f>IF('Données projet'!$A$114&gt;35,BY33+BX34-CG33,IF(A34&lt;'Données projet'!$A$114,$BV$205^A34,IF(A34='Données projet'!$A$114,'Données projet'!$B$114,BY33+BX34-CG33)))</f>
        <v>108.52254000000001</v>
      </c>
      <c r="BZ34" s="13">
        <f>BY34*VLOOKUP('Données projet'!$B$12,Paramètres!$A$1:$I$89,3,0)*VLOOKUP('Données projet'!$B$12,Paramètres!$A$1:$I$89,5,0)</f>
        <v>43.734583620000009</v>
      </c>
      <c r="CA34" s="13">
        <f t="shared" si="39"/>
        <v>12.983298181455227</v>
      </c>
      <c r="CB34" s="20">
        <f t="shared" si="10"/>
        <v>98.783644137534523</v>
      </c>
      <c r="CC34" s="59">
        <f t="shared" si="11"/>
        <v>368.67148501784089</v>
      </c>
      <c r="CD34" s="59">
        <f ca="1">AVERAGE(OFFSET($CC$3,0,0,'Données projet'!$E$12+1,1))-AVERAGE(OFFSET($H$3,0,0,'Données projet'!$E$12+1,1))</f>
        <v>177.34129362526608</v>
      </c>
      <c r="CE34" s="59">
        <f t="shared" si="40"/>
        <v>156.93407673501022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13.759493801859925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13.759493801859925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63.605774785538102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146.60000000000002</v>
      </c>
      <c r="CU34" s="17">
        <f>CT34*VLOOKUP('Données projet'!$B$13,Paramètres!$A$1:$I$89,3,0)*VLOOKUP('Données projet'!$B$13,Paramètres!$A$1:$I$89,5,0)</f>
        <v>96.052320000000023</v>
      </c>
      <c r="CV34" s="13">
        <f t="shared" si="41"/>
        <v>26.019324001860248</v>
      </c>
      <c r="CW34" s="20">
        <f t="shared" si="13"/>
        <v>212.60811330323997</v>
      </c>
      <c r="CX34" s="59">
        <f t="shared" si="14"/>
        <v>482.49595418354636</v>
      </c>
      <c r="CY34" s="59">
        <f ca="1">AVERAGE(OFFSET($CX$3,0,0,'Données projet'!$E$13+1,1))-AVERAGE(OFFSET($H$3,0,0,'Données projet'!$E$13+1,1))</f>
        <v>267.49254683294629</v>
      </c>
      <c r="CZ34" s="59">
        <f t="shared" si="42"/>
        <v>278.02595256967254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63.605774785538102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3.887142857142857</v>
      </c>
      <c r="DO34" s="12">
        <f>IF('Données projet'!$A$166&gt;35,DO33+DN34-DW33,IF(A34&lt;'Données projet'!$A$166,$DL$205^A34,IF(A34='Données projet'!$A$166,'Données projet'!$B$166,DO33+DN34-DW33)))</f>
        <v>120.50142857142862</v>
      </c>
      <c r="DP34" s="17">
        <f>DO34*VLOOKUP('Données projet'!$B$14,Paramètres!$A$1:$I$89,3,0)*VLOOKUP('Données projet'!$B$14,Paramètres!$A$1:$I$89,5,0)</f>
        <v>109.02969257142863</v>
      </c>
      <c r="DQ34" s="13">
        <f t="shared" si="43"/>
        <v>29.102254822181546</v>
      </c>
      <c r="DR34" s="20">
        <f t="shared" si="16"/>
        <v>240.57980837720436</v>
      </c>
      <c r="DS34" s="59">
        <f t="shared" si="17"/>
        <v>510.46764925751074</v>
      </c>
      <c r="DT34" s="59">
        <f ca="1">AVERAGE(OFFSET($DS$3,0,0,'Données projet'!$E$14+1,1))-AVERAGE(OFFSET($H$3,0,0,'Données projet'!$E$14+1,1))</f>
        <v>602.02351907077332</v>
      </c>
      <c r="DU34" s="59">
        <f t="shared" si="44"/>
        <v>278.08067690827272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63.605774785538102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63.605774785538102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63.605774785538102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63.605774785538102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2.2000000000000002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8.0666666666666682</v>
      </c>
      <c r="H35" s="67">
        <f t="shared" si="1"/>
        <v>224.4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63.716700297663039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16.614999999999998</v>
      </c>
      <c r="N35" s="13">
        <f>IF('Données projet'!$A$36&gt;35,N34+M35-V34,IF(A35&lt;'Données projet'!$A$36,$K$205^A35,IF(A35='Données projet'!$A$36,'Données projet'!$B$36,N34+M35-V34)))</f>
        <v>200.72500000000002</v>
      </c>
      <c r="O35" s="13">
        <f>N35*VLOOKUP('Données projet'!$B$9,Paramètres!$A$1:$I$89,3,0)*VLOOKUP('Données projet'!$B$9,Paramètres!$A$1:$I$89,5,0)</f>
        <v>120.03355000000002</v>
      </c>
      <c r="P35" s="13">
        <f t="shared" si="33"/>
        <v>31.68282415335652</v>
      </c>
      <c r="Q35" s="20">
        <f t="shared" ref="Q35:Q66" si="53">(O35+P35)*0.475*44/12</f>
        <v>264.23935165042923</v>
      </c>
      <c r="R35" s="59">
        <f t="shared" si="0"/>
        <v>534.53391940852703</v>
      </c>
      <c r="S35" s="59">
        <f ca="1">AVERAGE(OFFSET($R$3,0,0,'Données projet'!$E$9+1,1))-AVERAGE(OFFSET($H$3,0,0,'Données projet'!$E$9+1,1))</f>
        <v>360.09035401555587</v>
      </c>
      <c r="T35" s="59">
        <f t="shared" si="34"/>
        <v>266.54879627869821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2.7582428712440845</v>
      </c>
      <c r="AA35" s="21">
        <f>EXP(-LN(2)/25)*AA34+(1-EXP(-LN(2)/25))/(LN(2)/25)*Calculateur!V35*Calculateur!X35*VLOOKUP('Données projet'!$B$9,Paramètres!$A$1:$I$89,3,0)*0.475*44/12</f>
        <v>20.669024001713684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23.42726687295777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63.716700297663039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3.8113157894736847</v>
      </c>
      <c r="AI35" s="13">
        <f>IF('Données projet'!$A$62&gt;35,AI34+AH35-AQ34,IF(A35&lt;'Données projet'!$A$62,$AF$205^A35,IF(A35='Données projet'!$A$62,'Données projet'!$B$62,AI34+AH35-AQ34)))</f>
        <v>121.96210526315784</v>
      </c>
      <c r="AJ35" s="13">
        <f>AI35*VLOOKUP('Données projet'!$B$10,Paramètres!$A$1:$I$89,3,0)*VLOOKUP('Données projet'!$B$10,Paramètres!$A$1:$I$89,5,0)</f>
        <v>102.74087747368418</v>
      </c>
      <c r="AK35" s="13">
        <f t="shared" si="35"/>
        <v>27.613942661784687</v>
      </c>
      <c r="AL35" s="20">
        <f t="shared" si="4"/>
        <v>227.03464506927492</v>
      </c>
      <c r="AM35" s="59">
        <f t="shared" si="5"/>
        <v>497.32921282737271</v>
      </c>
      <c r="AN35" s="59">
        <f ca="1">AVERAGE(OFFSET($AM$3,0,0,'Données projet'!$E$10+1,1))-AVERAGE(OFFSET($H$3,0,0,'Données projet'!$E$10+1,1))</f>
        <v>377.26246345103175</v>
      </c>
      <c r="AO35" s="59">
        <f t="shared" si="36"/>
        <v>258.25890564000258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63.716700297663039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28.636666666666667</v>
      </c>
      <c r="BD35" s="12">
        <f>IF('Données projet'!$A$88&gt;35,BD34+BC35-BL34,IF(A35&lt;'Données projet'!$A$88,$BA$205^A35,IF(A35='Données projet'!$A$88,'Données projet'!$B$88,BD34+BC35-BL34)))</f>
        <v>386.86333333333334</v>
      </c>
      <c r="BE35" s="13">
        <f>BD35*VLOOKUP('Données projet'!$B$11,Paramètres!$A$1:$I$89,3,0)*VLOOKUP('Données projet'!$B$11,Paramètres!$A$1:$I$89,5,0)</f>
        <v>170.99359333333334</v>
      </c>
      <c r="BF35" s="13">
        <f t="shared" si="37"/>
        <v>43.312479907238945</v>
      </c>
      <c r="BG35" s="20">
        <f t="shared" si="7"/>
        <v>373.24974422733004</v>
      </c>
      <c r="BH35" s="59">
        <f t="shared" si="8"/>
        <v>643.54431198542784</v>
      </c>
      <c r="BI35" s="59">
        <f ca="1">AVERAGE(OFFSET($BH$3,0,0,'Données projet'!$E$11+1,1))-AVERAGE(OFFSET($H$3,0,0,'Données projet'!$E$11+1,1))</f>
        <v>333.23043896066253</v>
      </c>
      <c r="BJ35" s="59">
        <f t="shared" si="38"/>
        <v>440.63438368668983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54.131615255368622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54.131615255368622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63.716700297663039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10.45566</v>
      </c>
      <c r="BY35" s="12">
        <f>IF('Données projet'!$A$114&gt;35,BY34+BX35-CG34,IF(A35&lt;'Données projet'!$A$114,$BV$205^A35,IF(A35='Données projet'!$A$114,'Données projet'!$B$114,BY34+BX35-CG34)))</f>
        <v>118.9782</v>
      </c>
      <c r="BZ35" s="13">
        <f>BY35*VLOOKUP('Données projet'!$B$12,Paramètres!$A$1:$I$89,3,0)*VLOOKUP('Données projet'!$B$12,Paramètres!$A$1:$I$89,5,0)</f>
        <v>47.948214600000007</v>
      </c>
      <c r="CA35" s="13">
        <f t="shared" si="39"/>
        <v>14.082591873765516</v>
      </c>
      <c r="CB35" s="20">
        <f t="shared" si="10"/>
        <v>108.03698794180828</v>
      </c>
      <c r="CC35" s="59">
        <f t="shared" si="11"/>
        <v>378.33155569990606</v>
      </c>
      <c r="CD35" s="59">
        <f ca="1">AVERAGE(OFFSET($CC$3,0,0,'Données projet'!$E$12+1,1))-AVERAGE(OFFSET($H$3,0,0,'Données projet'!$E$12+1,1))</f>
        <v>177.34129362526608</v>
      </c>
      <c r="CE35" s="59">
        <f t="shared" si="40"/>
        <v>156.93407673501022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13.383239720267735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13.383239720267735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63.716700297663039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155.20000000000002</v>
      </c>
      <c r="CU35" s="17">
        <f>CT35*VLOOKUP('Données projet'!$B$13,Paramètres!$A$1:$I$89,3,0)*VLOOKUP('Données projet'!$B$13,Paramètres!$A$1:$I$89,5,0)</f>
        <v>101.68704000000002</v>
      </c>
      <c r="CV35" s="13">
        <f t="shared" si="41"/>
        <v>27.363519398004541</v>
      </c>
      <c r="CW35" s="20">
        <f t="shared" si="13"/>
        <v>224.76305761819128</v>
      </c>
      <c r="CX35" s="59">
        <f t="shared" si="14"/>
        <v>495.05762537628908</v>
      </c>
      <c r="CY35" s="59">
        <f ca="1">AVERAGE(OFFSET($CX$3,0,0,'Données projet'!$E$13+1,1))-AVERAGE(OFFSET($H$3,0,0,'Données projet'!$E$13+1,1))</f>
        <v>267.49254683294629</v>
      </c>
      <c r="CZ35" s="59">
        <f t="shared" si="42"/>
        <v>278.02595256967254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63.716700297663039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3.887142857142857</v>
      </c>
      <c r="DO35" s="12">
        <f>IF('Données projet'!$A$166&gt;35,DO34+DN35-DW34,IF(A35&lt;'Données projet'!$A$166,$DL$205^A35,IF(A35='Données projet'!$A$166,'Données projet'!$B$166,DO34+DN35-DW34)))</f>
        <v>124.38857142857148</v>
      </c>
      <c r="DP35" s="17">
        <f>DO35*VLOOKUP('Données projet'!$B$14,Paramètres!$A$1:$I$89,3,0)*VLOOKUP('Données projet'!$B$14,Paramètres!$A$1:$I$89,5,0)</f>
        <v>112.54677942857147</v>
      </c>
      <c r="DQ35" s="13">
        <f t="shared" si="43"/>
        <v>29.930224010130704</v>
      </c>
      <c r="DR35" s="20">
        <f t="shared" si="16"/>
        <v>248.14744765573963</v>
      </c>
      <c r="DS35" s="59">
        <f t="shared" si="17"/>
        <v>518.44201541383745</v>
      </c>
      <c r="DT35" s="59">
        <f ca="1">AVERAGE(OFFSET($DS$3,0,0,'Données projet'!$E$14+1,1))-AVERAGE(OFFSET($H$3,0,0,'Données projet'!$E$14+1,1))</f>
        <v>602.02351907077332</v>
      </c>
      <c r="DU35" s="59">
        <f t="shared" si="44"/>
        <v>278.08067690827272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63.716700297663039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63.716700297663039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63.716700297663039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63.716700297663039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2.2000000000000002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8.0666666666666682</v>
      </c>
      <c r="H36" s="67">
        <f t="shared" si="1"/>
        <v>224.4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63.825701500144895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217.34</v>
      </c>
      <c r="L36" s="12">
        <f>VLOOKUP(A36,'Données projet'!$A$35:$I$55,9,0)</f>
        <v>16.614999999999998</v>
      </c>
      <c r="M36" s="12">
        <f t="array" ref="M36">INDEX(L:L,MIN(IF(ISNUMBER(L36:L232),ROW(L36:L232),"")))</f>
        <v>16.614999999999998</v>
      </c>
      <c r="N36" s="13">
        <f>IF('Données projet'!$A$36&gt;35,N35+M36-V35,IF(A36&lt;'Données projet'!$A$36,$K$205^A36,IF(A36='Données projet'!$A$36,'Données projet'!$B$36,N35+M36-V35)))</f>
        <v>217.34000000000003</v>
      </c>
      <c r="O36" s="13">
        <f>N36*VLOOKUP('Données projet'!$B$9,Paramètres!$A$1:$I$89,3,0)*VLOOKUP('Données projet'!$B$9,Paramètres!$A$1:$I$89,5,0)</f>
        <v>129.96932000000001</v>
      </c>
      <c r="P36" s="13">
        <f t="shared" si="33"/>
        <v>33.989269987755954</v>
      </c>
      <c r="Q36" s="20">
        <f t="shared" si="53"/>
        <v>285.56121089534162</v>
      </c>
      <c r="R36" s="59">
        <f t="shared" si="0"/>
        <v>556.25544972920625</v>
      </c>
      <c r="S36" s="59">
        <f ca="1">AVERAGE(OFFSET($R$3,0,0,'Données projet'!$E$9+1,1))-AVERAGE(OFFSET($H$3,0,0,'Données projet'!$E$9+1,1))</f>
        <v>360.09035401555587</v>
      </c>
      <c r="T36" s="59">
        <f t="shared" si="34"/>
        <v>266.54879627869821</v>
      </c>
      <c r="U36" s="15">
        <f>IF(ISNA(VLOOKUP(A36,'Données projet'!$A$35:$I$55,3,0)),0,VLOOKUP(A36,'Données projet'!$A$35:$I$55,3,0))</f>
        <v>3</v>
      </c>
      <c r="V36" s="15">
        <f>IF(ISNA(VLOOKUP(A36,'Données projet'!$A$35:$I$55,4,0)),0,VLOOKUP(A36,'Données projet'!$A$35:$I$55,4,0))</f>
        <v>50.41</v>
      </c>
      <c r="W36" s="16">
        <f>IF(ISNA(VLOOKUP(A36,'Données projet'!$A$35:$I$55,5,0)),0%,VLOOKUP(A36,'Données projet'!$A$35:$I$55,5,0)*VLOOKUP('Données projet'!$B$9,Paramètres!$A$1:$I$89,7,0))</f>
        <v>0.13500000000000001</v>
      </c>
      <c r="X36" s="16">
        <f>IF(ISNA(VLOOKUP(A36,'Données projet'!$A$35:$I$55,6,0)),0%,VLOOKUP(A36,'Données projet'!$A$35:$I$55,6,0)*VLOOKUP('Données projet'!$B$9,Paramètres!$A$1:$I$89,7,0))</f>
        <v>0.22500000000000001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8.1027411901626536</v>
      </c>
      <c r="AA36" s="21">
        <f>EXP(-LN(2)/25)*AA35+(1-EXP(-LN(2)/25))/(LN(2)/25)*Calculateur!V36*Calculateur!X36*VLOOKUP('Données projet'!$B$9,Paramètres!$A$1:$I$89,3,0)*0.475*44/12</f>
        <v>29.066044270160475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37.168785460323129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63.825701500144895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3.8113157894736847</v>
      </c>
      <c r="AI36" s="13">
        <f>IF('Données projet'!$A$62&gt;35,AI35+AH36-AQ35,IF(A36&lt;'Données projet'!$A$62,$AF$205^A36,IF(A36='Données projet'!$A$62,'Données projet'!$B$62,AI35+AH36-AQ35)))</f>
        <v>125.77342105263152</v>
      </c>
      <c r="AJ36" s="13">
        <f>AI36*VLOOKUP('Données projet'!$B$10,Paramètres!$A$1:$I$89,3,0)*VLOOKUP('Données projet'!$B$10,Paramètres!$A$1:$I$89,5,0)</f>
        <v>105.95152989473681</v>
      </c>
      <c r="AK36" s="13">
        <f t="shared" si="35"/>
        <v>28.375061740374683</v>
      </c>
      <c r="AL36" s="20">
        <f t="shared" si="4"/>
        <v>233.95214709781916</v>
      </c>
      <c r="AM36" s="59">
        <f t="shared" si="5"/>
        <v>504.64638593168377</v>
      </c>
      <c r="AN36" s="59">
        <f ca="1">AVERAGE(OFFSET($AM$3,0,0,'Données projet'!$E$10+1,1))-AVERAGE(OFFSET($H$3,0,0,'Données projet'!$E$10+1,1))</f>
        <v>377.26246345103175</v>
      </c>
      <c r="AO36" s="59">
        <f t="shared" si="36"/>
        <v>258.25890564000258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63.825701500144895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28.636666666666667</v>
      </c>
      <c r="BD36" s="12">
        <f>IF('Données projet'!$A$88&gt;35,BD35+BC36-BL35,IF(A36&lt;'Données projet'!$A$88,$BA$205^A36,IF(A36='Données projet'!$A$88,'Données projet'!$B$88,BD35+BC36-BL35)))</f>
        <v>415.5</v>
      </c>
      <c r="BE36" s="13">
        <f>BD36*VLOOKUP('Données projet'!$B$11,Paramètres!$A$1:$I$89,3,0)*VLOOKUP('Données projet'!$B$11,Paramètres!$A$1:$I$89,5,0)</f>
        <v>183.65100000000001</v>
      </c>
      <c r="BF36" s="13">
        <f t="shared" si="37"/>
        <v>46.133514673271662</v>
      </c>
      <c r="BG36" s="20">
        <f t="shared" si="7"/>
        <v>400.20802972261481</v>
      </c>
      <c r="BH36" s="59">
        <f t="shared" si="8"/>
        <v>670.90226855647938</v>
      </c>
      <c r="BI36" s="59">
        <f ca="1">AVERAGE(OFFSET($BH$3,0,0,'Données projet'!$E$11+1,1))-AVERAGE(OFFSET($H$3,0,0,'Données projet'!$E$11+1,1))</f>
        <v>333.23043896066253</v>
      </c>
      <c r="BJ36" s="59">
        <f t="shared" si="38"/>
        <v>440.63438368668983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52.651383389552642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52.651383389552642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63.825701500144895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10.45566</v>
      </c>
      <c r="BY36" s="12">
        <f>IF('Données projet'!$A$114&gt;35,BY35+BX36-CG35,IF(A36&lt;'Données projet'!$A$114,$BV$205^A36,IF(A36='Données projet'!$A$114,'Données projet'!$B$114,BY35+BX36-CG35)))</f>
        <v>129.43386000000001</v>
      </c>
      <c r="BZ36" s="13">
        <f>BY36*VLOOKUP('Données projet'!$B$12,Paramètres!$A$1:$I$89,3,0)*VLOOKUP('Données projet'!$B$12,Paramètres!$A$1:$I$89,5,0)</f>
        <v>52.161845580000005</v>
      </c>
      <c r="CA36" s="13">
        <f t="shared" si="39"/>
        <v>15.170682898365603</v>
      </c>
      <c r="CB36" s="20">
        <f t="shared" si="10"/>
        <v>117.27082043315342</v>
      </c>
      <c r="CC36" s="59">
        <f t="shared" si="11"/>
        <v>387.96505926701803</v>
      </c>
      <c r="CD36" s="59">
        <f ca="1">AVERAGE(OFFSET($CC$3,0,0,'Données projet'!$E$12+1,1))-AVERAGE(OFFSET($H$3,0,0,'Données projet'!$E$12+1,1))</f>
        <v>177.34129362526608</v>
      </c>
      <c r="CE36" s="59">
        <f t="shared" si="40"/>
        <v>156.93407673501022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13.017274326323024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13.017274326323024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63.825701500144895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163.80000000000001</v>
      </c>
      <c r="CU36" s="17">
        <f>CT36*VLOOKUP('Données projet'!$B$13,Paramètres!$A$1:$I$89,3,0)*VLOOKUP('Données projet'!$B$13,Paramètres!$A$1:$I$89,5,0)</f>
        <v>107.32176000000001</v>
      </c>
      <c r="CV36" s="13">
        <f t="shared" si="41"/>
        <v>28.699067963776873</v>
      </c>
      <c r="CW36" s="20">
        <f t="shared" si="13"/>
        <v>236.90294203691141</v>
      </c>
      <c r="CX36" s="59">
        <f t="shared" si="14"/>
        <v>507.59718087077601</v>
      </c>
      <c r="CY36" s="59">
        <f ca="1">AVERAGE(OFFSET($CX$3,0,0,'Données projet'!$E$13+1,1))-AVERAGE(OFFSET($H$3,0,0,'Données projet'!$E$13+1,1))</f>
        <v>267.49254683294629</v>
      </c>
      <c r="CZ36" s="59">
        <f t="shared" si="42"/>
        <v>278.02595256967254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63.825701500144895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3.887142857142857</v>
      </c>
      <c r="DO36" s="12">
        <f>IF('Données projet'!$A$166&gt;35,DO35+DN36-DW35,IF(A36&lt;'Données projet'!$A$166,$DL$205^A36,IF(A36='Données projet'!$A$166,'Données projet'!$B$166,DO35+DN36-DW35)))</f>
        <v>128.27571428571434</v>
      </c>
      <c r="DP36" s="17">
        <f>DO36*VLOOKUP('Données projet'!$B$14,Paramètres!$A$1:$I$89,3,0)*VLOOKUP('Données projet'!$B$14,Paramètres!$A$1:$I$89,5,0)</f>
        <v>116.06386628571434</v>
      </c>
      <c r="DQ36" s="13">
        <f t="shared" si="43"/>
        <v>30.755186414072718</v>
      </c>
      <c r="DR36" s="20">
        <f t="shared" si="16"/>
        <v>255.70985011879577</v>
      </c>
      <c r="DS36" s="59">
        <f t="shared" si="17"/>
        <v>526.40408895266046</v>
      </c>
      <c r="DT36" s="59">
        <f ca="1">AVERAGE(OFFSET($DS$3,0,0,'Données projet'!$E$14+1,1))-AVERAGE(OFFSET($H$3,0,0,'Données projet'!$E$14+1,1))</f>
        <v>602.02351907077332</v>
      </c>
      <c r="DU36" s="59">
        <f t="shared" si="44"/>
        <v>278.08067690827272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63.825701500144895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63.825701500144895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63.825701500144895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63.825701500144895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2.2000000000000002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8.0666666666666682</v>
      </c>
      <c r="H37" s="67">
        <f t="shared" si="1"/>
        <v>224.4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63.932811775453871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16.701250000000002</v>
      </c>
      <c r="N37" s="13">
        <f>IF('Données projet'!$A$36&gt;35,N36+M37-V36,IF(A37&lt;'Données projet'!$A$36,$K$205^A37,IF(A37='Données projet'!$A$36,'Données projet'!$B$36,N36+M37-V36)))</f>
        <v>183.63125000000005</v>
      </c>
      <c r="O37" s="13">
        <f>N37*VLOOKUP('Données projet'!$B$9,Paramètres!$A$1:$I$89,3,0)*VLOOKUP('Données projet'!$B$9,Paramètres!$A$1:$I$89,5,0)</f>
        <v>109.81148750000004</v>
      </c>
      <c r="P37" s="13">
        <f t="shared" si="33"/>
        <v>29.286565124423376</v>
      </c>
      <c r="Q37" s="20">
        <f t="shared" si="53"/>
        <v>242.26244165420408</v>
      </c>
      <c r="R37" s="59">
        <f t="shared" si="0"/>
        <v>513.34941816420167</v>
      </c>
      <c r="S37" s="59">
        <f ca="1">AVERAGE(OFFSET($R$3,0,0,'Données projet'!$E$9+1,1))-AVERAGE(OFFSET($H$3,0,0,'Données projet'!$E$9+1,1))</f>
        <v>360.09035401555587</v>
      </c>
      <c r="T37" s="59">
        <f t="shared" si="34"/>
        <v>266.54879627869821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7.9438513776076896</v>
      </c>
      <c r="AA37" s="21">
        <f>EXP(-LN(2)/25)*AA36+(1-EXP(-LN(2)/25))/(LN(2)/25)*Calculateur!V37*Calculateur!X37*VLOOKUP('Données projet'!$B$9,Paramètres!$A$1:$I$89,3,0)*0.475*44/12</f>
        <v>28.271231761076098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36.215083138683788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63.932811775453871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3.8113157894736847</v>
      </c>
      <c r="AI37" s="13">
        <f>IF('Données projet'!$A$62&gt;35,AI36+AH37-AQ36,IF(A37&lt;'Données projet'!$A$62,$AF$205^A37,IF(A37='Données projet'!$A$62,'Données projet'!$B$62,AI36+AH37-AQ36)))</f>
        <v>129.5847368421052</v>
      </c>
      <c r="AJ37" s="13">
        <f>AI37*VLOOKUP('Données projet'!$B$10,Paramètres!$A$1:$I$89,3,0)*VLOOKUP('Données projet'!$B$10,Paramètres!$A$1:$I$89,5,0)</f>
        <v>109.16218231578944</v>
      </c>
      <c r="AK37" s="13">
        <f t="shared" si="35"/>
        <v>29.133500440197817</v>
      </c>
      <c r="AL37" s="20">
        <f t="shared" si="4"/>
        <v>240.86498080001115</v>
      </c>
      <c r="AM37" s="59">
        <f t="shared" si="5"/>
        <v>511.95195731000871</v>
      </c>
      <c r="AN37" s="59">
        <f ca="1">AVERAGE(OFFSET($AM$3,0,0,'Données projet'!$E$10+1,1))-AVERAGE(OFFSET($H$3,0,0,'Données projet'!$E$10+1,1))</f>
        <v>377.26246345103175</v>
      </c>
      <c r="AO37" s="59">
        <f t="shared" si="36"/>
        <v>258.25890564000258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63.932811775453871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28.636666666666667</v>
      </c>
      <c r="BD37" s="12">
        <f>IF('Données projet'!$A$88&gt;35,BD36+BC37-BL36,IF(A37&lt;'Données projet'!$A$88,$BA$205^A37,IF(A37='Données projet'!$A$88,'Données projet'!$B$88,BD36+BC37-BL36)))</f>
        <v>444.13666666666666</v>
      </c>
      <c r="BE37" s="13">
        <f>BD37*VLOOKUP('Données projet'!$B$11,Paramètres!$A$1:$I$89,3,0)*VLOOKUP('Données projet'!$B$11,Paramètres!$A$1:$I$89,5,0)</f>
        <v>196.30840666666668</v>
      </c>
      <c r="BF37" s="13">
        <f t="shared" si="37"/>
        <v>48.931989656002457</v>
      </c>
      <c r="BG37" s="20">
        <f t="shared" si="7"/>
        <v>427.12702359531545</v>
      </c>
      <c r="BH37" s="59">
        <f t="shared" si="8"/>
        <v>698.21400010531306</v>
      </c>
      <c r="BI37" s="59">
        <f ca="1">AVERAGE(OFFSET($BH$3,0,0,'Données projet'!$E$11+1,1))-AVERAGE(OFFSET($H$3,0,0,'Données projet'!$E$11+1,1))</f>
        <v>333.23043896066253</v>
      </c>
      <c r="BJ37" s="59">
        <f t="shared" si="38"/>
        <v>440.63438368668983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51.211628541949409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51.211628541949409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63.932811775453871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10.45566</v>
      </c>
      <c r="BY37" s="12">
        <f>IF('Données projet'!$A$114&gt;35,BY36+BX37-CG36,IF(A37&lt;'Données projet'!$A$114,$BV$205^A37,IF(A37='Données projet'!$A$114,'Données projet'!$B$114,BY36+BX37-CG36)))</f>
        <v>139.88952</v>
      </c>
      <c r="BZ37" s="13">
        <f>BY37*VLOOKUP('Données projet'!$B$12,Paramètres!$A$1:$I$89,3,0)*VLOOKUP('Données projet'!$B$12,Paramètres!$A$1:$I$89,5,0)</f>
        <v>56.375476560000003</v>
      </c>
      <c r="CA37" s="13">
        <f t="shared" si="39"/>
        <v>16.248579090082274</v>
      </c>
      <c r="CB37" s="20">
        <f t="shared" si="10"/>
        <v>126.4868969238933</v>
      </c>
      <c r="CC37" s="59">
        <f t="shared" si="11"/>
        <v>397.57387343389087</v>
      </c>
      <c r="CD37" s="59">
        <f ca="1">AVERAGE(OFFSET($CC$3,0,0,'Données projet'!$E$12+1,1))-AVERAGE(OFFSET($H$3,0,0,'Données projet'!$E$12+1,1))</f>
        <v>177.34129362526608</v>
      </c>
      <c r="CE37" s="59">
        <f t="shared" si="40"/>
        <v>156.93407673501022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12.661316275321015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12.661316275321015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63.932811775453871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172.4</v>
      </c>
      <c r="CU37" s="17">
        <f>CT37*VLOOKUP('Données projet'!$B$13,Paramètres!$A$1:$I$89,3,0)*VLOOKUP('Données projet'!$B$13,Paramètres!$A$1:$I$89,5,0)</f>
        <v>112.95648</v>
      </c>
      <c r="CV37" s="13">
        <f t="shared" si="41"/>
        <v>30.026475458997034</v>
      </c>
      <c r="CW37" s="20">
        <f t="shared" si="13"/>
        <v>249.0286474244198</v>
      </c>
      <c r="CX37" s="59">
        <f t="shared" si="14"/>
        <v>520.11562393441739</v>
      </c>
      <c r="CY37" s="59">
        <f ca="1">AVERAGE(OFFSET($CX$3,0,0,'Données projet'!$E$13+1,1))-AVERAGE(OFFSET($H$3,0,0,'Données projet'!$E$13+1,1))</f>
        <v>267.49254683294629</v>
      </c>
      <c r="CZ37" s="59">
        <f t="shared" si="42"/>
        <v>278.02595256967254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63.932811775453871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3.887142857142857</v>
      </c>
      <c r="DO37" s="12">
        <f>IF('Données projet'!$A$166&gt;35,DO36+DN37-DW36,IF(A37&lt;'Données projet'!$A$166,$DL$205^A37,IF(A37='Données projet'!$A$166,'Données projet'!$B$166,DO36+DN37-DW36)))</f>
        <v>132.16285714285721</v>
      </c>
      <c r="DP37" s="17">
        <f>DO37*VLOOKUP('Données projet'!$B$14,Paramètres!$A$1:$I$89,3,0)*VLOOKUP('Données projet'!$B$14,Paramètres!$A$1:$I$89,5,0)</f>
        <v>119.58095314285718</v>
      </c>
      <c r="DQ37" s="13">
        <f t="shared" si="43"/>
        <v>31.577243606763055</v>
      </c>
      <c r="DR37" s="20">
        <f t="shared" si="16"/>
        <v>263.26719267225525</v>
      </c>
      <c r="DS37" s="59">
        <f t="shared" si="17"/>
        <v>534.3541691822528</v>
      </c>
      <c r="DT37" s="59">
        <f ca="1">AVERAGE(OFFSET($DS$3,0,0,'Données projet'!$E$14+1,1))-AVERAGE(OFFSET($H$3,0,0,'Données projet'!$E$14+1,1))</f>
        <v>602.02351907077332</v>
      </c>
      <c r="DU37" s="59">
        <f t="shared" si="44"/>
        <v>278.08067690827272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63.932811775453871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63.932811775453871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63.932811775453871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63.932811775453871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2.2000000000000002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8.0666666666666682</v>
      </c>
      <c r="H38" s="67">
        <f t="shared" si="1"/>
        <v>224.4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64.038063926948951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16.701250000000002</v>
      </c>
      <c r="N38" s="13">
        <f>IF('Données projet'!$A$36&gt;35,N37+M38-V37,IF(A38&lt;'Données projet'!$A$36,$K$205^A38,IF(A38='Données projet'!$A$36,'Données projet'!$B$36,N37+M38-V37)))</f>
        <v>200.33250000000004</v>
      </c>
      <c r="O38" s="13">
        <f>N38*VLOOKUP('Données projet'!$B$9,Paramètres!$A$1:$I$89,3,0)*VLOOKUP('Données projet'!$B$9,Paramètres!$A$1:$I$89,5,0)</f>
        <v>119.79883500000003</v>
      </c>
      <c r="P38" s="13">
        <f t="shared" si="33"/>
        <v>31.628076280921128</v>
      </c>
      <c r="Q38" s="20">
        <f t="shared" si="53"/>
        <v>263.73520381427102</v>
      </c>
      <c r="R38" s="59">
        <f t="shared" si="0"/>
        <v>535.20810487975041</v>
      </c>
      <c r="S38" s="59">
        <f ca="1">AVERAGE(OFFSET($R$3,0,0,'Données projet'!$E$9+1,1))-AVERAGE(OFFSET($H$3,0,0,'Données projet'!$E$9+1,1))</f>
        <v>360.09035401555587</v>
      </c>
      <c r="T38" s="59">
        <f t="shared" si="34"/>
        <v>266.54879627869821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7.7880772973637127</v>
      </c>
      <c r="AA38" s="21">
        <f>EXP(-LN(2)/25)*AA37+(1-EXP(-LN(2)/25))/(LN(2)/25)*Calculateur!V38*Calculateur!X38*VLOOKUP('Données projet'!$B$9,Paramètres!$A$1:$I$89,3,0)*0.475*44/12</f>
        <v>27.498153441850008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35.286230739213721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64.038063926948951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3.8113157894736847</v>
      </c>
      <c r="AI38" s="13">
        <f>IF('Données projet'!$A$62&gt;35,AI37+AH38-AQ37,IF(A38&lt;'Données projet'!$A$62,$AF$205^A38,IF(A38='Données projet'!$A$62,'Données projet'!$B$62,AI37+AH38-AQ37)))</f>
        <v>133.3960526315789</v>
      </c>
      <c r="AJ38" s="13">
        <f>AI38*VLOOKUP('Données projet'!$B$10,Paramètres!$A$1:$I$89,3,0)*VLOOKUP('Données projet'!$B$10,Paramètres!$A$1:$I$89,5,0)</f>
        <v>112.37283473684207</v>
      </c>
      <c r="AK38" s="13">
        <f t="shared" si="35"/>
        <v>29.889346647484818</v>
      </c>
      <c r="AL38" s="20">
        <f t="shared" si="4"/>
        <v>247.77329924436927</v>
      </c>
      <c r="AM38" s="59">
        <f t="shared" si="5"/>
        <v>519.24620030984875</v>
      </c>
      <c r="AN38" s="59">
        <f ca="1">AVERAGE(OFFSET($AM$3,0,0,'Données projet'!$E$10+1,1))-AVERAGE(OFFSET($H$3,0,0,'Données projet'!$E$10+1,1))</f>
        <v>377.26246345103175</v>
      </c>
      <c r="AO38" s="59">
        <f t="shared" si="36"/>
        <v>258.25890564000258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64.038063926948951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28.636666666666667</v>
      </c>
      <c r="BD38" s="12">
        <f>IF('Données projet'!$A$88&gt;35,BD37+BC38-BL37,IF(A38&lt;'Données projet'!$A$88,$BA$205^A38,IF(A38='Données projet'!$A$88,'Données projet'!$B$88,BD37+BC38-BL37)))</f>
        <v>472.77333333333331</v>
      </c>
      <c r="BE38" s="13">
        <f>BD38*VLOOKUP('Données projet'!$B$11,Paramètres!$A$1:$I$89,3,0)*VLOOKUP('Données projet'!$B$11,Paramètres!$A$1:$I$89,5,0)</f>
        <v>208.96581333333333</v>
      </c>
      <c r="BF38" s="13">
        <f t="shared" si="37"/>
        <v>51.709524998517026</v>
      </c>
      <c r="BG38" s="20">
        <f t="shared" si="7"/>
        <v>454.00954759463934</v>
      </c>
      <c r="BH38" s="59">
        <f t="shared" si="8"/>
        <v>725.48244866011873</v>
      </c>
      <c r="BI38" s="59">
        <f ca="1">AVERAGE(OFFSET($BH$3,0,0,'Données projet'!$E$11+1,1))-AVERAGE(OFFSET($H$3,0,0,'Données projet'!$E$11+1,1))</f>
        <v>333.23043896066253</v>
      </c>
      <c r="BJ38" s="59">
        <f t="shared" si="38"/>
        <v>440.63438368668983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49.811243866367306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49.811243866367306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64.038063926948951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150.34518</v>
      </c>
      <c r="BW38" s="12">
        <f>VLOOKUP(A38,'Données projet'!$A$113:$I$133,9,0)</f>
        <v>10.45566</v>
      </c>
      <c r="BX38" s="12">
        <f t="array" ref="BX38">INDEX(BW:BW,MIN(IF(ISNUMBER(BW38:BW234),ROW(BW38:BW234),"")))</f>
        <v>10.45566</v>
      </c>
      <c r="BY38" s="12">
        <f>IF('Données projet'!$A$114&gt;35,BY37+BX38-CG37,IF(A38&lt;'Données projet'!$A$114,$BV$205^A38,IF(A38='Données projet'!$A$114,'Données projet'!$B$114,BY37+BX38-CG37)))</f>
        <v>150.34518</v>
      </c>
      <c r="BZ38" s="13">
        <f>BY38*VLOOKUP('Données projet'!$B$12,Paramètres!$A$1:$I$89,3,0)*VLOOKUP('Données projet'!$B$12,Paramètres!$A$1:$I$89,5,0)</f>
        <v>60.589107539999993</v>
      </c>
      <c r="CA38" s="13">
        <f t="shared" si="39"/>
        <v>17.317129079018912</v>
      </c>
      <c r="CB38" s="20">
        <f t="shared" si="10"/>
        <v>135.68669544479124</v>
      </c>
      <c r="CC38" s="59">
        <f t="shared" si="11"/>
        <v>407.15959651027072</v>
      </c>
      <c r="CD38" s="59">
        <f ca="1">AVERAGE(OFFSET($CC$3,0,0,'Données projet'!$E$12+1,1))-AVERAGE(OFFSET($H$3,0,0,'Données projet'!$E$12+1,1))</f>
        <v>177.34129362526608</v>
      </c>
      <c r="CE38" s="59">
        <f t="shared" si="40"/>
        <v>156.93407673501022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25.237800000000004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0.55000000000000004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19.706619948931102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19.706619948931102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64.038063926948951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181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181</v>
      </c>
      <c r="CU38" s="17">
        <f>CT38*VLOOKUP('Données projet'!$B$13,Paramètres!$A$1:$I$89,3,0)*VLOOKUP('Données projet'!$B$13,Paramètres!$A$1:$I$89,5,0)</f>
        <v>118.5912</v>
      </c>
      <c r="CV38" s="13">
        <f t="shared" si="41"/>
        <v>31.346194334434067</v>
      </c>
      <c r="CW38" s="20">
        <f t="shared" si="13"/>
        <v>261.14096179913935</v>
      </c>
      <c r="CX38" s="59">
        <f t="shared" si="14"/>
        <v>532.6138628646188</v>
      </c>
      <c r="CY38" s="59">
        <f ca="1">AVERAGE(OFFSET($CX$3,0,0,'Données projet'!$E$13+1,1))-AVERAGE(OFFSET($H$3,0,0,'Données projet'!$E$13+1,1))</f>
        <v>267.49254683294629</v>
      </c>
      <c r="CZ38" s="59">
        <f t="shared" si="42"/>
        <v>278.02595256967254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25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64.038063926948951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3.887142857142857</v>
      </c>
      <c r="DO38" s="12">
        <f>IF('Données projet'!$A$166&gt;35,DO37+DN38-DW37,IF(A38&lt;'Données projet'!$A$166,$DL$205^A38,IF(A38='Données projet'!$A$166,'Données projet'!$B$166,DO37+DN38-DW37)))</f>
        <v>136.05000000000007</v>
      </c>
      <c r="DP38" s="17">
        <f>DO38*VLOOKUP('Données projet'!$B$14,Paramètres!$A$1:$I$89,3,0)*VLOOKUP('Données projet'!$B$14,Paramètres!$A$1:$I$89,5,0)</f>
        <v>123.09804000000005</v>
      </c>
      <c r="DQ38" s="13">
        <f t="shared" si="43"/>
        <v>32.396490846405321</v>
      </c>
      <c r="DR38" s="20">
        <f t="shared" si="16"/>
        <v>270.81964122415599</v>
      </c>
      <c r="DS38" s="59">
        <f t="shared" si="17"/>
        <v>542.29254228963543</v>
      </c>
      <c r="DT38" s="59">
        <f ca="1">AVERAGE(OFFSET($DS$3,0,0,'Données projet'!$E$14+1,1))-AVERAGE(OFFSET($H$3,0,0,'Données projet'!$E$14+1,1))</f>
        <v>602.02351907077332</v>
      </c>
      <c r="DU38" s="59">
        <f t="shared" si="44"/>
        <v>278.08067690827272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64.038063926948951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64.038063926948951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64.038063926948951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64.038063926948951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2.2000000000000002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8.0666666666666682</v>
      </c>
      <c r="H39" s="67">
        <f t="shared" si="1"/>
        <v>224.4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64.141490188924138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16.701250000000002</v>
      </c>
      <c r="N39" s="13">
        <f>IF('Données projet'!$A$36&gt;35,N38+M39-V38,IF(A39&lt;'Données projet'!$A$36,$K$205^A39,IF(A39='Données projet'!$A$36,'Données projet'!$B$36,N38+M39-V38)))</f>
        <v>217.03375000000005</v>
      </c>
      <c r="O39" s="13">
        <f>N39*VLOOKUP('Données projet'!$B$9,Paramètres!$A$1:$I$89,3,0)*VLOOKUP('Données projet'!$B$9,Paramètres!$A$1:$I$89,5,0)</f>
        <v>129.78618250000005</v>
      </c>
      <c r="P39" s="13">
        <f t="shared" si="33"/>
        <v>33.946947653586037</v>
      </c>
      <c r="Q39" s="20">
        <f t="shared" si="53"/>
        <v>285.1685350174958</v>
      </c>
      <c r="R39" s="59">
        <f t="shared" si="0"/>
        <v>557.0206657102176</v>
      </c>
      <c r="S39" s="59">
        <f ca="1">AVERAGE(OFFSET($R$3,0,0,'Données projet'!$E$9+1,1))-AVERAGE(OFFSET($H$3,0,0,'Données projet'!$E$9+1,1))</f>
        <v>360.09035401555587</v>
      </c>
      <c r="T39" s="59">
        <f t="shared" si="34"/>
        <v>266.54879627869821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7.6353578518205127</v>
      </c>
      <c r="AA39" s="21">
        <f>EXP(-LN(2)/25)*AA38+(1-EXP(-LN(2)/25))/(LN(2)/25)*Calculateur!V39*Calculateur!X39*VLOOKUP('Données projet'!$B$9,Paramètres!$A$1:$I$89,3,0)*0.475*44/12</f>
        <v>26.746214989917579</v>
      </c>
      <c r="AB39" s="21">
        <f>EXP(-LN(2)/2)*AB38+(1-EXP(-LN(2)/2))/(LN(2)/2)*V39*Y39*VLOOKUP('Données projet'!$B$9,Paramètres!$A$1:$I$89,3,0)*0.475*44/12</f>
        <v>0</v>
      </c>
      <c r="AC39" s="22">
        <f t="shared" si="3"/>
        <v>34.381572841738091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64.141490188924138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3.8113157894736847</v>
      </c>
      <c r="AI39" s="13">
        <f>IF('Données projet'!$A$62&gt;35,AI38+AH39-AQ38,IF(A39&lt;'Données projet'!$A$62,$AF$205^A39,IF(A39='Données projet'!$A$62,'Données projet'!$B$62,AI38+AH39-AQ38)))</f>
        <v>137.20736842105259</v>
      </c>
      <c r="AJ39" s="13">
        <f>AI39*VLOOKUP('Données projet'!$B$10,Paramètres!$A$1:$I$89,3,0)*VLOOKUP('Données projet'!$B$10,Paramètres!$A$1:$I$89,5,0)</f>
        <v>115.58348715789471</v>
      </c>
      <c r="AK39" s="13">
        <f t="shared" si="35"/>
        <v>30.642682940753755</v>
      </c>
      <c r="AL39" s="20">
        <f t="shared" si="4"/>
        <v>254.677246255146</v>
      </c>
      <c r="AM39" s="59">
        <f t="shared" si="5"/>
        <v>526.52937694786783</v>
      </c>
      <c r="AN39" s="59">
        <f ca="1">AVERAGE(OFFSET($AM$3,0,0,'Données projet'!$E$10+1,1))-AVERAGE(OFFSET($H$3,0,0,'Données projet'!$E$10+1,1))</f>
        <v>377.26246345103175</v>
      </c>
      <c r="AO39" s="59">
        <f t="shared" si="36"/>
        <v>258.25890564000258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64.141490188924138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501.41</v>
      </c>
      <c r="BB39" s="12">
        <f>VLOOKUP(A39,'Données projet'!$A$87:$I$107,9,0)</f>
        <v>28.636666666666667</v>
      </c>
      <c r="BC39" s="12">
        <f t="array" ref="BC39">INDEX(BB:BB,MIN(IF(ISNUMBER(BB39:BB235),ROW(BB39:BB235),"")))</f>
        <v>28.636666666666667</v>
      </c>
      <c r="BD39" s="12">
        <f>IF('Données projet'!$A$88&gt;35,BD38+BC39-BL38,IF(A39&lt;'Données projet'!$A$88,$BA$205^A39,IF(A39='Données projet'!$A$88,'Données projet'!$B$88,BD38+BC39-BL38)))</f>
        <v>501.40999999999997</v>
      </c>
      <c r="BE39" s="13">
        <f>BD39*VLOOKUP('Données projet'!$B$11,Paramètres!$A$1:$I$89,3,0)*VLOOKUP('Données projet'!$B$11,Paramètres!$A$1:$I$89,5,0)</f>
        <v>221.62322</v>
      </c>
      <c r="BF39" s="13">
        <f t="shared" si="37"/>
        <v>54.467533484647333</v>
      </c>
      <c r="BG39" s="20">
        <f t="shared" si="7"/>
        <v>480.85806231909402</v>
      </c>
      <c r="BH39" s="59">
        <f t="shared" si="8"/>
        <v>752.71019301181582</v>
      </c>
      <c r="BI39" s="59">
        <f ca="1">AVERAGE(OFFSET($BH$3,0,0,'Données projet'!$E$11+1,1))-AVERAGE(OFFSET($H$3,0,0,'Données projet'!$E$11+1,1))</f>
        <v>333.23043896066253</v>
      </c>
      <c r="BJ39" s="59">
        <f t="shared" si="38"/>
        <v>440.63438368668983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85.88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0.55000000000000004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76.035359921834043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76.035359921834043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64.141490188924138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10.239336000000005</v>
      </c>
      <c r="BY39" s="12">
        <f>IF('Données projet'!$A$114&gt;35,BY38+BX39-CG38,IF(A39&lt;'Données projet'!$A$114,$BV$205^A39,IF(A39='Données projet'!$A$114,'Données projet'!$B$114,BY38+BX39-CG38)))</f>
        <v>135.34671600000001</v>
      </c>
      <c r="BZ39" s="13">
        <f>BY39*VLOOKUP('Données projet'!$B$12,Paramètres!$A$1:$I$89,3,0)*VLOOKUP('Données projet'!$B$12,Paramètres!$A$1:$I$89,5,0)</f>
        <v>54.544726548000007</v>
      </c>
      <c r="CA39" s="13">
        <f t="shared" si="39"/>
        <v>15.78144664627748</v>
      </c>
      <c r="CB39" s="20">
        <f t="shared" si="10"/>
        <v>122.48475164669996</v>
      </c>
      <c r="CC39" s="59">
        <f t="shared" si="11"/>
        <v>394.33688233942183</v>
      </c>
      <c r="CD39" s="59">
        <f ca="1">AVERAGE(OFFSET($CC$3,0,0,'Données projet'!$E$12+1,1))-AVERAGE(OFFSET($H$3,0,0,'Données projet'!$E$12+1,1))</f>
        <v>177.34129362526608</v>
      </c>
      <c r="CE39" s="59">
        <f t="shared" si="40"/>
        <v>156.93407673501022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19.167741390101479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19.167741390101479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64.141490188924138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7.8</v>
      </c>
      <c r="CT39" s="12">
        <f>IF('Données projet'!$A$140&gt;35,CT38+CS39-DB38,IF(A39&lt;'Données projet'!$A$140,$CQ$205^A39,IF(A39='Données projet'!$A$140,'Données projet'!$B$140,CT38+CS39-DB38)))</f>
        <v>163.80000000000001</v>
      </c>
      <c r="CU39" s="17">
        <f>CT39*VLOOKUP('Données projet'!$B$13,Paramètres!$A$1:$I$89,3,0)*VLOOKUP('Données projet'!$B$13,Paramètres!$A$1:$I$89,5,0)</f>
        <v>107.32176000000001</v>
      </c>
      <c r="CV39" s="13">
        <f t="shared" si="41"/>
        <v>28.699067963776873</v>
      </c>
      <c r="CW39" s="20">
        <f t="shared" si="13"/>
        <v>236.90294203691141</v>
      </c>
      <c r="CX39" s="59">
        <f t="shared" si="14"/>
        <v>508.7550727296333</v>
      </c>
      <c r="CY39" s="59">
        <f ca="1">AVERAGE(OFFSET($CX$3,0,0,'Données projet'!$E$13+1,1))-AVERAGE(OFFSET($H$3,0,0,'Données projet'!$E$13+1,1))</f>
        <v>267.49254683294629</v>
      </c>
      <c r="CZ39" s="59">
        <f t="shared" si="42"/>
        <v>278.02595256967254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64.141490188924138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3.887142857142857</v>
      </c>
      <c r="DO39" s="12">
        <f>IF('Données projet'!$A$166&gt;35,DO38+DN39-DW38,IF(A39&lt;'Données projet'!$A$166,$DL$205^A39,IF(A39='Données projet'!$A$166,'Données projet'!$B$166,DO38+DN39-DW38)))</f>
        <v>139.93714285714293</v>
      </c>
      <c r="DP39" s="17">
        <f>DO39*VLOOKUP('Données projet'!$B$14,Paramètres!$A$1:$I$89,3,0)*VLOOKUP('Données projet'!$B$14,Paramètres!$A$1:$I$89,5,0)</f>
        <v>126.61512685714293</v>
      </c>
      <c r="DQ39" s="13">
        <f t="shared" si="43"/>
        <v>33.213017638275041</v>
      </c>
      <c r="DR39" s="20">
        <f t="shared" si="16"/>
        <v>278.36735166285297</v>
      </c>
      <c r="DS39" s="59">
        <f t="shared" si="17"/>
        <v>550.21948235557488</v>
      </c>
      <c r="DT39" s="59">
        <f ca="1">AVERAGE(OFFSET($DS$3,0,0,'Données projet'!$E$14+1,1))-AVERAGE(OFFSET($H$3,0,0,'Données projet'!$E$14+1,1))</f>
        <v>602.02351907077332</v>
      </c>
      <c r="DU39" s="59">
        <f t="shared" si="44"/>
        <v>278.08067690827272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64.141490188924138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64.141490188924138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64.141490188924138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64.141490188924138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2.2000000000000002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8.0666666666666682</v>
      </c>
      <c r="H40" s="67">
        <f t="shared" si="1"/>
        <v>224.4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64.243122236480531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16.701250000000002</v>
      </c>
      <c r="N40" s="13">
        <f>IF('Données projet'!$A$36&gt;35,N39+M40-V39,IF(A40&lt;'Données projet'!$A$36,$K$205^A40,IF(A40='Données projet'!$A$36,'Données projet'!$B$36,N39+M40-V39)))</f>
        <v>233.73500000000007</v>
      </c>
      <c r="O40" s="13">
        <f>N40*VLOOKUP('Données projet'!$B$9,Paramètres!$A$1:$I$89,3,0)*VLOOKUP('Données projet'!$B$9,Paramètres!$A$1:$I$89,5,0)</f>
        <v>139.77353000000005</v>
      </c>
      <c r="P40" s="13">
        <f t="shared" si="33"/>
        <v>36.245119510821418</v>
      </c>
      <c r="Q40" s="20">
        <f t="shared" si="53"/>
        <v>306.56581456468069</v>
      </c>
      <c r="R40" s="59">
        <f t="shared" si="0"/>
        <v>578.79059609844262</v>
      </c>
      <c r="S40" s="59">
        <f ca="1">AVERAGE(OFFSET($R$3,0,0,'Données projet'!$E$9+1,1))-AVERAGE(OFFSET($H$3,0,0,'Données projet'!$E$9+1,1))</f>
        <v>360.09035401555587</v>
      </c>
      <c r="T40" s="59">
        <f t="shared" si="34"/>
        <v>266.54879627869821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7.485633141454751</v>
      </c>
      <c r="AA40" s="21">
        <f>EXP(-LN(2)/25)*AA39+(1-EXP(-LN(2)/25))/(LN(2)/25)*Calculateur!V40*Calculateur!X40*VLOOKUP('Données projet'!$B$9,Paramètres!$A$1:$I$89,3,0)*0.475*44/12</f>
        <v>26.014838334495966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33.500471475950718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64.243122236480531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3.8113157894736847</v>
      </c>
      <c r="AI40" s="13">
        <f>IF('Données projet'!$A$62&gt;35,AI39+AH40-AQ39,IF(A40&lt;'Données projet'!$A$62,$AF$205^A40,IF(A40='Données projet'!$A$62,'Données projet'!$B$62,AI39+AH40-AQ39)))</f>
        <v>141.01868421052629</v>
      </c>
      <c r="AJ40" s="13">
        <f>AI40*VLOOKUP('Données projet'!$B$10,Paramètres!$A$1:$I$89,3,0)*VLOOKUP('Données projet'!$B$10,Paramètres!$A$1:$I$89,5,0)</f>
        <v>118.79413957894737</v>
      </c>
      <c r="AK40" s="13">
        <f t="shared" si="35"/>
        <v>31.393587049778187</v>
      </c>
      <c r="AL40" s="20">
        <f t="shared" si="4"/>
        <v>261.57695721169699</v>
      </c>
      <c r="AM40" s="59">
        <f t="shared" si="5"/>
        <v>533.80173874545892</v>
      </c>
      <c r="AN40" s="59">
        <f ca="1">AVERAGE(OFFSET($AM$3,0,0,'Données projet'!$E$10+1,1))-AVERAGE(OFFSET($H$3,0,0,'Données projet'!$E$10+1,1))</f>
        <v>377.26246345103175</v>
      </c>
      <c r="AO40" s="59">
        <f t="shared" si="36"/>
        <v>258.25890564000258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64.243122236480531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28.059999999999992</v>
      </c>
      <c r="BD40" s="12">
        <f>IF('Données projet'!$A$88&gt;35,BD39+BC40-BL39,IF(A40&lt;'Données projet'!$A$88,$BA$205^A40,IF(A40='Données projet'!$A$88,'Données projet'!$B$88,BD39+BC40-BL39)))</f>
        <v>443.58999999999992</v>
      </c>
      <c r="BE40" s="13">
        <f>BD40*VLOOKUP('Données projet'!$B$11,Paramètres!$A$1:$I$89,3,0)*VLOOKUP('Données projet'!$B$11,Paramètres!$A$1:$I$89,5,0)</f>
        <v>196.06677999999999</v>
      </c>
      <c r="BF40" s="13">
        <f t="shared" si="37"/>
        <v>48.878768332407262</v>
      </c>
      <c r="BG40" s="20">
        <f t="shared" si="7"/>
        <v>426.61349667894268</v>
      </c>
      <c r="BH40" s="59">
        <f t="shared" si="8"/>
        <v>698.83827821270461</v>
      </c>
      <c r="BI40" s="59">
        <f ca="1">AVERAGE(OFFSET($BH$3,0,0,'Données projet'!$E$11+1,1))-AVERAGE(OFFSET($H$3,0,0,'Données projet'!$E$11+1,1))</f>
        <v>333.23043896066253</v>
      </c>
      <c r="BJ40" s="59">
        <f t="shared" si="38"/>
        <v>440.63438368668983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73.956169006245688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73.956169006245688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64.243122236480531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10.239336000000005</v>
      </c>
      <c r="BY40" s="12">
        <f>IF('Données projet'!$A$114&gt;35,BY39+BX40-CG39,IF(A40&lt;'Données projet'!$A$114,$BV$205^A40,IF(A40='Données projet'!$A$114,'Données projet'!$B$114,BY39+BX40-CG39)))</f>
        <v>145.58605200000002</v>
      </c>
      <c r="BZ40" s="13">
        <f>BY40*VLOOKUP('Données projet'!$B$12,Paramètres!$A$1:$I$89,3,0)*VLOOKUP('Données projet'!$B$12,Paramètres!$A$1:$I$89,5,0)</f>
        <v>58.671178956000013</v>
      </c>
      <c r="CA40" s="13">
        <f t="shared" si="39"/>
        <v>16.831864701734755</v>
      </c>
      <c r="CB40" s="20">
        <f t="shared" si="10"/>
        <v>131.50113437055469</v>
      </c>
      <c r="CC40" s="59">
        <f t="shared" si="11"/>
        <v>403.72591590431659</v>
      </c>
      <c r="CD40" s="59">
        <f ca="1">AVERAGE(OFFSET($CC$3,0,0,'Données projet'!$E$12+1,1))-AVERAGE(OFFSET($H$3,0,0,'Données projet'!$E$12+1,1))</f>
        <v>177.34129362526608</v>
      </c>
      <c r="CE40" s="59">
        <f t="shared" si="40"/>
        <v>156.93407673501022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18.643598493801445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18.643598493801445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64.243122236480531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7.8</v>
      </c>
      <c r="CT40" s="12">
        <f>IF('Données projet'!$A$140&gt;35,CT39+CS40-DB39,IF(A40&lt;'Données projet'!$A$140,$CQ$205^A40,IF(A40='Données projet'!$A$140,'Données projet'!$B$140,CT39+CS40-DB39)))</f>
        <v>171.60000000000002</v>
      </c>
      <c r="CU40" s="17">
        <f>CT40*VLOOKUP('Données projet'!$B$13,Paramètres!$A$1:$I$89,3,0)*VLOOKUP('Données projet'!$B$13,Paramètres!$A$1:$I$89,5,0)</f>
        <v>112.43232</v>
      </c>
      <c r="CV40" s="13">
        <f t="shared" si="41"/>
        <v>29.903326635598326</v>
      </c>
      <c r="CW40" s="20">
        <f t="shared" si="13"/>
        <v>247.90125122366706</v>
      </c>
      <c r="CX40" s="59">
        <f t="shared" si="14"/>
        <v>520.12603275742902</v>
      </c>
      <c r="CY40" s="59">
        <f ca="1">AVERAGE(OFFSET($CX$3,0,0,'Données projet'!$E$13+1,1))-AVERAGE(OFFSET($H$3,0,0,'Données projet'!$E$13+1,1))</f>
        <v>267.49254683294629</v>
      </c>
      <c r="CZ40" s="59">
        <f t="shared" si="42"/>
        <v>278.02595256967254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64.243122236480531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3.887142857142857</v>
      </c>
      <c r="DO40" s="12">
        <f>IF('Données projet'!$A$166&gt;35,DO39+DN40-DW39,IF(A40&lt;'Données projet'!$A$166,$DL$205^A40,IF(A40='Données projet'!$A$166,'Données projet'!$B$166,DO39+DN40-DW39)))</f>
        <v>143.82428571428579</v>
      </c>
      <c r="DP40" s="17">
        <f>DO40*VLOOKUP('Données projet'!$B$14,Paramètres!$A$1:$I$89,3,0)*VLOOKUP('Données projet'!$B$14,Paramètres!$A$1:$I$89,5,0)</f>
        <v>130.13221371428577</v>
      </c>
      <c r="DQ40" s="13">
        <f t="shared" si="43"/>
        <v>34.026908232186209</v>
      </c>
      <c r="DR40" s="20">
        <f t="shared" si="16"/>
        <v>285.91047072343866</v>
      </c>
      <c r="DS40" s="59">
        <f t="shared" si="17"/>
        <v>558.13525225720059</v>
      </c>
      <c r="DT40" s="59">
        <f ca="1">AVERAGE(OFFSET($DS$3,0,0,'Données projet'!$E$14+1,1))-AVERAGE(OFFSET($H$3,0,0,'Données projet'!$E$14+1,1))</f>
        <v>602.02351907077332</v>
      </c>
      <c r="DU40" s="59">
        <f t="shared" si="44"/>
        <v>278.08067690827272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64.243122236480531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64.243122236480531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64.243122236480531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64.243122236480531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2.2000000000000002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8.0666666666666682</v>
      </c>
      <c r="H41" s="67">
        <f t="shared" si="1"/>
        <v>224.4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64.342991195227057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16.701250000000002</v>
      </c>
      <c r="N41" s="13">
        <f>IF('Données projet'!$A$36&gt;35,N40+M41-V40,IF(A41&lt;'Données projet'!$A$36,$K$205^A41,IF(A41='Données projet'!$A$36,'Données projet'!$B$36,N40+M41-V40)))</f>
        <v>250.43625000000009</v>
      </c>
      <c r="O41" s="13">
        <f>N41*VLOOKUP('Données projet'!$B$9,Paramètres!$A$1:$I$89,3,0)*VLOOKUP('Données projet'!$B$9,Paramètres!$A$1:$I$89,5,0)</f>
        <v>149.76087750000008</v>
      </c>
      <c r="P41" s="13">
        <f t="shared" si="33"/>
        <v>38.524239129902824</v>
      </c>
      <c r="Q41" s="20">
        <f t="shared" si="53"/>
        <v>327.9299114637476</v>
      </c>
      <c r="R41" s="59">
        <f t="shared" si="0"/>
        <v>600.52087917958011</v>
      </c>
      <c r="S41" s="59">
        <f ca="1">AVERAGE(OFFSET($R$3,0,0,'Données projet'!$E$9+1,1))-AVERAGE(OFFSET($H$3,0,0,'Données projet'!$E$9+1,1))</f>
        <v>360.09035401555587</v>
      </c>
      <c r="T41" s="59">
        <f t="shared" si="34"/>
        <v>266.54879627869821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7.3388444413362057</v>
      </c>
      <c r="AA41" s="21">
        <f>EXP(-LN(2)/25)*AA40+(1-EXP(-LN(2)/25))/(LN(2)/25)*Calculateur!V41*Calculateur!X41*VLOOKUP('Données projet'!$B$9,Paramètres!$A$1:$I$89,3,0)*0.475*44/12</f>
        <v>25.303461212178284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32.642305653514491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64.342991195227057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>
        <f>VLOOKUP(A41,'Données projet'!$A$61:$I$81,2,0)</f>
        <v>144.83000000000001</v>
      </c>
      <c r="AG41" s="12">
        <f>VLOOKUP(A41,'Données projet'!$A$61:$I$81,9,0)</f>
        <v>3.8113157894736847</v>
      </c>
      <c r="AH41" s="12">
        <f t="array" ref="AH41">INDEX(AG:AG,MIN(IF(ISNUMBER(AG41:AG237),ROW(AG41:AG237),"")))</f>
        <v>3.8113157894736847</v>
      </c>
      <c r="AI41" s="13">
        <f>IF('Données projet'!$A$62&gt;35,AI40+AH41-AQ40,IF(A41&lt;'Données projet'!$A$62,$AF$205^A41,IF(A41='Données projet'!$A$62,'Données projet'!$B$62,AI40+AH41-AQ40)))</f>
        <v>144.82999999999998</v>
      </c>
      <c r="AJ41" s="13">
        <f>AI41*VLOOKUP('Données projet'!$B$10,Paramètres!$A$1:$I$89,3,0)*VLOOKUP('Données projet'!$B$10,Paramètres!$A$1:$I$89,5,0)</f>
        <v>122.00479199999999</v>
      </c>
      <c r="AK41" s="13">
        <f t="shared" si="35"/>
        <v>32.142132263541754</v>
      </c>
      <c r="AL41" s="20">
        <f t="shared" si="4"/>
        <v>268.47255975900185</v>
      </c>
      <c r="AM41" s="59">
        <f t="shared" si="5"/>
        <v>541.06352747483436</v>
      </c>
      <c r="AN41" s="59">
        <f ca="1">AVERAGE(OFFSET($AM$3,0,0,'Données projet'!$E$10+1,1))-AVERAGE(OFFSET($H$3,0,0,'Données projet'!$E$10+1,1))</f>
        <v>377.26246345103175</v>
      </c>
      <c r="AO41" s="59">
        <f t="shared" si="36"/>
        <v>258.25890564000258</v>
      </c>
      <c r="AP41" s="15">
        <f>IF(ISNA(VLOOKUP(A41,'Données projet'!$A$61:$I$81,3,0)),0,VLOOKUP(A41,'Données projet'!$A$61:$I$81,3,0))</f>
        <v>1</v>
      </c>
      <c r="AQ41" s="15">
        <f>IF(ISNA(VLOOKUP(A41,'Données projet'!$A$61:$I$81,4,0)),0,VLOOKUP(A41,'Données projet'!$A$61:$I$81,4,0))</f>
        <v>69.08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64.342991195227057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28.059999999999992</v>
      </c>
      <c r="BD41" s="12">
        <f>IF('Données projet'!$A$88&gt;35,BD40+BC41-BL40,IF(A41&lt;'Données projet'!$A$88,$BA$205^A41,IF(A41='Données projet'!$A$88,'Données projet'!$B$88,BD40+BC41-BL40)))</f>
        <v>471.64999999999992</v>
      </c>
      <c r="BE41" s="13">
        <f>BD41*VLOOKUP('Données projet'!$B$11,Paramètres!$A$1:$I$89,3,0)*VLOOKUP('Données projet'!$B$11,Paramètres!$A$1:$I$89,5,0)</f>
        <v>208.4693</v>
      </c>
      <c r="BF41" s="13">
        <f t="shared" si="37"/>
        <v>51.60094694910368</v>
      </c>
      <c r="BG41" s="20">
        <f t="shared" si="7"/>
        <v>452.9556801030223</v>
      </c>
      <c r="BH41" s="59">
        <f t="shared" si="8"/>
        <v>725.54664781885481</v>
      </c>
      <c r="BI41" s="59">
        <f ca="1">AVERAGE(OFFSET($BH$3,0,0,'Données projet'!$E$11+1,1))-AVERAGE(OFFSET($H$3,0,0,'Données projet'!$E$11+1,1))</f>
        <v>333.23043896066253</v>
      </c>
      <c r="BJ41" s="59">
        <f t="shared" si="38"/>
        <v>440.63438368668983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71.933833675583998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71.933833675583998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64.342991195227057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10.239336000000005</v>
      </c>
      <c r="BY41" s="12">
        <f>IF('Données projet'!$A$114&gt;35,BY40+BX41-CG40,IF(A41&lt;'Données projet'!$A$114,$BV$205^A41,IF(A41='Données projet'!$A$114,'Données projet'!$B$114,BY40+BX41-CG40)))</f>
        <v>155.82538800000003</v>
      </c>
      <c r="BZ41" s="13">
        <f>BY41*VLOOKUP('Données projet'!$B$12,Paramètres!$A$1:$I$89,3,0)*VLOOKUP('Données projet'!$B$12,Paramètres!$A$1:$I$89,5,0)</f>
        <v>62.797631364000011</v>
      </c>
      <c r="CA41" s="13">
        <f t="shared" si="39"/>
        <v>17.873711023988093</v>
      </c>
      <c r="CB41" s="20">
        <f t="shared" si="10"/>
        <v>140.50258799241263</v>
      </c>
      <c r="CC41" s="59">
        <f t="shared" si="11"/>
        <v>413.09355570824516</v>
      </c>
      <c r="CD41" s="59">
        <f ca="1">AVERAGE(OFFSET($CC$3,0,0,'Données projet'!$E$12+1,1))-AVERAGE(OFFSET($H$3,0,0,'Données projet'!$E$12+1,1))</f>
        <v>177.34129362526608</v>
      </c>
      <c r="CE41" s="59">
        <f t="shared" si="40"/>
        <v>156.93407673501022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18.13378831256421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18.13378831256421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64.342991195227057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7.8</v>
      </c>
      <c r="CT41" s="12">
        <f>IF('Données projet'!$A$140&gt;35,CT40+CS41-DB40,IF(A41&lt;'Données projet'!$A$140,$CQ$205^A41,IF(A41='Données projet'!$A$140,'Données projet'!$B$140,CT40+CS41-DB40)))</f>
        <v>179.40000000000003</v>
      </c>
      <c r="CU41" s="17">
        <f>CT41*VLOOKUP('Données projet'!$B$13,Paramètres!$A$1:$I$89,3,0)*VLOOKUP('Données projet'!$B$13,Paramètres!$A$1:$I$89,5,0)</f>
        <v>117.54288000000003</v>
      </c>
      <c r="CV41" s="13">
        <f t="shared" si="41"/>
        <v>31.101228198889224</v>
      </c>
      <c r="CW41" s="20">
        <f t="shared" si="13"/>
        <v>258.88848844639881</v>
      </c>
      <c r="CX41" s="59">
        <f t="shared" si="14"/>
        <v>531.47945616223137</v>
      </c>
      <c r="CY41" s="59">
        <f ca="1">AVERAGE(OFFSET($CX$3,0,0,'Données projet'!$E$13+1,1))-AVERAGE(OFFSET($H$3,0,0,'Données projet'!$E$13+1,1))</f>
        <v>267.49254683294629</v>
      </c>
      <c r="CZ41" s="59">
        <f t="shared" si="42"/>
        <v>278.02595256967254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64.342991195227057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3.887142857142857</v>
      </c>
      <c r="DO41" s="12">
        <f>IF('Données projet'!$A$166&gt;35,DO40+DN41-DW40,IF(A41&lt;'Données projet'!$A$166,$DL$205^A41,IF(A41='Données projet'!$A$166,'Données projet'!$B$166,DO40+DN41-DW40)))</f>
        <v>147.71142857142866</v>
      </c>
      <c r="DP41" s="17">
        <f>DO41*VLOOKUP('Données projet'!$B$14,Paramètres!$A$1:$I$89,3,0)*VLOOKUP('Données projet'!$B$14,Paramètres!$A$1:$I$89,5,0)</f>
        <v>133.64930057142865</v>
      </c>
      <c r="DQ41" s="13">
        <f t="shared" si="43"/>
        <v>34.8382420646657</v>
      </c>
      <c r="DR41" s="20">
        <f t="shared" si="16"/>
        <v>293.44913675786432</v>
      </c>
      <c r="DS41" s="59">
        <f t="shared" si="17"/>
        <v>566.04010447369683</v>
      </c>
      <c r="DT41" s="59">
        <f ca="1">AVERAGE(OFFSET($DS$3,0,0,'Données projet'!$E$14+1,1))-AVERAGE(OFFSET($H$3,0,0,'Données projet'!$E$14+1,1))</f>
        <v>602.02351907077332</v>
      </c>
      <c r="DU41" s="59">
        <f t="shared" si="44"/>
        <v>278.08067690827272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64.342991195227057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64.342991195227057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64.342991195227057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64.342991195227057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2.2000000000000002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8.0666666666666682</v>
      </c>
      <c r="H42" s="67">
        <f t="shared" si="1"/>
        <v>224.4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64.441127650812859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16.701250000000002</v>
      </c>
      <c r="N42" s="13">
        <f>IF('Données projet'!$A$36&gt;35,N41+M42-V41,IF(A42&lt;'Données projet'!$A$36,$K$205^A42,IF(A42='Données projet'!$A$36,'Données projet'!$B$36,N41+M42-V41)))</f>
        <v>267.1375000000001</v>
      </c>
      <c r="O42" s="13">
        <f>N42*VLOOKUP('Données projet'!$B$9,Paramètres!$A$1:$I$89,3,0)*VLOOKUP('Données projet'!$B$9,Paramètres!$A$1:$I$89,5,0)</f>
        <v>159.74822500000008</v>
      </c>
      <c r="P42" s="13">
        <f t="shared" si="33"/>
        <v>40.785721648734771</v>
      </c>
      <c r="Q42" s="20">
        <f t="shared" si="53"/>
        <v>349.26329041321316</v>
      </c>
      <c r="R42" s="59">
        <f t="shared" si="0"/>
        <v>622.21409179952695</v>
      </c>
      <c r="S42" s="59">
        <f ca="1">AVERAGE(OFFSET($R$3,0,0,'Données projet'!$E$9+1,1))-AVERAGE(OFFSET($H$3,0,0,'Données projet'!$E$9+1,1))</f>
        <v>360.09035401555587</v>
      </c>
      <c r="T42" s="59">
        <f t="shared" si="34"/>
        <v>266.54879627869821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7.1949341780947185</v>
      </c>
      <c r="AA42" s="21">
        <f>EXP(-LN(2)/25)*AA41+(1-EXP(-LN(2)/25))/(LN(2)/25)*Calculateur!V42*Calculateur!X42*VLOOKUP('Données projet'!$B$9,Paramètres!$A$1:$I$89,3,0)*0.475*44/12</f>
        <v>24.611536734680076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31.806470912774795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64.441127650812859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8.9585714285714282</v>
      </c>
      <c r="AI42" s="13">
        <f>IF('Données projet'!$A$62&gt;35,AI41+AH42-AQ41,IF(A42&lt;'Données projet'!$A$62,$AF$205^A42,IF(A42='Données projet'!$A$62,'Données projet'!$B$62,AI41+AH42-AQ41)))</f>
        <v>84.708571428571403</v>
      </c>
      <c r="AJ42" s="13">
        <f>AI42*VLOOKUP('Données projet'!$B$10,Paramètres!$A$1:$I$89,3,0)*VLOOKUP('Données projet'!$B$10,Paramètres!$A$1:$I$89,5,0)</f>
        <v>71.358500571428564</v>
      </c>
      <c r="AK42" s="13">
        <f t="shared" si="35"/>
        <v>20.010442816020877</v>
      </c>
      <c r="AL42" s="20">
        <f t="shared" si="4"/>
        <v>159.13424306647443</v>
      </c>
      <c r="AM42" s="59">
        <f t="shared" si="5"/>
        <v>432.08504445278822</v>
      </c>
      <c r="AN42" s="59">
        <f ca="1">AVERAGE(OFFSET($AM$3,0,0,'Données projet'!$E$10+1,1))-AVERAGE(OFFSET($H$3,0,0,'Données projet'!$E$10+1,1))</f>
        <v>377.26246345103175</v>
      </c>
      <c r="AO42" s="59">
        <f t="shared" si="36"/>
        <v>258.25890564000258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64.441127650812859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28.059999999999992</v>
      </c>
      <c r="BD42" s="12">
        <f>IF('Données projet'!$A$88&gt;35,BD41+BC42-BL41,IF(A42&lt;'Données projet'!$A$88,$BA$205^A42,IF(A42='Données projet'!$A$88,'Données projet'!$B$88,BD41+BC42-BL41)))</f>
        <v>499.70999999999992</v>
      </c>
      <c r="BE42" s="13">
        <f>BD42*VLOOKUP('Données projet'!$B$11,Paramètres!$A$1:$I$89,3,0)*VLOOKUP('Données projet'!$B$11,Paramètres!$A$1:$I$89,5,0)</f>
        <v>220.87182000000001</v>
      </c>
      <c r="BF42" s="13">
        <f t="shared" si="37"/>
        <v>54.304327852172058</v>
      </c>
      <c r="BG42" s="20">
        <f t="shared" si="7"/>
        <v>479.26512417586628</v>
      </c>
      <c r="BH42" s="59">
        <f t="shared" si="8"/>
        <v>752.21592556218002</v>
      </c>
      <c r="BI42" s="59">
        <f ca="1">AVERAGE(OFFSET($BH$3,0,0,'Données projet'!$E$11+1,1))-AVERAGE(OFFSET($H$3,0,0,'Données projet'!$E$11+1,1))</f>
        <v>333.23043896066253</v>
      </c>
      <c r="BJ42" s="59">
        <f t="shared" si="38"/>
        <v>440.63438368668983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69.966799210889249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69.966799210889249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64.441127650812859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10.239336000000005</v>
      </c>
      <c r="BY42" s="12">
        <f>IF('Données projet'!$A$114&gt;35,BY41+BX42-CG41,IF(A42&lt;'Données projet'!$A$114,$BV$205^A42,IF(A42='Données projet'!$A$114,'Données projet'!$B$114,BY41+BX42-CG41)))</f>
        <v>166.06472400000004</v>
      </c>
      <c r="BZ42" s="13">
        <f>BY42*VLOOKUP('Données projet'!$B$12,Paramètres!$A$1:$I$89,3,0)*VLOOKUP('Données projet'!$B$12,Paramètres!$A$1:$I$89,5,0)</f>
        <v>66.924083772000017</v>
      </c>
      <c r="CA42" s="13">
        <f t="shared" si="39"/>
        <v>18.907612960509166</v>
      </c>
      <c r="CB42" s="20">
        <f t="shared" si="10"/>
        <v>149.4902051424535</v>
      </c>
      <c r="CC42" s="59">
        <f t="shared" si="11"/>
        <v>422.44100652876728</v>
      </c>
      <c r="CD42" s="59">
        <f ca="1">AVERAGE(OFFSET($CC$3,0,0,'Données projet'!$E$12+1,1))-AVERAGE(OFFSET($H$3,0,0,'Données projet'!$E$12+1,1))</f>
        <v>177.34129362526608</v>
      </c>
      <c r="CE42" s="59">
        <f t="shared" si="40"/>
        <v>156.93407673501022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17.63791891754266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17.63791891754266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64.441127650812859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7.8</v>
      </c>
      <c r="CT42" s="12">
        <f>IF('Données projet'!$A$140&gt;35,CT41+CS42-DB41,IF(A42&lt;'Données projet'!$A$140,$CQ$205^A42,IF(A42='Données projet'!$A$140,'Données projet'!$B$140,CT41+CS42-DB41)))</f>
        <v>187.20000000000005</v>
      </c>
      <c r="CU42" s="17">
        <f>CT42*VLOOKUP('Données projet'!$B$13,Paramètres!$A$1:$I$89,3,0)*VLOOKUP('Données projet'!$B$13,Paramètres!$A$1:$I$89,5,0)</f>
        <v>122.65344000000002</v>
      </c>
      <c r="CV42" s="13">
        <f t="shared" si="41"/>
        <v>32.293080640759037</v>
      </c>
      <c r="CW42" s="20">
        <f t="shared" si="13"/>
        <v>269.8651901159887</v>
      </c>
      <c r="CX42" s="59">
        <f t="shared" si="14"/>
        <v>542.8159915023025</v>
      </c>
      <c r="CY42" s="59">
        <f ca="1">AVERAGE(OFFSET($CX$3,0,0,'Données projet'!$E$13+1,1))-AVERAGE(OFFSET($H$3,0,0,'Données projet'!$E$13+1,1))</f>
        <v>267.49254683294629</v>
      </c>
      <c r="CZ42" s="59">
        <f t="shared" si="42"/>
        <v>278.02595256967254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64.441127650812859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3.887142857142857</v>
      </c>
      <c r="DO42" s="12">
        <f>IF('Données projet'!$A$166&gt;35,DO41+DN42-DW41,IF(A42&lt;'Données projet'!$A$166,$DL$205^A42,IF(A42='Données projet'!$A$166,'Données projet'!$B$166,DO41+DN42-DW41)))</f>
        <v>151.59857142857152</v>
      </c>
      <c r="DP42" s="17">
        <f>DO42*VLOOKUP('Données projet'!$B$14,Paramètres!$A$1:$I$89,3,0)*VLOOKUP('Données projet'!$B$14,Paramètres!$A$1:$I$89,5,0)</f>
        <v>137.16638742857151</v>
      </c>
      <c r="DQ42" s="13">
        <f t="shared" si="43"/>
        <v>35.647094153273272</v>
      </c>
      <c r="DR42" s="20">
        <f t="shared" si="16"/>
        <v>300.98348042171295</v>
      </c>
      <c r="DS42" s="59">
        <f t="shared" si="17"/>
        <v>573.93428180802675</v>
      </c>
      <c r="DT42" s="59">
        <f ca="1">AVERAGE(OFFSET($DS$3,0,0,'Données projet'!$E$14+1,1))-AVERAGE(OFFSET($H$3,0,0,'Données projet'!$E$14+1,1))</f>
        <v>602.02351907077332</v>
      </c>
      <c r="DU42" s="59">
        <f t="shared" si="44"/>
        <v>278.08067690827272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64.441127650812859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64.441127650812859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64.441127650812859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64.441127650812859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2.2000000000000002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8.0666666666666682</v>
      </c>
      <c r="H43" s="67">
        <f t="shared" si="1"/>
        <v>224.4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64.537561658294493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16.701250000000002</v>
      </c>
      <c r="N43" s="13">
        <f>IF('Données projet'!$A$36&gt;35,N42+M43-V42,IF(A43&lt;'Données projet'!$A$36,$K$205^A43,IF(A43='Données projet'!$A$36,'Données projet'!$B$36,N42+M43-V42)))</f>
        <v>283.83875000000012</v>
      </c>
      <c r="O43" s="13">
        <f>N43*VLOOKUP('Données projet'!$B$9,Paramètres!$A$1:$I$89,3,0)*VLOOKUP('Données projet'!$B$9,Paramètres!$A$1:$I$89,5,0)</f>
        <v>169.73557250000007</v>
      </c>
      <c r="P43" s="13">
        <f t="shared" si="33"/>
        <v>43.030795257249402</v>
      </c>
      <c r="Q43" s="20">
        <f t="shared" si="53"/>
        <v>370.56809051054279</v>
      </c>
      <c r="R43" s="59">
        <f t="shared" si="0"/>
        <v>643.87248325762266</v>
      </c>
      <c r="S43" s="59">
        <f ca="1">AVERAGE(OFFSET($R$3,0,0,'Données projet'!$E$9+1,1))-AVERAGE(OFFSET($H$3,0,0,'Données projet'!$E$9+1,1))</f>
        <v>360.09035401555587</v>
      </c>
      <c r="T43" s="59">
        <f t="shared" si="34"/>
        <v>266.54879627869821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7.053845907338804</v>
      </c>
      <c r="AA43" s="21">
        <f>EXP(-LN(2)/25)*AA42+(1-EXP(-LN(2)/25))/(LN(2)/25)*Calculateur!V43*Calculateur!X43*VLOOKUP('Données projet'!$B$9,Paramètres!$A$1:$I$89,3,0)*0.475*44/12</f>
        <v>23.938532968405784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30.992378875744588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64.537561658294493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8.9585714285714282</v>
      </c>
      <c r="AI43" s="13">
        <f>IF('Données projet'!$A$62&gt;35,AI42+AH43-AQ42,IF(A43&lt;'Données projet'!$A$62,$AF$205^A43,IF(A43='Données projet'!$A$62,'Données projet'!$B$62,AI42+AH43-AQ42)))</f>
        <v>93.667142857142835</v>
      </c>
      <c r="AJ43" s="13">
        <f>AI43*VLOOKUP('Données projet'!$B$10,Paramètres!$A$1:$I$89,3,0)*VLOOKUP('Données projet'!$B$10,Paramètres!$A$1:$I$89,5,0)</f>
        <v>78.905201142857138</v>
      </c>
      <c r="AK43" s="13">
        <f t="shared" si="35"/>
        <v>21.869285821611935</v>
      </c>
      <c r="AL43" s="20">
        <f t="shared" si="4"/>
        <v>175.51556479645032</v>
      </c>
      <c r="AM43" s="59">
        <f t="shared" si="5"/>
        <v>448.81995754353011</v>
      </c>
      <c r="AN43" s="59">
        <f ca="1">AVERAGE(OFFSET($AM$3,0,0,'Données projet'!$E$10+1,1))-AVERAGE(OFFSET($H$3,0,0,'Données projet'!$E$10+1,1))</f>
        <v>377.26246345103175</v>
      </c>
      <c r="AO43" s="59">
        <f t="shared" si="36"/>
        <v>258.25890564000258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64.537561658294493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28.059999999999992</v>
      </c>
      <c r="BD43" s="12">
        <f>IF('Données projet'!$A$88&gt;35,BD42+BC43-BL42,IF(A43&lt;'Données projet'!$A$88,$BA$205^A43,IF(A43='Données projet'!$A$88,'Données projet'!$B$88,BD42+BC43-BL42)))</f>
        <v>527.76999999999987</v>
      </c>
      <c r="BE43" s="13">
        <f>BD43*VLOOKUP('Données projet'!$B$11,Paramètres!$A$1:$I$89,3,0)*VLOOKUP('Données projet'!$B$11,Paramètres!$A$1:$I$89,5,0)</f>
        <v>233.27433999999997</v>
      </c>
      <c r="BF43" s="13">
        <f t="shared" si="37"/>
        <v>56.99008687328341</v>
      </c>
      <c r="BG43" s="20">
        <f t="shared" si="7"/>
        <v>505.54387680430187</v>
      </c>
      <c r="BH43" s="59">
        <f t="shared" si="8"/>
        <v>778.84826955138169</v>
      </c>
      <c r="BI43" s="59">
        <f ca="1">AVERAGE(OFFSET($BH$3,0,0,'Données projet'!$E$11+1,1))-AVERAGE(OFFSET($H$3,0,0,'Données projet'!$E$11+1,1))</f>
        <v>333.23043896066253</v>
      </c>
      <c r="BJ43" s="59">
        <f t="shared" si="38"/>
        <v>440.63438368668983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68.053553407073423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68.053553407073423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64.537561658294493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176.30406000000002</v>
      </c>
      <c r="BW43" s="12">
        <f>VLOOKUP(A43,'Données projet'!$A$113:$I$133,9,0)</f>
        <v>10.239336000000005</v>
      </c>
      <c r="BX43" s="12">
        <f t="array" ref="BX43">INDEX(BW:BW,MIN(IF(ISNUMBER(BW43:BW239),ROW(BW43:BW239),"")))</f>
        <v>10.239336000000005</v>
      </c>
      <c r="BY43" s="12">
        <f>IF('Données projet'!$A$114&gt;35,BY42+BX43-CG42,IF(A43&lt;'Données projet'!$A$114,$BV$205^A43,IF(A43='Données projet'!$A$114,'Données projet'!$B$114,BY42+BX43-CG42)))</f>
        <v>176.30406000000005</v>
      </c>
      <c r="BZ43" s="13">
        <f>BY43*VLOOKUP('Données projet'!$B$12,Paramètres!$A$1:$I$89,3,0)*VLOOKUP('Données projet'!$B$12,Paramètres!$A$1:$I$89,5,0)</f>
        <v>71.050536180000023</v>
      </c>
      <c r="CA43" s="13">
        <f t="shared" si="39"/>
        <v>19.934116123979049</v>
      </c>
      <c r="CB43" s="20">
        <f t="shared" si="10"/>
        <v>158.46493609609686</v>
      </c>
      <c r="CC43" s="59">
        <f t="shared" si="11"/>
        <v>431.76932884317671</v>
      </c>
      <c r="CD43" s="59">
        <f ca="1">AVERAGE(OFFSET($CC$3,0,0,'Données projet'!$E$12+1,1))-AVERAGE(OFFSET($H$3,0,0,'Données projet'!$E$12+1,1))</f>
        <v>177.34129362526608</v>
      </c>
      <c r="CE43" s="59">
        <f t="shared" si="40"/>
        <v>156.93407673501022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25.237800000000004</v>
      </c>
      <c r="CH43" s="16">
        <f>IF(ISNA(VLOOKUP(A43,'Données projet'!$A$113:$I$133,5,0)),0%,VLOOKUP(A43,'Données projet'!$A$113:$I$133,5,0)*VLOOKUP('Données projet'!$B$12,Paramètres!$A$1:$I$89,7,0))</f>
        <v>0.27500000000000002</v>
      </c>
      <c r="CI43" s="16">
        <f>IF(ISNA(VLOOKUP(A43,'Données projet'!$A$113:$I$133,6,0)),0%,VLOOKUP(A43,'Données projet'!$A$113:$I$133,6,0)*VLOOKUP('Données projet'!$B$12,Paramètres!$A$1:$I$89,7,0))</f>
        <v>0.27500000000000002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3.7103731694252553</v>
      </c>
      <c r="CL43" s="21">
        <f>EXP(-LN(2)/25)*CL42+(1-EXP(-LN(2)/25))/(LN(2)/25)*Calculateur!CG43*Calculateur!CI43*VLOOKUP('Données projet'!$B$12,Paramètres!$A$1:$I$89,3,0)*0.475*44/12</f>
        <v>20.851373113698823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24.56174628312408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64.537561658294493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195</v>
      </c>
      <c r="CR43" s="12">
        <f>VLOOKUP(A43,'Données projet'!$A$139:$I$159,9,0)</f>
        <v>7.8</v>
      </c>
      <c r="CS43" s="12">
        <f t="array" ref="CS43">INDEX(CR:CR,MIN(IF(ISNUMBER(CR43:CR239),ROW(CR43:CR239),"")))</f>
        <v>7.8</v>
      </c>
      <c r="CT43" s="12">
        <f>IF('Données projet'!$A$140&gt;35,CT42+CS43-DB42,IF(A43&lt;'Données projet'!$A$140,$CQ$205^A43,IF(A43='Données projet'!$A$140,'Données projet'!$B$140,CT42+CS43-DB42)))</f>
        <v>195.00000000000006</v>
      </c>
      <c r="CU43" s="17">
        <f>CT43*VLOOKUP('Données projet'!$B$13,Paramètres!$A$1:$I$89,3,0)*VLOOKUP('Données projet'!$B$13,Paramètres!$A$1:$I$89,5,0)</f>
        <v>127.76400000000004</v>
      </c>
      <c r="CV43" s="13">
        <f t="shared" si="41"/>
        <v>33.479164830670079</v>
      </c>
      <c r="CW43" s="20">
        <f t="shared" si="13"/>
        <v>280.83184541341706</v>
      </c>
      <c r="CX43" s="59">
        <f t="shared" si="14"/>
        <v>554.13623816049687</v>
      </c>
      <c r="CY43" s="59">
        <f ca="1">AVERAGE(OFFSET($CX$3,0,0,'Données projet'!$E$13+1,1))-AVERAGE(OFFSET($H$3,0,0,'Données projet'!$E$13+1,1))</f>
        <v>267.49254683294629</v>
      </c>
      <c r="CZ43" s="59">
        <f t="shared" si="42"/>
        <v>278.02595256967254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25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64.537561658294493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3.887142857142857</v>
      </c>
      <c r="DO43" s="12">
        <f>IF('Données projet'!$A$166&gt;35,DO42+DN43-DW42,IF(A43&lt;'Données projet'!$A$166,$DL$205^A43,IF(A43='Données projet'!$A$166,'Données projet'!$B$166,DO42+DN43-DW42)))</f>
        <v>155.48571428571438</v>
      </c>
      <c r="DP43" s="17">
        <f>DO43*VLOOKUP('Données projet'!$B$14,Paramètres!$A$1:$I$89,3,0)*VLOOKUP('Données projet'!$B$14,Paramètres!$A$1:$I$89,5,0)</f>
        <v>140.68347428571437</v>
      </c>
      <c r="DQ43" s="13">
        <f t="shared" si="43"/>
        <v>36.453535449340755</v>
      </c>
      <c r="DR43" s="20">
        <f t="shared" si="16"/>
        <v>308.51362528855435</v>
      </c>
      <c r="DS43" s="59">
        <f t="shared" si="17"/>
        <v>581.81801803563417</v>
      </c>
      <c r="DT43" s="59">
        <f ca="1">AVERAGE(OFFSET($DS$3,0,0,'Données projet'!$E$14+1,1))-AVERAGE(OFFSET($H$3,0,0,'Données projet'!$E$14+1,1))</f>
        <v>602.02351907077332</v>
      </c>
      <c r="DU43" s="59">
        <f t="shared" si="44"/>
        <v>278.08067690827272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64.537561658294493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64.537561658294493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64.537561658294493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64.537561658294493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2.2000000000000002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8.0666666666666682</v>
      </c>
      <c r="H44" s="67">
        <f t="shared" si="1"/>
        <v>224.4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64.632322751340467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300.54000000000002</v>
      </c>
      <c r="L44" s="12">
        <f>VLOOKUP(A44,'Données projet'!$A$35:$I$55,9,0)</f>
        <v>16.701250000000002</v>
      </c>
      <c r="M44" s="12">
        <f t="array" ref="M44">INDEX(L:L,MIN(IF(ISNUMBER(L44:L240),ROW(L44:L240),"")))</f>
        <v>16.701250000000002</v>
      </c>
      <c r="N44" s="13">
        <f>IF('Données projet'!$A$36&gt;35,N43+M44-V43,IF(A44&lt;'Données projet'!$A$36,$K$205^A44,IF(A44='Données projet'!$A$36,'Données projet'!$B$36,N43+M44-V43)))</f>
        <v>300.54000000000013</v>
      </c>
      <c r="O44" s="13">
        <f>N44*VLOOKUP('Données projet'!$B$9,Paramètres!$A$1:$I$89,3,0)*VLOOKUP('Données projet'!$B$9,Paramètres!$A$1:$I$89,5,0)</f>
        <v>179.72292000000007</v>
      </c>
      <c r="P44" s="13">
        <f t="shared" si="33"/>
        <v>45.260535445550182</v>
      </c>
      <c r="Q44" s="20">
        <f t="shared" si="53"/>
        <v>391.84618490100002</v>
      </c>
      <c r="R44" s="59">
        <f t="shared" si="0"/>
        <v>665.49803498924848</v>
      </c>
      <c r="S44" s="59">
        <f ca="1">AVERAGE(OFFSET($R$3,0,0,'Données projet'!$E$9+1,1))-AVERAGE(OFFSET($H$3,0,0,'Données projet'!$E$9+1,1))</f>
        <v>360.09035401555587</v>
      </c>
      <c r="T44" s="59">
        <f t="shared" si="34"/>
        <v>266.54879627869821</v>
      </c>
      <c r="U44" s="15">
        <f>IF(ISNA(VLOOKUP(A44,'Données projet'!$A$35:$I$55,3,0)),0,VLOOKUP(A44,'Données projet'!$A$35:$I$55,3,0))</f>
        <v>4</v>
      </c>
      <c r="V44" s="15">
        <f>IF(ISNA(VLOOKUP(A44,'Données projet'!$A$35:$I$55,4,0)),0,VLOOKUP(A44,'Données projet'!$A$35:$I$55,4,0))</f>
        <v>72.13</v>
      </c>
      <c r="W44" s="16">
        <f>IF(ISNA(VLOOKUP(A44,'Données projet'!$A$35:$I$55,5,0)),0%,VLOOKUP(A44,'Données projet'!$A$35:$I$55,5,0)*VLOOKUP('Données projet'!$B$9,Paramètres!$A$1:$I$89,7,0))</f>
        <v>0.13500000000000001</v>
      </c>
      <c r="X44" s="16">
        <f>IF(ISNA(VLOOKUP(A44,'Données projet'!$A$35:$I$55,6,0)),0%,VLOOKUP(A44,'Données projet'!$A$35:$I$55,6,0)*VLOOKUP('Données projet'!$B$9,Paramètres!$A$1:$I$89,7,0))</f>
        <v>0.22500000000000001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14.640181943930113</v>
      </c>
      <c r="AA44" s="21">
        <f>EXP(-LN(2)/25)*AA43+(1-EXP(-LN(2)/25))/(LN(2)/25)*Calculateur!V44*Calculateur!X44*VLOOKUP('Données projet'!$B$9,Paramètres!$A$1:$I$89,3,0)*0.475*44/12</f>
        <v>36.107670412028959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50.747852355959068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64.632322751340467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8.9585714285714282</v>
      </c>
      <c r="AI44" s="13">
        <f>IF('Données projet'!$A$62&gt;35,AI43+AH44-AQ43,IF(A44&lt;'Données projet'!$A$62,$AF$205^A44,IF(A44='Données projet'!$A$62,'Données projet'!$B$62,AI43+AH44-AQ43)))</f>
        <v>102.62571428571427</v>
      </c>
      <c r="AJ44" s="13">
        <f>AI44*VLOOKUP('Données projet'!$B$10,Paramètres!$A$1:$I$89,3,0)*VLOOKUP('Données projet'!$B$10,Paramètres!$A$1:$I$89,5,0)</f>
        <v>86.451901714285711</v>
      </c>
      <c r="AK44" s="13">
        <f t="shared" si="35"/>
        <v>23.707516319057149</v>
      </c>
      <c r="AL44" s="20">
        <f t="shared" si="4"/>
        <v>191.86098640807214</v>
      </c>
      <c r="AM44" s="59">
        <f t="shared" si="5"/>
        <v>465.51283649632057</v>
      </c>
      <c r="AN44" s="59">
        <f ca="1">AVERAGE(OFFSET($AM$3,0,0,'Données projet'!$E$10+1,1))-AVERAGE(OFFSET($H$3,0,0,'Données projet'!$E$10+1,1))</f>
        <v>377.26246345103175</v>
      </c>
      <c r="AO44" s="59">
        <f t="shared" si="36"/>
        <v>258.25890564000258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64.632322751340467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28.059999999999992</v>
      </c>
      <c r="BD44" s="12">
        <f>IF('Données projet'!$A$88&gt;35,BD43+BC44-BL43,IF(A44&lt;'Données projet'!$A$88,$BA$205^A44,IF(A44='Données projet'!$A$88,'Données projet'!$B$88,BD43+BC44-BL43)))</f>
        <v>555.82999999999981</v>
      </c>
      <c r="BE44" s="13">
        <f>BD44*VLOOKUP('Données projet'!$B$11,Paramètres!$A$1:$I$89,3,0)*VLOOKUP('Données projet'!$B$11,Paramètres!$A$1:$I$89,5,0)</f>
        <v>245.67685999999995</v>
      </c>
      <c r="BF44" s="13">
        <f t="shared" si="37"/>
        <v>59.659267751383197</v>
      </c>
      <c r="BG44" s="20">
        <f t="shared" si="7"/>
        <v>531.79375583365902</v>
      </c>
      <c r="BH44" s="59">
        <f t="shared" si="8"/>
        <v>805.44560592190737</v>
      </c>
      <c r="BI44" s="59">
        <f ca="1">AVERAGE(OFFSET($BH$3,0,0,'Données projet'!$E$11+1,1))-AVERAGE(OFFSET($H$3,0,0,'Données projet'!$E$11+1,1))</f>
        <v>333.23043896066253</v>
      </c>
      <c r="BJ44" s="59">
        <f t="shared" si="38"/>
        <v>440.63438368668983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66.192625410376166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66.192625410376166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64.632322751340467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9.7345799999999993</v>
      </c>
      <c r="BY44" s="12">
        <f>IF('Données projet'!$A$114&gt;35,BY43+BX44-CG43,IF(A44&lt;'Données projet'!$A$114,$BV$205^A44,IF(A44='Données projet'!$A$114,'Données projet'!$B$114,BY43+BX44-CG43)))</f>
        <v>160.80084000000005</v>
      </c>
      <c r="BZ44" s="13">
        <f>BY44*VLOOKUP('Données projet'!$B$12,Paramètres!$A$1:$I$89,3,0)*VLOOKUP('Données projet'!$B$12,Paramètres!$A$1:$I$89,5,0)</f>
        <v>64.80273852000002</v>
      </c>
      <c r="CA44" s="13">
        <f t="shared" si="39"/>
        <v>18.377056776615539</v>
      </c>
      <c r="CB44" s="20">
        <f t="shared" si="10"/>
        <v>144.87147680827209</v>
      </c>
      <c r="CC44" s="59">
        <f t="shared" si="11"/>
        <v>418.52332689652053</v>
      </c>
      <c r="CD44" s="59">
        <f ca="1">AVERAGE(OFFSET($CC$3,0,0,'Données projet'!$E$12+1,1))-AVERAGE(OFFSET($H$3,0,0,'Données projet'!$E$12+1,1))</f>
        <v>177.34129362526608</v>
      </c>
      <c r="CE44" s="59">
        <f t="shared" si="40"/>
        <v>156.93407673501022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3.6376150146769963</v>
      </c>
      <c r="CL44" s="21">
        <f>EXP(-LN(2)/25)*CL43+(1-EXP(-LN(2)/25))/(LN(2)/25)*Calculateur!CG44*Calculateur!CI44*VLOOKUP('Données projet'!$B$12,Paramètres!$A$1:$I$89,3,0)*0.475*44/12</f>
        <v>20.281191219378673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23.918806234055669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64.632322751340467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7.4</v>
      </c>
      <c r="CT44" s="12">
        <f>IF('Données projet'!$A$140&gt;35,CT43+CS44-DB43,IF(A44&lt;'Données projet'!$A$140,$CQ$205^A44,IF(A44='Données projet'!$A$140,'Données projet'!$B$140,CT43+CS44-DB43)))</f>
        <v>177.40000000000006</v>
      </c>
      <c r="CU44" s="17">
        <f>CT44*VLOOKUP('Données projet'!$B$13,Paramètres!$A$1:$I$89,3,0)*VLOOKUP('Données projet'!$B$13,Paramètres!$A$1:$I$89,5,0)</f>
        <v>116.23248000000004</v>
      </c>
      <c r="CV44" s="13">
        <f t="shared" si="41"/>
        <v>30.794662422308217</v>
      </c>
      <c r="CW44" s="20">
        <f t="shared" si="13"/>
        <v>256.07227305218686</v>
      </c>
      <c r="CX44" s="59">
        <f t="shared" si="14"/>
        <v>529.72412314043527</v>
      </c>
      <c r="CY44" s="59">
        <f ca="1">AVERAGE(OFFSET($CX$3,0,0,'Données projet'!$E$13+1,1))-AVERAGE(OFFSET($H$3,0,0,'Données projet'!$E$13+1,1))</f>
        <v>267.49254683294629</v>
      </c>
      <c r="CZ44" s="59">
        <f t="shared" si="42"/>
        <v>278.02595256967254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64.632322751340467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3.887142857142857</v>
      </c>
      <c r="DO44" s="12">
        <f>IF('Données projet'!$A$166&gt;35,DO43+DN44-DW43,IF(A44&lt;'Données projet'!$A$166,$DL$205^A44,IF(A44='Données projet'!$A$166,'Données projet'!$B$166,DO43+DN44-DW43)))</f>
        <v>159.37285714285724</v>
      </c>
      <c r="DP44" s="17">
        <f>DO44*VLOOKUP('Données projet'!$B$14,Paramètres!$A$1:$I$89,3,0)*VLOOKUP('Données projet'!$B$14,Paramètres!$A$1:$I$89,5,0)</f>
        <v>144.20056114285723</v>
      </c>
      <c r="DQ44" s="13">
        <f t="shared" si="43"/>
        <v>37.257633154444321</v>
      </c>
      <c r="DR44" s="20">
        <f t="shared" si="16"/>
        <v>316.03968840113345</v>
      </c>
      <c r="DS44" s="59">
        <f t="shared" si="17"/>
        <v>589.69153848938186</v>
      </c>
      <c r="DT44" s="59">
        <f ca="1">AVERAGE(OFFSET($DS$3,0,0,'Données projet'!$E$14+1,1))-AVERAGE(OFFSET($H$3,0,0,'Données projet'!$E$14+1,1))</f>
        <v>602.02351907077332</v>
      </c>
      <c r="DU44" s="59">
        <f t="shared" si="44"/>
        <v>278.08067690827272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64.632322751340467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64.632322751340467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64.632322751340467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64.632322751340467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2.2000000000000002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8.0666666666666682</v>
      </c>
      <c r="H45" s="67">
        <f t="shared" si="1"/>
        <v>224.4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64.725439951276172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15.725555555555552</v>
      </c>
      <c r="N45" s="13">
        <f>IF('Données projet'!$A$36&gt;35,N44+M45-V44,IF(A45&lt;'Données projet'!$A$36,$K$205^A45,IF(A45='Données projet'!$A$36,'Données projet'!$B$36,N44+M45-V44)))</f>
        <v>244.1355555555557</v>
      </c>
      <c r="O45" s="13">
        <f>N45*VLOOKUP('Données projet'!$B$9,Paramètres!$A$1:$I$89,3,0)*VLOOKUP('Données projet'!$B$9,Paramètres!$A$1:$I$89,5,0)</f>
        <v>145.99306222222231</v>
      </c>
      <c r="P45" s="13">
        <f t="shared" si="33"/>
        <v>37.666564668799332</v>
      </c>
      <c r="Q45" s="20">
        <f t="shared" si="53"/>
        <v>319.87385016852937</v>
      </c>
      <c r="R45" s="59">
        <f t="shared" si="0"/>
        <v>593.86712998987537</v>
      </c>
      <c r="S45" s="59">
        <f ca="1">AVERAGE(OFFSET($R$3,0,0,'Données projet'!$E$9+1,1))-AVERAGE(OFFSET($H$3,0,0,'Données projet'!$E$9+1,1))</f>
        <v>360.09035401555587</v>
      </c>
      <c r="T45" s="59">
        <f t="shared" si="34"/>
        <v>266.54879627869821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14.353096905638902</v>
      </c>
      <c r="AA45" s="21">
        <f>EXP(-LN(2)/25)*AA44+(1-EXP(-LN(2)/25))/(LN(2)/25)*Calculateur!V45*Calculateur!X45*VLOOKUP('Données projet'!$B$9,Paramètres!$A$1:$I$89,3,0)*0.475*44/12</f>
        <v>35.120304265792164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49.473401171431064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64.725439951276172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8.9585714285714282</v>
      </c>
      <c r="AI45" s="13">
        <f>IF('Données projet'!$A$62&gt;35,AI44+AH45-AQ44,IF(A45&lt;'Données projet'!$A$62,$AF$205^A45,IF(A45='Données projet'!$A$62,'Données projet'!$B$62,AI44+AH45-AQ44)))</f>
        <v>111.5842857142857</v>
      </c>
      <c r="AJ45" s="13">
        <f>AI45*VLOOKUP('Données projet'!$B$10,Paramètres!$A$1:$I$89,3,0)*VLOOKUP('Données projet'!$B$10,Paramètres!$A$1:$I$89,5,0)</f>
        <v>93.998602285714284</v>
      </c>
      <c r="AK45" s="13">
        <f t="shared" si="35"/>
        <v>25.527138240982005</v>
      </c>
      <c r="AL45" s="20">
        <f t="shared" si="4"/>
        <v>208.17399808399605</v>
      </c>
      <c r="AM45" s="59">
        <f t="shared" si="5"/>
        <v>482.16727790534208</v>
      </c>
      <c r="AN45" s="59">
        <f ca="1">AVERAGE(OFFSET($AM$3,0,0,'Données projet'!$E$10+1,1))-AVERAGE(OFFSET($H$3,0,0,'Données projet'!$E$10+1,1))</f>
        <v>377.26246345103175</v>
      </c>
      <c r="AO45" s="59">
        <f t="shared" si="36"/>
        <v>258.25890564000258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64.725439951276172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583.89</v>
      </c>
      <c r="BB45" s="12">
        <f>VLOOKUP(A45,'Données projet'!$A$87:$I$107,9,0)</f>
        <v>28.059999999999992</v>
      </c>
      <c r="BC45" s="12">
        <f t="array" ref="BC45">INDEX(BB:BB,MIN(IF(ISNUMBER(BB45:BB241),ROW(BB45:BB241),"")))</f>
        <v>28.059999999999992</v>
      </c>
      <c r="BD45" s="12">
        <f>IF('Données projet'!$A$88&gt;35,BD44+BC45-BL44,IF(A45&lt;'Données projet'!$A$88,$BA$205^A45,IF(A45='Données projet'!$A$88,'Données projet'!$B$88,BD44+BC45-BL44)))</f>
        <v>583.88999999999976</v>
      </c>
      <c r="BE45" s="13">
        <f>BD45*VLOOKUP('Données projet'!$B$11,Paramètres!$A$1:$I$89,3,0)*VLOOKUP('Données projet'!$B$11,Paramètres!$A$1:$I$89,5,0)</f>
        <v>258.0793799999999</v>
      </c>
      <c r="BF45" s="13">
        <f t="shared" si="37"/>
        <v>62.312802890406914</v>
      </c>
      <c r="BG45" s="20">
        <f t="shared" si="7"/>
        <v>558.01638520079189</v>
      </c>
      <c r="BH45" s="59">
        <f t="shared" si="8"/>
        <v>832.00966502213782</v>
      </c>
      <c r="BI45" s="59">
        <f ca="1">AVERAGE(OFFSET($BH$3,0,0,'Données projet'!$E$11+1,1))-AVERAGE(OFFSET($H$3,0,0,'Données projet'!$E$11+1,1))</f>
        <v>333.23043896066253</v>
      </c>
      <c r="BJ45" s="59">
        <f t="shared" si="38"/>
        <v>440.63438368668983</v>
      </c>
      <c r="BK45" s="15">
        <f>IF(ISNA(VLOOKUP(A45,'Données projet'!$A$87:$I$107,3,0)),0,VLOOKUP(A45,'Données projet'!$A$87:$I$107,3,0))</f>
        <v>5</v>
      </c>
      <c r="BL45" s="15">
        <f>IF(ISNA(VLOOKUP(A45,'Données projet'!$A$87:$I$107,4,0)),0,VLOOKUP(A45,'Données projet'!$A$87:$I$107,4,0))</f>
        <v>91.25</v>
      </c>
      <c r="BM45" s="16">
        <f>IF(ISNA(VLOOKUP(A45,'Données projet'!$A$87:$I$107,5,0)),0%,VLOOKUP(A45,'Données projet'!$A$87:$I$107,5,0)*VLOOKUP('Données projet'!$B$11,Paramètres!$A$1:$I$89,7,0))</f>
        <v>0.27500000000000002</v>
      </c>
      <c r="BN45" s="16">
        <f>IF(ISNA(VLOOKUP(A45,'Données projet'!$A$87:$I$107,6,0)),0%,VLOOKUP(A45,'Données projet'!$A$87:$I$107,6,0)*VLOOKUP('Données projet'!$B$11,Paramètres!$A$1:$I$89,7,0))</f>
        <v>0.27500000000000002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14.713506747229195</v>
      </c>
      <c r="BQ45" s="21">
        <f>EXP(-LN(2)/25)*BQ44+(1-EXP(-LN(2)/25))/(LN(2)/25)*Calculateur!BL45*Calculateur!BN45*VLOOKUP('Données projet'!$B$11,Paramètres!$A$1:$I$89,3,0)*0.475*44/12</f>
        <v>79.03815865249031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93.751665399719499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64.725439951276172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9.7345799999999993</v>
      </c>
      <c r="BY45" s="12">
        <f>IF('Données projet'!$A$114&gt;35,BY44+BX45-CG44,IF(A45&lt;'Données projet'!$A$114,$BV$205^A45,IF(A45='Données projet'!$A$114,'Données projet'!$B$114,BY44+BX45-CG44)))</f>
        <v>170.53542000000004</v>
      </c>
      <c r="BZ45" s="13">
        <f>BY45*VLOOKUP('Données projet'!$B$12,Paramètres!$A$1:$I$89,3,0)*VLOOKUP('Données projet'!$B$12,Paramètres!$A$1:$I$89,5,0)</f>
        <v>68.725774260000023</v>
      </c>
      <c r="CA45" s="13">
        <f t="shared" si="39"/>
        <v>19.356684877558283</v>
      </c>
      <c r="CB45" s="20">
        <f t="shared" si="10"/>
        <v>153.41028299791404</v>
      </c>
      <c r="CC45" s="59">
        <f t="shared" si="11"/>
        <v>427.40356281926006</v>
      </c>
      <c r="CD45" s="59">
        <f ca="1">AVERAGE(OFFSET($CC$3,0,0,'Données projet'!$E$12+1,1))-AVERAGE(OFFSET($H$3,0,0,'Données projet'!$E$12+1,1))</f>
        <v>177.34129362526608</v>
      </c>
      <c r="CE45" s="59">
        <f t="shared" si="40"/>
        <v>156.93407673501022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3.5662836029652585</v>
      </c>
      <c r="CL45" s="21">
        <f>EXP(-LN(2)/25)*CL44+(1-EXP(-LN(2)/25))/(LN(2)/25)*Calculateur!CG45*Calculateur!CI45*VLOOKUP('Données projet'!$B$12,Paramètres!$A$1:$I$89,3,0)*0.475*44/12</f>
        <v>19.726600978943271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23.292884581908531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64.725439951276172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7.4</v>
      </c>
      <c r="CT45" s="12">
        <f>IF('Données projet'!$A$140&gt;35,CT44+CS45-DB44,IF(A45&lt;'Données projet'!$A$140,$CQ$205^A45,IF(A45='Données projet'!$A$140,'Données projet'!$B$140,CT44+CS45-DB44)))</f>
        <v>184.80000000000007</v>
      </c>
      <c r="CU45" s="17">
        <f>CT45*VLOOKUP('Données projet'!$B$13,Paramètres!$A$1:$I$89,3,0)*VLOOKUP('Données projet'!$B$13,Paramètres!$A$1:$I$89,5,0)</f>
        <v>121.08096000000005</v>
      </c>
      <c r="CV45" s="13">
        <f t="shared" si="41"/>
        <v>31.92698372788707</v>
      </c>
      <c r="CW45" s="20">
        <f t="shared" si="13"/>
        <v>266.48883532607005</v>
      </c>
      <c r="CX45" s="59">
        <f t="shared" si="14"/>
        <v>540.48211514741604</v>
      </c>
      <c r="CY45" s="59">
        <f ca="1">AVERAGE(OFFSET($CX$3,0,0,'Données projet'!$E$13+1,1))-AVERAGE(OFFSET($H$3,0,0,'Données projet'!$E$13+1,1))</f>
        <v>267.49254683294629</v>
      </c>
      <c r="CZ45" s="59">
        <f t="shared" si="42"/>
        <v>278.02595256967254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64.725439951276172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163.26</v>
      </c>
      <c r="DM45" s="12">
        <f>VLOOKUP(A45,'Données projet'!$A$165:$I$185,9,0)</f>
        <v>3.887142857142857</v>
      </c>
      <c r="DN45" s="12">
        <f t="array" ref="DN45">INDEX(DM:DM,MIN(IF(ISNUMBER(DM45:DM241),ROW(DM45:DM241),"")))</f>
        <v>3.887142857142857</v>
      </c>
      <c r="DO45" s="12">
        <f>IF('Données projet'!$A$166&gt;35,DO44+DN45-DW44,IF(A45&lt;'Données projet'!$A$166,$DL$205^A45,IF(A45='Données projet'!$A$166,'Données projet'!$B$166,DO44+DN45-DW44)))</f>
        <v>163.2600000000001</v>
      </c>
      <c r="DP45" s="17">
        <f>DO45*VLOOKUP('Données projet'!$B$14,Paramètres!$A$1:$I$89,3,0)*VLOOKUP('Données projet'!$B$14,Paramètres!$A$1:$I$89,5,0)</f>
        <v>147.71764800000008</v>
      </c>
      <c r="DQ45" s="13">
        <f t="shared" si="43"/>
        <v>38.059451005131997</v>
      </c>
      <c r="DR45" s="20">
        <f t="shared" si="16"/>
        <v>323.56178076727167</v>
      </c>
      <c r="DS45" s="59">
        <f t="shared" si="17"/>
        <v>597.55506058861761</v>
      </c>
      <c r="DT45" s="59">
        <f ca="1">AVERAGE(OFFSET($DS$3,0,0,'Données projet'!$E$14+1,1))-AVERAGE(OFFSET($H$3,0,0,'Données projet'!$E$14+1,1))</f>
        <v>602.02351907077332</v>
      </c>
      <c r="DU45" s="59">
        <f t="shared" si="44"/>
        <v>278.08067690827272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43.21</v>
      </c>
      <c r="DX45" s="16">
        <f>IF(ISNA(VLOOKUP(A45,'Données projet'!$A$165:$I$185,5,0)),0%,VLOOKUP(A45,'Données projet'!$A$165:$I$185,5,0)*VLOOKUP('Données projet'!$B$14,Paramètres!$A$1:$I$89,7,0))</f>
        <v>0.129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5.575369807727423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5.575369807727423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64.725439951276172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64.725439951276172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64.725439951276172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64.725439951276172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2.2000000000000002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8.0666666666666682</v>
      </c>
      <c r="H46" s="67">
        <f t="shared" si="1"/>
        <v>224.4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64.816941775971856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15.725555555555552</v>
      </c>
      <c r="N46" s="13">
        <f>IF('Données projet'!$A$36&gt;35,N45+M46-V45,IF(A46&lt;'Données projet'!$A$36,$K$205^A46,IF(A46='Données projet'!$A$36,'Données projet'!$B$36,N45+M46-V45)))</f>
        <v>259.86111111111126</v>
      </c>
      <c r="O46" s="13">
        <f>N46*VLOOKUP('Données projet'!$B$9,Paramètres!$A$1:$I$89,3,0)*VLOOKUP('Données projet'!$B$9,Paramètres!$A$1:$I$89,5,0)</f>
        <v>155.39694444444453</v>
      </c>
      <c r="P46" s="13">
        <f t="shared" si="33"/>
        <v>39.802526102363792</v>
      </c>
      <c r="Q46" s="20">
        <f t="shared" si="53"/>
        <v>339.97241120235782</v>
      </c>
      <c r="R46" s="59">
        <f t="shared" si="0"/>
        <v>614.30119771425461</v>
      </c>
      <c r="S46" s="59">
        <f ca="1">AVERAGE(OFFSET($R$3,0,0,'Données projet'!$E$9+1,1))-AVERAGE(OFFSET($H$3,0,0,'Données projet'!$E$9+1,1))</f>
        <v>360.09035401555587</v>
      </c>
      <c r="T46" s="59">
        <f t="shared" si="34"/>
        <v>266.54879627869821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14.071641429843998</v>
      </c>
      <c r="AA46" s="21">
        <f>EXP(-LN(2)/25)*AA45+(1-EXP(-LN(2)/25))/(LN(2)/25)*Calculateur!V46*Calculateur!X46*VLOOKUP('Données projet'!$B$9,Paramètres!$A$1:$I$89,3,0)*0.475*44/12</f>
        <v>34.159937698747548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48.231579128591548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64.816941775971856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8.9585714285714282</v>
      </c>
      <c r="AI46" s="13">
        <f>IF('Données projet'!$A$62&gt;35,AI45+AH46-AQ45,IF(A46&lt;'Données projet'!$A$62,$AF$205^A46,IF(A46='Données projet'!$A$62,'Données projet'!$B$62,AI45+AH46-AQ45)))</f>
        <v>120.54285714285713</v>
      </c>
      <c r="AJ46" s="13">
        <f>AI46*VLOOKUP('Données projet'!$B$10,Paramètres!$A$1:$I$89,3,0)*VLOOKUP('Données projet'!$B$10,Paramètres!$A$1:$I$89,5,0)</f>
        <v>101.54530285714286</v>
      </c>
      <c r="AK46" s="13">
        <f t="shared" si="35"/>
        <v>27.329815434376485</v>
      </c>
      <c r="AL46" s="20">
        <f t="shared" si="4"/>
        <v>224.45749769106285</v>
      </c>
      <c r="AM46" s="59">
        <f t="shared" si="5"/>
        <v>498.78628420295968</v>
      </c>
      <c r="AN46" s="59">
        <f ca="1">AVERAGE(OFFSET($AM$3,0,0,'Données projet'!$E$10+1,1))-AVERAGE(OFFSET($H$3,0,0,'Données projet'!$E$10+1,1))</f>
        <v>377.26246345103175</v>
      </c>
      <c r="AO46" s="59">
        <f t="shared" si="36"/>
        <v>258.25890564000258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64.816941775971856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27.068333333333328</v>
      </c>
      <c r="BD46" s="12">
        <f>IF('Données projet'!$A$88&gt;35,BD45+BC46-BL45,IF(A46&lt;'Données projet'!$A$88,$BA$205^A46,IF(A46='Données projet'!$A$88,'Données projet'!$B$88,BD45+BC46-BL45)))</f>
        <v>519.70833333333303</v>
      </c>
      <c r="BE46" s="13">
        <f>BD46*VLOOKUP('Données projet'!$B$11,Paramètres!$A$1:$I$89,3,0)*VLOOKUP('Données projet'!$B$11,Paramètres!$A$1:$I$89,5,0)</f>
        <v>229.71108333333322</v>
      </c>
      <c r="BF46" s="13">
        <f t="shared" si="37"/>
        <v>56.220206423672479</v>
      </c>
      <c r="BG46" s="20">
        <f t="shared" si="7"/>
        <v>497.99699632678494</v>
      </c>
      <c r="BH46" s="59">
        <f t="shared" si="8"/>
        <v>772.32578283868179</v>
      </c>
      <c r="BI46" s="59">
        <f ca="1">AVERAGE(OFFSET($BH$3,0,0,'Données projet'!$E$11+1,1))-AVERAGE(OFFSET($H$3,0,0,'Données projet'!$E$11+1,1))</f>
        <v>333.23043896066253</v>
      </c>
      <c r="BJ46" s="59">
        <f t="shared" si="38"/>
        <v>440.63438368668983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14.424983854269001</v>
      </c>
      <c r="BQ46" s="21">
        <f>EXP(-LN(2)/25)*BQ45+(1-EXP(-LN(2)/25))/(LN(2)/25)*Calculateur!BL46*Calculateur!BN46*VLOOKUP('Données projet'!$B$11,Paramètres!$A$1:$I$89,3,0)*0.475*44/12</f>
        <v>76.87685604770185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91.301839901970851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64.816941775971856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9.7345799999999993</v>
      </c>
      <c r="BY46" s="12">
        <f>IF('Données projet'!$A$114&gt;35,BY45+BX46-CG45,IF(A46&lt;'Données projet'!$A$114,$BV$205^A46,IF(A46='Données projet'!$A$114,'Données projet'!$B$114,BY45+BX46-CG45)))</f>
        <v>180.27000000000004</v>
      </c>
      <c r="BZ46" s="13">
        <f>BY46*VLOOKUP('Données projet'!$B$12,Paramètres!$A$1:$I$89,3,0)*VLOOKUP('Données projet'!$B$12,Paramètres!$A$1:$I$89,5,0)</f>
        <v>72.648810000000012</v>
      </c>
      <c r="CA46" s="13">
        <f t="shared" si="39"/>
        <v>20.329821795660173</v>
      </c>
      <c r="CB46" s="20">
        <f t="shared" si="10"/>
        <v>161.93778371077482</v>
      </c>
      <c r="CC46" s="59">
        <f t="shared" si="11"/>
        <v>436.26657022267159</v>
      </c>
      <c r="CD46" s="59">
        <f ca="1">AVERAGE(OFFSET($CC$3,0,0,'Données projet'!$E$12+1,1))-AVERAGE(OFFSET($H$3,0,0,'Données projet'!$E$12+1,1))</f>
        <v>177.34129362526608</v>
      </c>
      <c r="CE46" s="59">
        <f t="shared" si="40"/>
        <v>156.93407673501022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3.4963509567293225</v>
      </c>
      <c r="CL46" s="21">
        <f>EXP(-LN(2)/25)*CL45+(1-EXP(-LN(2)/25))/(LN(2)/25)*Calculateur!CG46*Calculateur!CI46*VLOOKUP('Données projet'!$B$12,Paramètres!$A$1:$I$89,3,0)*0.475*44/12</f>
        <v>19.187176037797208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22.683526994526531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64.816941775971856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7.4</v>
      </c>
      <c r="CT46" s="12">
        <f>IF('Données projet'!$A$140&gt;35,CT45+CS46-DB45,IF(A46&lt;'Données projet'!$A$140,$CQ$205^A46,IF(A46='Données projet'!$A$140,'Données projet'!$B$140,CT45+CS46-DB45)))</f>
        <v>192.20000000000007</v>
      </c>
      <c r="CU46" s="17">
        <f>CT46*VLOOKUP('Données projet'!$B$13,Paramètres!$A$1:$I$89,3,0)*VLOOKUP('Données projet'!$B$13,Paramètres!$A$1:$I$89,5,0)</f>
        <v>125.92944000000006</v>
      </c>
      <c r="CV46" s="13">
        <f t="shared" si="41"/>
        <v>33.054038034052077</v>
      </c>
      <c r="CW46" s="20">
        <f t="shared" si="13"/>
        <v>276.89622424264081</v>
      </c>
      <c r="CX46" s="59">
        <f t="shared" si="14"/>
        <v>551.22501075453761</v>
      </c>
      <c r="CY46" s="59">
        <f ca="1">AVERAGE(OFFSET($CX$3,0,0,'Données projet'!$E$13+1,1))-AVERAGE(OFFSET($H$3,0,0,'Données projet'!$E$13+1,1))</f>
        <v>267.49254683294629</v>
      </c>
      <c r="CZ46" s="59">
        <f t="shared" si="42"/>
        <v>278.02595256967254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64.816941775971856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9.3712500000000034</v>
      </c>
      <c r="DO46" s="12">
        <f>IF('Données projet'!$A$166&gt;35,DO45+DN46-DW45,IF(A46&lt;'Données projet'!$A$166,$DL$205^A46,IF(A46='Données projet'!$A$166,'Données projet'!$B$166,DO45+DN46-DW45)))</f>
        <v>129.4212500000001</v>
      </c>
      <c r="DP46" s="17">
        <f>DO46*VLOOKUP('Données projet'!$B$14,Paramètres!$A$1:$I$89,3,0)*VLOOKUP('Données projet'!$B$14,Paramètres!$A$1:$I$89,5,0)</f>
        <v>117.10034700000008</v>
      </c>
      <c r="DQ46" s="13">
        <f t="shared" si="43"/>
        <v>30.997743089027207</v>
      </c>
      <c r="DR46" s="20">
        <f t="shared" si="16"/>
        <v>257.93750690505584</v>
      </c>
      <c r="DS46" s="59">
        <f t="shared" si="17"/>
        <v>532.26629341695264</v>
      </c>
      <c r="DT46" s="59">
        <f ca="1">AVERAGE(OFFSET($DS$3,0,0,'Données projet'!$E$14+1,1))-AVERAGE(OFFSET($H$3,0,0,'Données projet'!$E$14+1,1))</f>
        <v>602.02351907077332</v>
      </c>
      <c r="DU46" s="59">
        <f t="shared" si="44"/>
        <v>278.08067690827272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5.4660402064376861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5.4660402064376861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64.816941775971856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64.816941775971856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64.816941775971856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64.816941775971856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2.2000000000000002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8.0666666666666682</v>
      </c>
      <c r="H47" s="67">
        <f t="shared" si="1"/>
        <v>224.4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64.906856248576489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15.725555555555552</v>
      </c>
      <c r="N47" s="13">
        <f>IF('Données projet'!$A$36&gt;35,N46+M47-V46,IF(A47&lt;'Données projet'!$A$36,$K$205^A47,IF(A47='Données projet'!$A$36,'Données projet'!$B$36,N46+M47-V46)))</f>
        <v>275.58666666666682</v>
      </c>
      <c r="O47" s="13">
        <f>N47*VLOOKUP('Données projet'!$B$9,Paramètres!$A$1:$I$89,3,0)*VLOOKUP('Données projet'!$B$9,Paramètres!$A$1:$I$89,5,0)</f>
        <v>164.80082666666678</v>
      </c>
      <c r="P47" s="13">
        <f t="shared" si="33"/>
        <v>41.923485083367801</v>
      </c>
      <c r="Q47" s="20">
        <f t="shared" si="53"/>
        <v>360.04484296464358</v>
      </c>
      <c r="R47" s="59">
        <f t="shared" si="0"/>
        <v>634.70331587609076</v>
      </c>
      <c r="S47" s="59">
        <f ca="1">AVERAGE(OFFSET($R$3,0,0,'Données projet'!$E$9+1,1))-AVERAGE(OFFSET($H$3,0,0,'Données projet'!$E$9+1,1))</f>
        <v>360.09035401555587</v>
      </c>
      <c r="T47" s="59">
        <f t="shared" si="34"/>
        <v>266.54879627869821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13.795705124258543</v>
      </c>
      <c r="AA47" s="21">
        <f>EXP(-LN(2)/25)*AA46+(1-EXP(-LN(2)/25))/(LN(2)/25)*Calculateur!V47*Calculateur!X47*VLOOKUP('Données projet'!$B$9,Paramètres!$A$1:$I$89,3,0)*0.475*44/12</f>
        <v>33.225832405982246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47.021537530240792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64.906856248576489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8.9585714285714282</v>
      </c>
      <c r="AI47" s="13">
        <f>IF('Données projet'!$A$62&gt;35,AI46+AH47-AQ46,IF(A47&lt;'Données projet'!$A$62,$AF$205^A47,IF(A47='Données projet'!$A$62,'Données projet'!$B$62,AI46+AH47-AQ46)))</f>
        <v>129.50142857142856</v>
      </c>
      <c r="AJ47" s="13">
        <f>AI47*VLOOKUP('Données projet'!$B$10,Paramètres!$A$1:$I$89,3,0)*VLOOKUP('Données projet'!$B$10,Paramètres!$A$1:$I$89,5,0)</f>
        <v>109.09200342857145</v>
      </c>
      <c r="AK47" s="13">
        <f t="shared" si="35"/>
        <v>29.116950405918221</v>
      </c>
      <c r="AL47" s="20">
        <f t="shared" si="4"/>
        <v>240.7139279284028</v>
      </c>
      <c r="AM47" s="59">
        <f t="shared" si="5"/>
        <v>515.37240083984989</v>
      </c>
      <c r="AN47" s="59">
        <f ca="1">AVERAGE(OFFSET($AM$3,0,0,'Données projet'!$E$10+1,1))-AVERAGE(OFFSET($H$3,0,0,'Données projet'!$E$10+1,1))</f>
        <v>377.26246345103175</v>
      </c>
      <c r="AO47" s="59">
        <f t="shared" si="36"/>
        <v>258.25890564000258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64.906856248576489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27.068333333333328</v>
      </c>
      <c r="BD47" s="12">
        <f>IF('Données projet'!$A$88&gt;35,BD46+BC47-BL46,IF(A47&lt;'Données projet'!$A$88,$BA$205^A47,IF(A47='Données projet'!$A$88,'Données projet'!$B$88,BD46+BC47-BL46)))</f>
        <v>546.77666666666642</v>
      </c>
      <c r="BE47" s="13">
        <f>BD47*VLOOKUP('Données projet'!$B$11,Paramètres!$A$1:$I$89,3,0)*VLOOKUP('Données projet'!$B$11,Paramètres!$A$1:$I$89,5,0)</f>
        <v>241.67528666666661</v>
      </c>
      <c r="BF47" s="13">
        <f t="shared" si="37"/>
        <v>58.799830514755037</v>
      </c>
      <c r="BG47" s="20">
        <f t="shared" si="7"/>
        <v>523.32749575764262</v>
      </c>
      <c r="BH47" s="59">
        <f t="shared" si="8"/>
        <v>797.98596866908974</v>
      </c>
      <c r="BI47" s="59">
        <f ca="1">AVERAGE(OFFSET($BH$3,0,0,'Données projet'!$E$11+1,1))-AVERAGE(OFFSET($H$3,0,0,'Données projet'!$E$11+1,1))</f>
        <v>333.23043896066253</v>
      </c>
      <c r="BJ47" s="59">
        <f t="shared" si="38"/>
        <v>440.63438368668983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14.142118719258171</v>
      </c>
      <c r="BQ47" s="21">
        <f>EXP(-LN(2)/25)*BQ46+(1-EXP(-LN(2)/25))/(LN(2)/25)*Calculateur!BL47*Calculateur!BN47*VLOOKUP('Données projet'!$B$11,Paramètres!$A$1:$I$89,3,0)*0.475*44/12</f>
        <v>74.774654376299281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88.91677309555746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64.906856248576489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9.7345799999999993</v>
      </c>
      <c r="BY47" s="12">
        <f>IF('Données projet'!$A$114&gt;35,BY46+BX47-CG46,IF(A47&lt;'Données projet'!$A$114,$BV$205^A47,IF(A47='Données projet'!$A$114,'Données projet'!$B$114,BY46+BX47-CG46)))</f>
        <v>190.00458000000003</v>
      </c>
      <c r="BZ47" s="13">
        <f>BY47*VLOOKUP('Données projet'!$B$12,Paramètres!$A$1:$I$89,3,0)*VLOOKUP('Données projet'!$B$12,Paramètres!$A$1:$I$89,5,0)</f>
        <v>76.571845740000015</v>
      </c>
      <c r="CA47" s="13">
        <f t="shared" si="39"/>
        <v>21.296858017994381</v>
      </c>
      <c r="CB47" s="20">
        <f t="shared" si="10"/>
        <v>170.45465904517357</v>
      </c>
      <c r="CC47" s="59">
        <f t="shared" si="11"/>
        <v>445.11313195662069</v>
      </c>
      <c r="CD47" s="59">
        <f ca="1">AVERAGE(OFFSET($CC$3,0,0,'Données projet'!$E$12+1,1))-AVERAGE(OFFSET($H$3,0,0,'Données projet'!$E$12+1,1))</f>
        <v>177.34129362526608</v>
      </c>
      <c r="CE47" s="59">
        <f t="shared" si="40"/>
        <v>156.93407673501022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3.4277896470313709</v>
      </c>
      <c r="CL47" s="21">
        <f>EXP(-LN(2)/25)*CL46+(1-EXP(-LN(2)/25))/(LN(2)/25)*Calculateur!CG47*Calculateur!CI47*VLOOKUP('Données projet'!$B$12,Paramètres!$A$1:$I$89,3,0)*0.475*44/12</f>
        <v>18.662501700033907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22.090291347065278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64.906856248576489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7.4</v>
      </c>
      <c r="CT47" s="12">
        <f>IF('Données projet'!$A$140&gt;35,CT46+CS47-DB46,IF(A47&lt;'Données projet'!$A$140,$CQ$205^A47,IF(A47='Données projet'!$A$140,'Données projet'!$B$140,CT46+CS47-DB46)))</f>
        <v>199.60000000000008</v>
      </c>
      <c r="CU47" s="17">
        <f>CT47*VLOOKUP('Données projet'!$B$13,Paramètres!$A$1:$I$89,3,0)*VLOOKUP('Données projet'!$B$13,Paramètres!$A$1:$I$89,5,0)</f>
        <v>130.77792000000005</v>
      </c>
      <c r="CV47" s="13">
        <f t="shared" si="41"/>
        <v>34.176051340149542</v>
      </c>
      <c r="CW47" s="20">
        <f t="shared" si="13"/>
        <v>287.29483341742718</v>
      </c>
      <c r="CX47" s="59">
        <f t="shared" si="14"/>
        <v>561.95330632887431</v>
      </c>
      <c r="CY47" s="59">
        <f ca="1">AVERAGE(OFFSET($CX$3,0,0,'Données projet'!$E$13+1,1))-AVERAGE(OFFSET($H$3,0,0,'Données projet'!$E$13+1,1))</f>
        <v>267.49254683294629</v>
      </c>
      <c r="CZ47" s="59">
        <f t="shared" si="42"/>
        <v>278.02595256967254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64.906856248576489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9.3712500000000034</v>
      </c>
      <c r="DO47" s="12">
        <f>IF('Données projet'!$A$166&gt;35,DO46+DN47-DW46,IF(A47&lt;'Données projet'!$A$166,$DL$205^A47,IF(A47='Données projet'!$A$166,'Données projet'!$B$166,DO46+DN47-DW46)))</f>
        <v>138.7925000000001</v>
      </c>
      <c r="DP47" s="17">
        <f>DO47*VLOOKUP('Données projet'!$B$14,Paramètres!$A$1:$I$89,3,0)*VLOOKUP('Données projet'!$B$14,Paramètres!$A$1:$I$89,5,0)</f>
        <v>125.5794540000001</v>
      </c>
      <c r="DQ47" s="13">
        <f t="shared" si="43"/>
        <v>32.97285338000448</v>
      </c>
      <c r="DR47" s="20">
        <f t="shared" si="16"/>
        <v>276.14526868684135</v>
      </c>
      <c r="DS47" s="59">
        <f t="shared" si="17"/>
        <v>550.80374159828852</v>
      </c>
      <c r="DT47" s="59">
        <f ca="1">AVERAGE(OFFSET($DS$3,0,0,'Données projet'!$E$14+1,1))-AVERAGE(OFFSET($H$3,0,0,'Données projet'!$E$14+1,1))</f>
        <v>602.02351907077332</v>
      </c>
      <c r="DU47" s="59">
        <f t="shared" si="44"/>
        <v>278.08067690827272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5.3588544919447685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5.3588544919447685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64.906856248576489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64.906856248576489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64.906856248576489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64.906856248576489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2.2000000000000002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8.0666666666666682</v>
      </c>
      <c r="H48" s="67">
        <f t="shared" si="1"/>
        <v>224.4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64.995210906100098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15.725555555555552</v>
      </c>
      <c r="N48" s="13">
        <f>IF('Données projet'!$A$36&gt;35,N47+M48-V47,IF(A48&lt;'Données projet'!$A$36,$K$205^A48,IF(A48='Données projet'!$A$36,'Données projet'!$B$36,N47+M48-V47)))</f>
        <v>291.31222222222237</v>
      </c>
      <c r="O48" s="13">
        <f>N48*VLOOKUP('Données projet'!$B$9,Paramètres!$A$1:$I$89,3,0)*VLOOKUP('Données projet'!$B$9,Paramètres!$A$1:$I$89,5,0)</f>
        <v>174.204708888889</v>
      </c>
      <c r="P48" s="13">
        <f t="shared" si="33"/>
        <v>44.030395226989455</v>
      </c>
      <c r="Q48" s="20">
        <f t="shared" si="53"/>
        <v>380.09280633515499</v>
      </c>
      <c r="R48" s="59">
        <f t="shared" si="0"/>
        <v>655.0752463241887</v>
      </c>
      <c r="S48" s="59">
        <f ca="1">AVERAGE(OFFSET($R$3,0,0,'Données projet'!$E$9+1,1))-AVERAGE(OFFSET($H$3,0,0,'Données projet'!$E$9+1,1))</f>
        <v>360.09035401555587</v>
      </c>
      <c r="T48" s="59">
        <f t="shared" si="34"/>
        <v>266.54879627869821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13.525179761321091</v>
      </c>
      <c r="AA48" s="21">
        <f>EXP(-LN(2)/25)*AA47+(1-EXP(-LN(2)/25))/(LN(2)/25)*Calculateur!V48*Calculateur!X48*VLOOKUP('Données projet'!$B$9,Paramètres!$A$1:$I$89,3,0)*0.475*44/12</f>
        <v>32.317270271570074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45.842450032891165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64.995210906100098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138.46</v>
      </c>
      <c r="AG48" s="12">
        <f>VLOOKUP(A48,'Données projet'!$A$61:$I$81,9,0)</f>
        <v>8.9585714285714282</v>
      </c>
      <c r="AH48" s="12">
        <f t="array" ref="AH48">INDEX(AG:AG,MIN(IF(ISNUMBER(AG48:AG244),ROW(AG48:AG244),"")))</f>
        <v>8.9585714285714282</v>
      </c>
      <c r="AI48" s="13">
        <f>IF('Données projet'!$A$62&gt;35,AI47+AH48-AQ47,IF(A48&lt;'Données projet'!$A$62,$AF$205^A48,IF(A48='Données projet'!$A$62,'Données projet'!$B$62,AI47+AH48-AQ47)))</f>
        <v>138.45999999999998</v>
      </c>
      <c r="AJ48" s="13">
        <f>AI48*VLOOKUP('Données projet'!$B$10,Paramètres!$A$1:$I$89,3,0)*VLOOKUP('Données projet'!$B$10,Paramètres!$A$1:$I$89,5,0)</f>
        <v>116.638704</v>
      </c>
      <c r="AK48" s="13">
        <f t="shared" si="35"/>
        <v>30.889740632339958</v>
      </c>
      <c r="AL48" s="20">
        <f t="shared" si="4"/>
        <v>256.94537440132541</v>
      </c>
      <c r="AM48" s="59">
        <f t="shared" si="5"/>
        <v>531.92781439035912</v>
      </c>
      <c r="AN48" s="59">
        <f ca="1">AVERAGE(OFFSET($AM$3,0,0,'Données projet'!$E$10+1,1))-AVERAGE(OFFSET($H$3,0,0,'Données projet'!$E$10+1,1))</f>
        <v>377.26246345103175</v>
      </c>
      <c r="AO48" s="59">
        <f t="shared" si="36"/>
        <v>258.25890564000258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39.119999999999997</v>
      </c>
      <c r="AR48" s="16">
        <f>IF(ISNA(VLOOKUP(A48,'Données projet'!$A$61:$I$81,5,0)),0%,VLOOKUP(A48,'Données projet'!$A$61:$I$81,5,0)*VLOOKUP('Données projet'!$B$10,Paramètres!$A$1:$I$89,7,0))</f>
        <v>0.129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4.6995256571467445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4.6995256571467445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64.995210906100098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27.068333333333328</v>
      </c>
      <c r="BD48" s="12">
        <f>IF('Données projet'!$A$88&gt;35,BD47+BC48-BL47,IF(A48&lt;'Données projet'!$A$88,$BA$205^A48,IF(A48='Données projet'!$A$88,'Données projet'!$B$88,BD47+BC48-BL47)))</f>
        <v>573.8449999999998</v>
      </c>
      <c r="BE48" s="13">
        <f>BD48*VLOOKUP('Données projet'!$B$11,Paramètres!$A$1:$I$89,3,0)*VLOOKUP('Données projet'!$B$11,Paramètres!$A$1:$I$89,5,0)</f>
        <v>253.63948999999994</v>
      </c>
      <c r="BF48" s="13">
        <f t="shared" si="37"/>
        <v>61.364626093451839</v>
      </c>
      <c r="BG48" s="20">
        <f t="shared" si="7"/>
        <v>548.63216886276189</v>
      </c>
      <c r="BH48" s="59">
        <f t="shared" si="8"/>
        <v>823.61460885179554</v>
      </c>
      <c r="BI48" s="59">
        <f ca="1">AVERAGE(OFFSET($BH$3,0,0,'Données projet'!$E$11+1,1))-AVERAGE(OFFSET($H$3,0,0,'Données projet'!$E$11+1,1))</f>
        <v>333.23043896066253</v>
      </c>
      <c r="BJ48" s="59">
        <f t="shared" si="38"/>
        <v>440.63438368668983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13.864800397014207</v>
      </c>
      <c r="BQ48" s="21">
        <f>EXP(-LN(2)/25)*BQ47+(1-EXP(-LN(2)/25))/(LN(2)/25)*Calculateur!BL48*Calculateur!BN48*VLOOKUP('Données projet'!$B$11,Paramètres!$A$1:$I$89,3,0)*0.475*44/12</f>
        <v>72.729937520151211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86.594737917165418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64.995210906100098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199.73916000000003</v>
      </c>
      <c r="BW48" s="12">
        <f>VLOOKUP(A48,'Données projet'!$A$113:$I$133,9,0)</f>
        <v>9.7345799999999993</v>
      </c>
      <c r="BX48" s="12">
        <f t="array" ref="BX48">INDEX(BW:BW,MIN(IF(ISNUMBER(BW48:BW244),ROW(BW48:BW244),"")))</f>
        <v>9.7345799999999993</v>
      </c>
      <c r="BY48" s="12">
        <f>IF('Données projet'!$A$114&gt;35,BY47+BX48-CG47,IF(A48&lt;'Données projet'!$A$114,$BV$205^A48,IF(A48='Données projet'!$A$114,'Données projet'!$B$114,BY47+BX48-CG47)))</f>
        <v>199.73916000000003</v>
      </c>
      <c r="BZ48" s="13">
        <f>BY48*VLOOKUP('Données projet'!$B$12,Paramètres!$A$1:$I$89,3,0)*VLOOKUP('Données projet'!$B$12,Paramètres!$A$1:$I$89,5,0)</f>
        <v>80.494881480000018</v>
      </c>
      <c r="CA48" s="13">
        <f t="shared" si="39"/>
        <v>22.258141759646072</v>
      </c>
      <c r="CB48" s="20">
        <f t="shared" si="10"/>
        <v>178.96151547571696</v>
      </c>
      <c r="CC48" s="59">
        <f t="shared" si="11"/>
        <v>453.94395546475067</v>
      </c>
      <c r="CD48" s="59">
        <f ca="1">AVERAGE(OFFSET($CC$3,0,0,'Données projet'!$E$12+1,1))-AVERAGE(OFFSET($H$3,0,0,'Données projet'!$E$12+1,1))</f>
        <v>177.34129362526608</v>
      </c>
      <c r="CE48" s="59">
        <f t="shared" si="40"/>
        <v>156.93407673501022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25.237800000000004</v>
      </c>
      <c r="CH48" s="16">
        <f>IF(ISNA(VLOOKUP(A48,'Données projet'!$A$113:$I$133,5,0)),0%,VLOOKUP(A48,'Données projet'!$A$113:$I$133,5,0)*VLOOKUP('Données projet'!$B$12,Paramètres!$A$1:$I$89,7,0))</f>
        <v>0.27500000000000002</v>
      </c>
      <c r="CI48" s="16">
        <f>IF(ISNA(VLOOKUP(A48,'Données projet'!$A$113:$I$133,6,0)),0%,VLOOKUP(A48,'Données projet'!$A$113:$I$133,6,0)*VLOOKUP('Données projet'!$B$12,Paramètres!$A$1:$I$89,7,0))</f>
        <v>0.27500000000000002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7.0709459522235818</v>
      </c>
      <c r="CL48" s="21">
        <f>EXP(-LN(2)/25)*CL47+(1-EXP(-LN(2)/25))/(LN(2)/25)*Calculateur!CG48*Calculateur!CI48*VLOOKUP('Données projet'!$B$12,Paramètres!$A$1:$I$89,3,0)*0.475*44/12</f>
        <v>21.847938626122382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28.918884578345963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64.995210906100098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207</v>
      </c>
      <c r="CR48" s="12">
        <f>VLOOKUP(A48,'Données projet'!$A$139:$I$159,9,0)</f>
        <v>7.4</v>
      </c>
      <c r="CS48" s="12">
        <f t="array" ref="CS48">INDEX(CR:CR,MIN(IF(ISNUMBER(CR48:CR244),ROW(CR48:CR244),"")))</f>
        <v>7.4</v>
      </c>
      <c r="CT48" s="12">
        <f>IF('Données projet'!$A$140&gt;35,CT47+CS48-DB47,IF(A48&lt;'Données projet'!$A$140,$CQ$205^A48,IF(A48='Données projet'!$A$140,'Données projet'!$B$140,CT47+CS48-DB47)))</f>
        <v>207.00000000000009</v>
      </c>
      <c r="CU48" s="17">
        <f>CT48*VLOOKUP('Données projet'!$B$13,Paramètres!$A$1:$I$89,3,0)*VLOOKUP('Données projet'!$B$13,Paramètres!$A$1:$I$89,5,0)</f>
        <v>135.62640000000005</v>
      </c>
      <c r="CV48" s="13">
        <f t="shared" si="41"/>
        <v>35.293231938598481</v>
      </c>
      <c r="CW48" s="20">
        <f t="shared" si="13"/>
        <v>297.68502562639242</v>
      </c>
      <c r="CX48" s="59">
        <f t="shared" si="14"/>
        <v>572.66746561542618</v>
      </c>
      <c r="CY48" s="59">
        <f ca="1">AVERAGE(OFFSET($CX$3,0,0,'Données projet'!$E$13+1,1))-AVERAGE(OFFSET($H$3,0,0,'Données projet'!$E$13+1,1))</f>
        <v>267.49254683294629</v>
      </c>
      <c r="CZ48" s="59">
        <f t="shared" si="42"/>
        <v>278.02595256967254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25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2.3358810213607142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2.3358810213607142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64.995210906100098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9.3712500000000034</v>
      </c>
      <c r="DO48" s="12">
        <f>IF('Données projet'!$A$166&gt;35,DO47+DN48-DW47,IF(A48&lt;'Données projet'!$A$166,$DL$205^A48,IF(A48='Données projet'!$A$166,'Données projet'!$B$166,DO47+DN48-DW47)))</f>
        <v>148.16375000000011</v>
      </c>
      <c r="DP48" s="17">
        <f>DO48*VLOOKUP('Données projet'!$B$14,Paramètres!$A$1:$I$89,3,0)*VLOOKUP('Données projet'!$B$14,Paramètres!$A$1:$I$89,5,0)</f>
        <v>134.05856100000008</v>
      </c>
      <c r="DQ48" s="13">
        <f t="shared" si="43"/>
        <v>34.932489097291651</v>
      </c>
      <c r="DR48" s="20">
        <f t="shared" si="16"/>
        <v>294.3260789194498</v>
      </c>
      <c r="DS48" s="59">
        <f t="shared" si="17"/>
        <v>569.30851890848351</v>
      </c>
      <c r="DT48" s="59">
        <f ca="1">AVERAGE(OFFSET($DS$3,0,0,'Données projet'!$E$14+1,1))-AVERAGE(OFFSET($H$3,0,0,'Données projet'!$E$14+1,1))</f>
        <v>602.02351907077332</v>
      </c>
      <c r="DU48" s="59">
        <f t="shared" si="44"/>
        <v>278.08067690827272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5.2537706239362265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5.2537706239362265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64.995210906100098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64.995210906100098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64.995210906100098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64.995210906100098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2.2000000000000002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8.0666666666666682</v>
      </c>
      <c r="H49" s="67">
        <f t="shared" si="1"/>
        <v>224.4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65.082032807847085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15.725555555555552</v>
      </c>
      <c r="N49" s="13">
        <f>IF('Données projet'!$A$36&gt;35,N48+M49-V48,IF(A49&lt;'Données projet'!$A$36,$K$205^A49,IF(A49='Données projet'!$A$36,'Données projet'!$B$36,N48+M49-V48)))</f>
        <v>307.03777777777793</v>
      </c>
      <c r="O49" s="13">
        <f>N49*VLOOKUP('Données projet'!$B$9,Paramètres!$A$1:$I$89,3,0)*VLOOKUP('Données projet'!$B$9,Paramètres!$A$1:$I$89,5,0)</f>
        <v>183.60859111111122</v>
      </c>
      <c r="P49" s="13">
        <f t="shared" si="33"/>
        <v>46.124101377958297</v>
      </c>
      <c r="Q49" s="20">
        <f t="shared" si="53"/>
        <v>400.11777275179605</v>
      </c>
      <c r="R49" s="59">
        <f t="shared" si="0"/>
        <v>675.41855971390203</v>
      </c>
      <c r="S49" s="59">
        <f ca="1">AVERAGE(OFFSET($R$3,0,0,'Données projet'!$E$9+1,1))-AVERAGE(OFFSET($H$3,0,0,'Données projet'!$E$9+1,1))</f>
        <v>360.09035401555587</v>
      </c>
      <c r="T49" s="59">
        <f t="shared" si="34"/>
        <v>266.54879627869821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13.259959235746663</v>
      </c>
      <c r="AA49" s="21">
        <f>EXP(-LN(2)/25)*AA48+(1-EXP(-LN(2)/25))/(LN(2)/25)*Calculateur!V49*Calculateur!X49*VLOOKUP('Données projet'!$B$9,Paramètres!$A$1:$I$89,3,0)*0.475*44/12</f>
        <v>31.433552816502608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44.693512052249275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65.082032807847085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8.9771428571428569</v>
      </c>
      <c r="AI49" s="13">
        <f>IF('Données projet'!$A$62&gt;35,AI48+AH49-AQ48,IF(A49&lt;'Données projet'!$A$62,$AF$205^A49,IF(A49='Données projet'!$A$62,'Données projet'!$B$62,AI48+AH49-AQ48)))</f>
        <v>108.31714285714284</v>
      </c>
      <c r="AJ49" s="13">
        <f>AI49*VLOOKUP('Données projet'!$B$10,Paramètres!$A$1:$I$89,3,0)*VLOOKUP('Données projet'!$B$10,Paramètres!$A$1:$I$89,5,0)</f>
        <v>91.24636114285714</v>
      </c>
      <c r="AK49" s="13">
        <f t="shared" si="35"/>
        <v>24.865576257283283</v>
      </c>
      <c r="AL49" s="20">
        <f t="shared" si="4"/>
        <v>202.22829097191121</v>
      </c>
      <c r="AM49" s="59">
        <f t="shared" si="5"/>
        <v>477.52907793401721</v>
      </c>
      <c r="AN49" s="59">
        <f ca="1">AVERAGE(OFFSET($AM$3,0,0,'Données projet'!$E$10+1,1))-AVERAGE(OFFSET($H$3,0,0,'Données projet'!$E$10+1,1))</f>
        <v>377.26246345103175</v>
      </c>
      <c r="AO49" s="59">
        <f t="shared" si="36"/>
        <v>258.25890564000258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4.6073708254377115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4.6073708254377115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65.082032807847085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27.068333333333328</v>
      </c>
      <c r="BD49" s="12">
        <f>IF('Données projet'!$A$88&gt;35,BD48+BC49-BL48,IF(A49&lt;'Données projet'!$A$88,$BA$205^A49,IF(A49='Données projet'!$A$88,'Données projet'!$B$88,BD48+BC49-BL48)))</f>
        <v>600.91333333333318</v>
      </c>
      <c r="BE49" s="13">
        <f>BD49*VLOOKUP('Données projet'!$B$11,Paramètres!$A$1:$I$89,3,0)*VLOOKUP('Données projet'!$B$11,Paramètres!$A$1:$I$89,5,0)</f>
        <v>265.6036933333333</v>
      </c>
      <c r="BF49" s="13">
        <f t="shared" si="37"/>
        <v>63.915372491057781</v>
      </c>
      <c r="BG49" s="20">
        <f t="shared" si="7"/>
        <v>573.91237297748114</v>
      </c>
      <c r="BH49" s="59">
        <f t="shared" si="8"/>
        <v>849.21315993958706</v>
      </c>
      <c r="BI49" s="59">
        <f ca="1">AVERAGE(OFFSET($BH$3,0,0,'Données projet'!$E$11+1,1))-AVERAGE(OFFSET($H$3,0,0,'Données projet'!$E$11+1,1))</f>
        <v>333.23043896066253</v>
      </c>
      <c r="BJ49" s="59">
        <f t="shared" si="38"/>
        <v>440.63438368668983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13.592920117921972</v>
      </c>
      <c r="BQ49" s="21">
        <f>EXP(-LN(2)/25)*BQ48+(1-EXP(-LN(2)/25))/(LN(2)/25)*Calculateur!BL49*Calculateur!BN49*VLOOKUP('Données projet'!$B$11,Paramètres!$A$1:$I$89,3,0)*0.475*44/12</f>
        <v>70.74113355396149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84.334053671883467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65.082032807847085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9.1577159999999989</v>
      </c>
      <c r="BY49" s="12">
        <f>IF('Données projet'!$A$114&gt;35,BY48+BX49-CG48,IF(A49&lt;'Données projet'!$A$114,$BV$205^A49,IF(A49='Données projet'!$A$114,'Données projet'!$B$114,BY48+BX49-CG48)))</f>
        <v>183.65907600000003</v>
      </c>
      <c r="BZ49" s="13">
        <f>BY49*VLOOKUP('Données projet'!$B$12,Paramètres!$A$1:$I$89,3,0)*VLOOKUP('Données projet'!$B$12,Paramètres!$A$1:$I$89,5,0)</f>
        <v>74.014607628000007</v>
      </c>
      <c r="CA49" s="13">
        <f t="shared" si="39"/>
        <v>20.667167338008888</v>
      </c>
      <c r="CB49" s="20">
        <f t="shared" si="10"/>
        <v>164.90409139913217</v>
      </c>
      <c r="CC49" s="59">
        <f t="shared" si="11"/>
        <v>440.20487836123812</v>
      </c>
      <c r="CD49" s="59">
        <f ca="1">AVERAGE(OFFSET($CC$3,0,0,'Données projet'!$E$12+1,1))-AVERAGE(OFFSET($H$3,0,0,'Données projet'!$E$12+1,1))</f>
        <v>177.34129362526608</v>
      </c>
      <c r="CE49" s="59">
        <f t="shared" si="40"/>
        <v>156.93407673501022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6.9322890149516496</v>
      </c>
      <c r="CL49" s="21">
        <f>EXP(-LN(2)/25)*CL48+(1-EXP(-LN(2)/25))/(LN(2)/25)*Calculateur!CG49*Calculateur!CI49*VLOOKUP('Données projet'!$B$12,Paramètres!$A$1:$I$89,3,0)*0.475*44/12</f>
        <v>21.250505595457906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28.182794610409555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65.082032807847085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6.6</v>
      </c>
      <c r="CT49" s="12">
        <f>IF('Données projet'!$A$140&gt;35,CT48+CS49-DB48,IF(A49&lt;'Données projet'!$A$140,$CQ$205^A49,IF(A49='Données projet'!$A$140,'Données projet'!$B$140,CT48+CS49-DB48)))</f>
        <v>188.60000000000008</v>
      </c>
      <c r="CU49" s="17">
        <f>CT49*VLOOKUP('Données projet'!$B$13,Paramètres!$A$1:$I$89,3,0)*VLOOKUP('Données projet'!$B$13,Paramètres!$A$1:$I$89,5,0)</f>
        <v>123.57072000000005</v>
      </c>
      <c r="CV49" s="13">
        <f t="shared" si="41"/>
        <v>32.506384557027701</v>
      </c>
      <c r="CW49" s="20">
        <f t="shared" si="13"/>
        <v>271.83429043682332</v>
      </c>
      <c r="CX49" s="59">
        <f t="shared" si="14"/>
        <v>547.1350773989293</v>
      </c>
      <c r="CY49" s="59">
        <f ca="1">AVERAGE(OFFSET($CX$3,0,0,'Données projet'!$E$13+1,1))-AVERAGE(OFFSET($H$3,0,0,'Données projet'!$E$13+1,1))</f>
        <v>267.49254683294629</v>
      </c>
      <c r="CZ49" s="59">
        <f t="shared" si="42"/>
        <v>278.02595256967254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2.2900758192785715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2.2900758192785715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65.082032807847085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9.3712500000000034</v>
      </c>
      <c r="DO49" s="12">
        <f>IF('Données projet'!$A$166&gt;35,DO48+DN49-DW48,IF(A49&lt;'Données projet'!$A$166,$DL$205^A49,IF(A49='Données projet'!$A$166,'Données projet'!$B$166,DO48+DN49-DW48)))</f>
        <v>157.53500000000011</v>
      </c>
      <c r="DP49" s="17">
        <f>DO49*VLOOKUP('Données projet'!$B$14,Paramètres!$A$1:$I$89,3,0)*VLOOKUP('Données projet'!$B$14,Paramètres!$A$1:$I$89,5,0)</f>
        <v>142.53766800000008</v>
      </c>
      <c r="DQ49" s="13">
        <f t="shared" si="43"/>
        <v>36.877740410345027</v>
      </c>
      <c r="DR49" s="20">
        <f t="shared" si="16"/>
        <v>312.48183631468436</v>
      </c>
      <c r="DS49" s="59">
        <f t="shared" si="17"/>
        <v>587.78262327679033</v>
      </c>
      <c r="DT49" s="59">
        <f ca="1">AVERAGE(OFFSET($DS$3,0,0,'Données projet'!$E$14+1,1))-AVERAGE(OFFSET($H$3,0,0,'Données projet'!$E$14+1,1))</f>
        <v>602.02351907077332</v>
      </c>
      <c r="DU49" s="59">
        <f t="shared" si="44"/>
        <v>278.08067690827272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5.1507473864845013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5.1507473864845013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65.082032807847085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65.082032807847085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65.082032807847085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65.082032807847085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2.2000000000000002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8.0666666666666682</v>
      </c>
      <c r="H50" s="67">
        <f t="shared" si="1"/>
        <v>224.4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65.167348543703454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15.725555555555552</v>
      </c>
      <c r="N50" s="13">
        <f>IF('Données projet'!$A$36&gt;35,N49+M50-V49,IF(A50&lt;'Données projet'!$A$36,$K$205^A50,IF(A50='Données projet'!$A$36,'Données projet'!$B$36,N49+M50-V49)))</f>
        <v>322.76333333333349</v>
      </c>
      <c r="O50" s="13">
        <f>N50*VLOOKUP('Données projet'!$B$9,Paramètres!$A$1:$I$89,3,0)*VLOOKUP('Données projet'!$B$9,Paramètres!$A$1:$I$89,5,0)</f>
        <v>193.01247333333347</v>
      </c>
      <c r="P50" s="13">
        <f t="shared" si="33"/>
        <v>48.205356952003704</v>
      </c>
      <c r="Q50" s="20">
        <f t="shared" si="53"/>
        <v>420.12105441362888</v>
      </c>
      <c r="R50" s="59">
        <f t="shared" si="0"/>
        <v>695.73466574054157</v>
      </c>
      <c r="S50" s="59">
        <f ca="1">AVERAGE(OFFSET($R$3,0,0,'Données projet'!$E$9+1,1))-AVERAGE(OFFSET($H$3,0,0,'Données projet'!$E$9+1,1))</f>
        <v>360.09035401555587</v>
      </c>
      <c r="T50" s="59">
        <f t="shared" si="34"/>
        <v>266.54879627869821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12.999939522910203</v>
      </c>
      <c r="AA50" s="21">
        <f>EXP(-LN(2)/25)*AA49+(1-EXP(-LN(2)/25))/(LN(2)/25)*Calculateur!V50*Calculateur!X50*VLOOKUP('Données projet'!$B$9,Paramètres!$A$1:$I$89,3,0)*0.475*44/12</f>
        <v>30.574000661716646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43.573940184626849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65.167348543703454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8.9771428571428569</v>
      </c>
      <c r="AI50" s="13">
        <f>IF('Données projet'!$A$62&gt;35,AI49+AH50-AQ49,IF(A50&lt;'Données projet'!$A$62,$AF$205^A50,IF(A50='Données projet'!$A$62,'Données projet'!$B$62,AI49+AH50-AQ49)))</f>
        <v>117.29428571428569</v>
      </c>
      <c r="AJ50" s="13">
        <f>AI50*VLOOKUP('Données projet'!$B$10,Paramètres!$A$1:$I$89,3,0)*VLOOKUP('Données projet'!$B$10,Paramètres!$A$1:$I$89,5,0)</f>
        <v>98.80870628571428</v>
      </c>
      <c r="AK50" s="13">
        <f t="shared" si="35"/>
        <v>26.677990596244378</v>
      </c>
      <c r="AL50" s="20">
        <f t="shared" si="4"/>
        <v>218.55599706941132</v>
      </c>
      <c r="AM50" s="59">
        <f t="shared" si="5"/>
        <v>494.16960839632401</v>
      </c>
      <c r="AN50" s="59">
        <f ca="1">AVERAGE(OFFSET($AM$3,0,0,'Données projet'!$E$10+1,1))-AVERAGE(OFFSET($H$3,0,0,'Données projet'!$E$10+1,1))</f>
        <v>377.26246345103175</v>
      </c>
      <c r="AO50" s="59">
        <f t="shared" si="36"/>
        <v>258.25890564000258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4.5170230937695957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4.5170230937695957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65.167348543703454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27.068333333333328</v>
      </c>
      <c r="BD50" s="12">
        <f>IF('Données projet'!$A$88&gt;35,BD49+BC50-BL49,IF(A50&lt;'Données projet'!$A$88,$BA$205^A50,IF(A50='Données projet'!$A$88,'Données projet'!$B$88,BD49+BC50-BL49)))</f>
        <v>627.98166666666657</v>
      </c>
      <c r="BE50" s="13">
        <f>BD50*VLOOKUP('Données projet'!$B$11,Paramètres!$A$1:$I$89,3,0)*VLOOKUP('Données projet'!$B$11,Paramètres!$A$1:$I$89,5,0)</f>
        <v>277.56789666666663</v>
      </c>
      <c r="BF50" s="13">
        <f t="shared" si="37"/>
        <v>66.452774859358669</v>
      </c>
      <c r="BG50" s="20">
        <f t="shared" si="7"/>
        <v>599.16933624116075</v>
      </c>
      <c r="BH50" s="59">
        <f t="shared" si="8"/>
        <v>874.7829475680735</v>
      </c>
      <c r="BI50" s="59">
        <f ca="1">AVERAGE(OFFSET($BH$3,0,0,'Données projet'!$E$11+1,1))-AVERAGE(OFFSET($H$3,0,0,'Données projet'!$E$11+1,1))</f>
        <v>333.23043896066253</v>
      </c>
      <c r="BJ50" s="59">
        <f t="shared" si="38"/>
        <v>440.63438368668983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13.326371245272139</v>
      </c>
      <c r="BQ50" s="21">
        <f>EXP(-LN(2)/25)*BQ49+(1-EXP(-LN(2)/25))/(LN(2)/25)*Calculateur!BL50*Calculateur!BN50*VLOOKUP('Données projet'!$B$11,Paramètres!$A$1:$I$89,3,0)*0.475*44/12</f>
        <v>68.806713536813874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82.133084782086016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65.167348543703454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9.1577159999999989</v>
      </c>
      <c r="BY50" s="12">
        <f>IF('Données projet'!$A$114&gt;35,BY49+BX50-CG49,IF(A50&lt;'Données projet'!$A$114,$BV$205^A50,IF(A50='Données projet'!$A$114,'Données projet'!$B$114,BY49+BX50-CG49)))</f>
        <v>192.81679200000002</v>
      </c>
      <c r="BZ50" s="13">
        <f>BY50*VLOOKUP('Données projet'!$B$12,Paramètres!$A$1:$I$89,3,0)*VLOOKUP('Données projet'!$B$12,Paramètres!$A$1:$I$89,5,0)</f>
        <v>77.705167176000003</v>
      </c>
      <c r="CA50" s="13">
        <f t="shared" si="39"/>
        <v>21.575138669980991</v>
      </c>
      <c r="CB50" s="20">
        <f t="shared" si="10"/>
        <v>172.9131993484169</v>
      </c>
      <c r="CC50" s="59">
        <f t="shared" si="11"/>
        <v>448.52681067532956</v>
      </c>
      <c r="CD50" s="59">
        <f ca="1">AVERAGE(OFFSET($CC$3,0,0,'Données projet'!$E$12+1,1))-AVERAGE(OFFSET($H$3,0,0,'Données projet'!$E$12+1,1))</f>
        <v>177.34129362526608</v>
      </c>
      <c r="CE50" s="59">
        <f t="shared" si="40"/>
        <v>156.93407673501022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6.7963510556472393</v>
      </c>
      <c r="CL50" s="21">
        <f>EXP(-LN(2)/25)*CL49+(1-EXP(-LN(2)/25))/(LN(2)/25)*Calculateur!CG50*Calculateur!CI50*VLOOKUP('Données projet'!$B$12,Paramètres!$A$1:$I$89,3,0)*0.475*44/12</f>
        <v>20.669409402434589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27.465760458081828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65.167348543703454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6.6</v>
      </c>
      <c r="CT50" s="12">
        <f>IF('Données projet'!$A$140&gt;35,CT49+CS50-DB49,IF(A50&lt;'Données projet'!$A$140,$CQ$205^A50,IF(A50='Données projet'!$A$140,'Données projet'!$B$140,CT49+CS50-DB49)))</f>
        <v>195.20000000000007</v>
      </c>
      <c r="CU50" s="17">
        <f>CT50*VLOOKUP('Données projet'!$B$13,Paramètres!$A$1:$I$89,3,0)*VLOOKUP('Données projet'!$B$13,Paramètres!$A$1:$I$89,5,0)</f>
        <v>127.89504000000004</v>
      </c>
      <c r="CV50" s="13">
        <f t="shared" si="41"/>
        <v>33.509503727991913</v>
      </c>
      <c r="CW50" s="20">
        <f t="shared" si="13"/>
        <v>281.11291365958601</v>
      </c>
      <c r="CX50" s="59">
        <f t="shared" si="14"/>
        <v>556.7265249864987</v>
      </c>
      <c r="CY50" s="59">
        <f ca="1">AVERAGE(OFFSET($CX$3,0,0,'Données projet'!$E$13+1,1))-AVERAGE(OFFSET($H$3,0,0,'Données projet'!$E$13+1,1))</f>
        <v>267.49254683294629</v>
      </c>
      <c r="CZ50" s="59">
        <f t="shared" si="42"/>
        <v>278.02595256967254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2.2451688292708449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2.2451688292708449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65.167348543703454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9.3712500000000034</v>
      </c>
      <c r="DO50" s="12">
        <f>IF('Données projet'!$A$166&gt;35,DO49+DN50-DW49,IF(A50&lt;'Données projet'!$A$166,$DL$205^A50,IF(A50='Données projet'!$A$166,'Données projet'!$B$166,DO49+DN50-DW49)))</f>
        <v>166.90625000000011</v>
      </c>
      <c r="DP50" s="17">
        <f>DO50*VLOOKUP('Données projet'!$B$14,Paramètres!$A$1:$I$89,3,0)*VLOOKUP('Données projet'!$B$14,Paramètres!$A$1:$I$89,5,0)</f>
        <v>151.01677500000011</v>
      </c>
      <c r="DQ50" s="13">
        <f t="shared" si="43"/>
        <v>38.809560459830927</v>
      </c>
      <c r="DR50" s="20">
        <f t="shared" si="16"/>
        <v>330.61420092587235</v>
      </c>
      <c r="DS50" s="59">
        <f t="shared" si="17"/>
        <v>606.22781225278504</v>
      </c>
      <c r="DT50" s="59">
        <f ca="1">AVERAGE(OFFSET($DS$3,0,0,'Données projet'!$E$14+1,1))-AVERAGE(OFFSET($H$3,0,0,'Données projet'!$E$14+1,1))</f>
        <v>602.02351907077332</v>
      </c>
      <c r="DU50" s="59">
        <f t="shared" si="44"/>
        <v>278.08067690827272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5.0497443718812338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5.0497443718812338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65.167348543703454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65.167348543703454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65.167348543703454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65.167348543703454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2.2000000000000002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8.0666666666666682</v>
      </c>
      <c r="H51" s="67">
        <f t="shared" si="1"/>
        <v>224.4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65.251184242280132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15.725555555555552</v>
      </c>
      <c r="N51" s="13">
        <f>IF('Données projet'!$A$36&gt;35,N50+M51-V50,IF(A51&lt;'Données projet'!$A$36,$K$205^A51,IF(A51='Données projet'!$A$36,'Données projet'!$B$36,N50+M51-V50)))</f>
        <v>338.48888888888905</v>
      </c>
      <c r="O51" s="13">
        <f>N51*VLOOKUP('Données projet'!$B$9,Paramètres!$A$1:$I$89,3,0)*VLOOKUP('Données projet'!$B$9,Paramètres!$A$1:$I$89,5,0)</f>
        <v>202.41635555555567</v>
      </c>
      <c r="P51" s="13">
        <f t="shared" si="33"/>
        <v>50.274837801805468</v>
      </c>
      <c r="Q51" s="20">
        <f t="shared" si="53"/>
        <v>440.10382843073722</v>
      </c>
      <c r="R51" s="59">
        <f t="shared" si="0"/>
        <v>716.02483731909774</v>
      </c>
      <c r="S51" s="59">
        <f ca="1">AVERAGE(OFFSET($R$3,0,0,'Données projet'!$E$9+1,1))-AVERAGE(OFFSET($H$3,0,0,'Données projet'!$E$9+1,1))</f>
        <v>360.09035401555587</v>
      </c>
      <c r="T51" s="59">
        <f t="shared" si="34"/>
        <v>266.54879627869821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12.745018638046101</v>
      </c>
      <c r="AA51" s="21">
        <f>EXP(-LN(2)/25)*AA50+(1-EXP(-LN(2)/25))/(LN(2)/25)*Calculateur!V51*Calculateur!X51*VLOOKUP('Données projet'!$B$9,Paramètres!$A$1:$I$89,3,0)*0.475*44/12</f>
        <v>29.737953005805188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42.482971643851286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65.251184242280132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8.9771428571428569</v>
      </c>
      <c r="AI51" s="13">
        <f>IF('Données projet'!$A$62&gt;35,AI50+AH51-AQ50,IF(A51&lt;'Données projet'!$A$62,$AF$205^A51,IF(A51='Données projet'!$A$62,'Données projet'!$B$62,AI50+AH51-AQ50)))</f>
        <v>126.27142857142854</v>
      </c>
      <c r="AJ51" s="13">
        <f>AI51*VLOOKUP('Données projet'!$B$10,Paramètres!$A$1:$I$89,3,0)*VLOOKUP('Données projet'!$B$10,Paramètres!$A$1:$I$89,5,0)</f>
        <v>106.37105142857141</v>
      </c>
      <c r="AK51" s="13">
        <f t="shared" si="35"/>
        <v>28.474313816998091</v>
      </c>
      <c r="AL51" s="20">
        <f t="shared" si="4"/>
        <v>234.85567780270017</v>
      </c>
      <c r="AM51" s="59">
        <f t="shared" si="5"/>
        <v>510.77668669106072</v>
      </c>
      <c r="AN51" s="59">
        <f ca="1">AVERAGE(OFFSET($AM$3,0,0,'Données projet'!$E$10+1,1))-AVERAGE(OFFSET($H$3,0,0,'Données projet'!$E$10+1,1))</f>
        <v>377.26246345103175</v>
      </c>
      <c r="AO51" s="59">
        <f t="shared" si="36"/>
        <v>258.25890564000258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4.4284470260128161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4.4284470260128161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65.251184242280132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655.04999999999995</v>
      </c>
      <c r="BB51" s="12">
        <f>VLOOKUP(A51,'Données projet'!$A$87:$I$107,9,0)</f>
        <v>27.068333333333328</v>
      </c>
      <c r="BC51" s="12">
        <f t="array" ref="BC51">INDEX(BB:BB,MIN(IF(ISNUMBER(BB51:BB247),ROW(BB51:BB247),"")))</f>
        <v>27.068333333333328</v>
      </c>
      <c r="BD51" s="12">
        <f>IF('Données projet'!$A$88&gt;35,BD50+BC51-BL50,IF(A51&lt;'Données projet'!$A$88,$BA$205^A51,IF(A51='Données projet'!$A$88,'Données projet'!$B$88,BD50+BC51-BL50)))</f>
        <v>655.04999999999995</v>
      </c>
      <c r="BE51" s="13">
        <f>BD51*VLOOKUP('Données projet'!$B$11,Paramètres!$A$1:$I$89,3,0)*VLOOKUP('Données projet'!$B$11,Paramètres!$A$1:$I$89,5,0)</f>
        <v>289.53210000000001</v>
      </c>
      <c r="BF51" s="13">
        <f t="shared" si="37"/>
        <v>68.977474122894989</v>
      </c>
      <c r="BG51" s="20">
        <f t="shared" si="7"/>
        <v>624.40417493070879</v>
      </c>
      <c r="BH51" s="59">
        <f t="shared" si="8"/>
        <v>900.32518381906925</v>
      </c>
      <c r="BI51" s="59">
        <f ca="1">AVERAGE(OFFSET($BH$3,0,0,'Données projet'!$E$11+1,1))-AVERAGE(OFFSET($H$3,0,0,'Données projet'!$E$11+1,1))</f>
        <v>333.23043896066253</v>
      </c>
      <c r="BJ51" s="59">
        <f t="shared" si="38"/>
        <v>440.63438368668983</v>
      </c>
      <c r="BK51" s="15">
        <f>IF(ISNA(VLOOKUP(A51,'Données projet'!$A$87:$I$107,3,0)),0,VLOOKUP(A51,'Données projet'!$A$87:$I$107,3,0))</f>
        <v>6</v>
      </c>
      <c r="BL51" s="15">
        <f>IF(ISNA(VLOOKUP(A51,'Données projet'!$A$87:$I$107,4,0)),0,VLOOKUP(A51,'Données projet'!$A$87:$I$107,4,0))</f>
        <v>101.34</v>
      </c>
      <c r="BM51" s="16">
        <f>IF(ISNA(VLOOKUP(A51,'Données projet'!$A$87:$I$107,5,0)),0%,VLOOKUP(A51,'Données projet'!$A$87:$I$107,5,0)*VLOOKUP('Données projet'!$B$11,Paramètres!$A$1:$I$89,7,0))</f>
        <v>0.27500000000000002</v>
      </c>
      <c r="BN51" s="16">
        <f>IF(ISNA(VLOOKUP(A51,'Données projet'!$A$87:$I$107,6,0)),0%,VLOOKUP(A51,'Données projet'!$A$87:$I$107,6,0)*VLOOKUP('Données projet'!$B$11,Paramètres!$A$1:$I$89,7,0))</f>
        <v>0.27500000000000002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29.405507028112446</v>
      </c>
      <c r="BQ51" s="21">
        <f>EXP(-LN(2)/25)*BQ50+(1-EXP(-LN(2)/25))/(LN(2)/25)*Calculateur!BL51*Calculateur!BN51*VLOOKUP('Données projet'!$B$11,Paramètres!$A$1:$I$89,3,0)*0.475*44/12</f>
        <v>83.201309522897944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112.60681655101038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65.251184242280132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9.1577159999999989</v>
      </c>
      <c r="BY51" s="12">
        <f>IF('Données projet'!$A$114&gt;35,BY50+BX51-CG50,IF(A51&lt;'Données projet'!$A$114,$BV$205^A51,IF(A51='Données projet'!$A$114,'Données projet'!$B$114,BY50+BX51-CG50)))</f>
        <v>201.97450800000001</v>
      </c>
      <c r="BZ51" s="13">
        <f>BY51*VLOOKUP('Données projet'!$B$12,Paramètres!$A$1:$I$89,3,0)*VLOOKUP('Données projet'!$B$12,Paramètres!$A$1:$I$89,5,0)</f>
        <v>81.395726723999999</v>
      </c>
      <c r="CA51" s="13">
        <f t="shared" si="39"/>
        <v>22.47810228295803</v>
      </c>
      <c r="CB51" s="20">
        <f t="shared" si="10"/>
        <v>180.91358552045187</v>
      </c>
      <c r="CC51" s="59">
        <f t="shared" si="11"/>
        <v>456.83459440881239</v>
      </c>
      <c r="CD51" s="59">
        <f ca="1">AVERAGE(OFFSET($CC$3,0,0,'Données projet'!$E$12+1,1))-AVERAGE(OFFSET($H$3,0,0,'Données projet'!$E$12+1,1))</f>
        <v>177.34129362526608</v>
      </c>
      <c r="CE51" s="59">
        <f t="shared" si="40"/>
        <v>156.93407673501022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6.6630787568108198</v>
      </c>
      <c r="CL51" s="21">
        <f>EXP(-LN(2)/25)*CL50+(1-EXP(-LN(2)/25))/(LN(2)/25)*Calculateur!CG51*Calculateur!CI51*VLOOKUP('Données projet'!$B$12,Paramètres!$A$1:$I$89,3,0)*0.475*44/12</f>
        <v>20.104203315368014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26.767282072178833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65.251184242280132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6.6</v>
      </c>
      <c r="CT51" s="12">
        <f>IF('Données projet'!$A$140&gt;35,CT50+CS51-DB50,IF(A51&lt;'Données projet'!$A$140,$CQ$205^A51,IF(A51='Données projet'!$A$140,'Données projet'!$B$140,CT50+CS51-DB50)))</f>
        <v>201.80000000000007</v>
      </c>
      <c r="CU51" s="17">
        <f>CT51*VLOOKUP('Données projet'!$B$13,Paramètres!$A$1:$I$89,3,0)*VLOOKUP('Données projet'!$B$13,Paramètres!$A$1:$I$89,5,0)</f>
        <v>132.21936000000005</v>
      </c>
      <c r="CV51" s="13">
        <f t="shared" si="41"/>
        <v>34.508681932648301</v>
      </c>
      <c r="CW51" s="20">
        <f t="shared" si="13"/>
        <v>290.3846730326959</v>
      </c>
      <c r="CX51" s="59">
        <f t="shared" si="14"/>
        <v>566.30568192105648</v>
      </c>
      <c r="CY51" s="59">
        <f ca="1">AVERAGE(OFFSET($CX$3,0,0,'Données projet'!$E$13+1,1))-AVERAGE(OFFSET($H$3,0,0,'Données projet'!$E$13+1,1))</f>
        <v>267.49254683294629</v>
      </c>
      <c r="CZ51" s="59">
        <f t="shared" si="42"/>
        <v>278.02595256967254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2.2011424379466109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2.2011424379466109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65.251184242280132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9.3712500000000034</v>
      </c>
      <c r="DO51" s="12">
        <f>IF('Données projet'!$A$166&gt;35,DO50+DN51-DW50,IF(A51&lt;'Données projet'!$A$166,$DL$205^A51,IF(A51='Données projet'!$A$166,'Données projet'!$B$166,DO50+DN51-DW50)))</f>
        <v>176.27750000000012</v>
      </c>
      <c r="DP51" s="17">
        <f>DO51*VLOOKUP('Données projet'!$B$14,Paramètres!$A$1:$I$89,3,0)*VLOOKUP('Données projet'!$B$14,Paramètres!$A$1:$I$89,5,0)</f>
        <v>159.49588200000008</v>
      </c>
      <c r="DQ51" s="13">
        <f t="shared" si="43"/>
        <v>40.728789309687656</v>
      </c>
      <c r="DR51" s="20">
        <f t="shared" si="16"/>
        <v>348.72463586437283</v>
      </c>
      <c r="DS51" s="59">
        <f t="shared" si="17"/>
        <v>624.64564475273335</v>
      </c>
      <c r="DT51" s="59">
        <f ca="1">AVERAGE(OFFSET($DS$3,0,0,'Données projet'!$E$14+1,1))-AVERAGE(OFFSET($H$3,0,0,'Données projet'!$E$14+1,1))</f>
        <v>602.02351907077332</v>
      </c>
      <c r="DU51" s="59">
        <f t="shared" si="44"/>
        <v>278.08067690827272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4.9507219647885812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4.9507219647885812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65.251184242280132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65.251184242280132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65.251184242280132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65.251184242280132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2.2000000000000002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8.0666666666666682</v>
      </c>
      <c r="H52" s="67">
        <f t="shared" si="1"/>
        <v>224.4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65.333565578915042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15.725555555555552</v>
      </c>
      <c r="N52" s="13">
        <f>IF('Données projet'!$A$36&gt;35,N51+M52-V51,IF(A52&lt;'Données projet'!$A$36,$K$205^A52,IF(A52='Données projet'!$A$36,'Données projet'!$B$36,N51+M52-V51)))</f>
        <v>354.21444444444461</v>
      </c>
      <c r="O52" s="13">
        <f>N52*VLOOKUP('Données projet'!$B$9,Paramètres!$A$1:$I$89,3,0)*VLOOKUP('Données projet'!$B$9,Paramètres!$A$1:$I$89,5,0)</f>
        <v>211.82023777777789</v>
      </c>
      <c r="P52" s="13">
        <f t="shared" si="33"/>
        <v>52.333153433287507</v>
      </c>
      <c r="Q52" s="20">
        <f t="shared" si="53"/>
        <v>460.06715635927225</v>
      </c>
      <c r="R52" s="59">
        <f t="shared" si="0"/>
        <v>736.29023014862742</v>
      </c>
      <c r="S52" s="59">
        <f ca="1">AVERAGE(OFFSET($R$3,0,0,'Données projet'!$E$9+1,1))-AVERAGE(OFFSET($H$3,0,0,'Données projet'!$E$9+1,1))</f>
        <v>360.09035401555587</v>
      </c>
      <c r="T52" s="59">
        <f t="shared" si="34"/>
        <v>266.54879627869821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12.495096596247798</v>
      </c>
      <c r="AA52" s="21">
        <f>EXP(-LN(2)/25)*AA51+(1-EXP(-LN(2)/25))/(LN(2)/25)*Calculateur!V52*Calculateur!X52*VLOOKUP('Données projet'!$B$9,Paramètres!$A$1:$I$89,3,0)*0.475*44/12</f>
        <v>28.924767117010465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41.419863713258266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65.333565578915042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8.9771428571428569</v>
      </c>
      <c r="AI52" s="13">
        <f>IF('Données projet'!$A$62&gt;35,AI51+AH52-AQ51,IF(A52&lt;'Données projet'!$A$62,$AF$205^A52,IF(A52='Données projet'!$A$62,'Données projet'!$B$62,AI51+AH52-AQ51)))</f>
        <v>135.24857142857141</v>
      </c>
      <c r="AJ52" s="13">
        <f>AI52*VLOOKUP('Données projet'!$B$10,Paramètres!$A$1:$I$89,3,0)*VLOOKUP('Données projet'!$B$10,Paramètres!$A$1:$I$89,5,0)</f>
        <v>113.93339657142857</v>
      </c>
      <c r="AK52" s="13">
        <f t="shared" si="35"/>
        <v>30.255820014498838</v>
      </c>
      <c r="AL52" s="20">
        <f t="shared" si="4"/>
        <v>251.12955222049018</v>
      </c>
      <c r="AM52" s="59">
        <f t="shared" si="5"/>
        <v>527.35262600984538</v>
      </c>
      <c r="AN52" s="59">
        <f ca="1">AVERAGE(OFFSET($AM$3,0,0,'Données projet'!$E$10+1,1))-AVERAGE(OFFSET($H$3,0,0,'Données projet'!$E$10+1,1))</f>
        <v>377.26246345103175</v>
      </c>
      <c r="AO52" s="59">
        <f t="shared" si="36"/>
        <v>258.25890564000258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4.3416078809186809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4.3416078809186809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65.333565578915042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25.673333333333346</v>
      </c>
      <c r="BD52" s="12">
        <f>IF('Données projet'!$A$88&gt;35,BD51+BC52-BL51,IF(A52&lt;'Données projet'!$A$88,$BA$205^A52,IF(A52='Données projet'!$A$88,'Données projet'!$B$88,BD51+BC52-BL51)))</f>
        <v>579.38333333333333</v>
      </c>
      <c r="BE52" s="13">
        <f>BD52*VLOOKUP('Données projet'!$B$11,Paramètres!$A$1:$I$89,3,0)*VLOOKUP('Données projet'!$B$11,Paramètres!$A$1:$I$89,5,0)</f>
        <v>256.08743333333337</v>
      </c>
      <c r="BF52" s="13">
        <f t="shared" si="37"/>
        <v>61.887642300951732</v>
      </c>
      <c r="BG52" s="20">
        <f t="shared" si="7"/>
        <v>553.80659006304643</v>
      </c>
      <c r="BH52" s="59">
        <f t="shared" si="8"/>
        <v>830.02966385240165</v>
      </c>
      <c r="BI52" s="59">
        <f ca="1">AVERAGE(OFFSET($BH$3,0,0,'Données projet'!$E$11+1,1))-AVERAGE(OFFSET($H$3,0,0,'Données projet'!$E$11+1,1))</f>
        <v>333.23043896066253</v>
      </c>
      <c r="BJ52" s="59">
        <f t="shared" si="38"/>
        <v>440.63438368668983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28.828882970879455</v>
      </c>
      <c r="BQ52" s="21">
        <f>EXP(-LN(2)/25)*BQ51+(1-EXP(-LN(2)/25))/(LN(2)/25)*Calculateur!BL52*Calculateur!BN52*VLOOKUP('Données projet'!$B$11,Paramètres!$A$1:$I$89,3,0)*0.475*44/12</f>
        <v>80.926165338627584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109.75504830950703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65.333565578915042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9.1577159999999989</v>
      </c>
      <c r="BY52" s="12">
        <f>IF('Données projet'!$A$114&gt;35,BY51+BX52-CG51,IF(A52&lt;'Données projet'!$A$114,$BV$205^A52,IF(A52='Données projet'!$A$114,'Données projet'!$B$114,BY51+BX52-CG51)))</f>
        <v>211.13222400000001</v>
      </c>
      <c r="BZ52" s="13">
        <f>BY52*VLOOKUP('Données projet'!$B$12,Paramètres!$A$1:$I$89,3,0)*VLOOKUP('Données projet'!$B$12,Paramètres!$A$1:$I$89,5,0)</f>
        <v>85.086286272000009</v>
      </c>
      <c r="CA52" s="13">
        <f t="shared" si="39"/>
        <v>23.376311170240662</v>
      </c>
      <c r="CB52" s="20">
        <f t="shared" si="10"/>
        <v>188.90569054523584</v>
      </c>
      <c r="CC52" s="59">
        <f t="shared" si="11"/>
        <v>465.12876433459098</v>
      </c>
      <c r="CD52" s="59">
        <f ca="1">AVERAGE(OFFSET($CC$3,0,0,'Données projet'!$E$12+1,1))-AVERAGE(OFFSET($H$3,0,0,'Données projet'!$E$12+1,1))</f>
        <v>177.34129362526608</v>
      </c>
      <c r="CE52" s="59">
        <f t="shared" si="40"/>
        <v>156.93407673501022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6.5324198464665066</v>
      </c>
      <c r="CL52" s="21">
        <f>EXP(-LN(2)/25)*CL51+(1-EXP(-LN(2)/25))/(LN(2)/25)*Calculateur!CG52*Calculateur!CI52*VLOOKUP('Données projet'!$B$12,Paramètres!$A$1:$I$89,3,0)*0.475*44/12</f>
        <v>19.554452818475173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26.08687266494168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65.333565578915042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6.6</v>
      </c>
      <c r="CT52" s="12">
        <f>IF('Données projet'!$A$140&gt;35,CT51+CS52-DB51,IF(A52&lt;'Données projet'!$A$140,$CQ$205^A52,IF(A52='Données projet'!$A$140,'Données projet'!$B$140,CT51+CS52-DB51)))</f>
        <v>208.40000000000006</v>
      </c>
      <c r="CU52" s="17">
        <f>CT52*VLOOKUP('Données projet'!$B$13,Paramètres!$A$1:$I$89,3,0)*VLOOKUP('Données projet'!$B$13,Paramètres!$A$1:$I$89,5,0)</f>
        <v>136.54368000000002</v>
      </c>
      <c r="CV52" s="13">
        <f t="shared" si="41"/>
        <v>35.504062844328153</v>
      </c>
      <c r="CW52" s="20">
        <f t="shared" si="13"/>
        <v>299.64981878720488</v>
      </c>
      <c r="CX52" s="59">
        <f t="shared" si="14"/>
        <v>575.87289257656005</v>
      </c>
      <c r="CY52" s="59">
        <f ca="1">AVERAGE(OFFSET($CX$3,0,0,'Données projet'!$E$13+1,1))-AVERAGE(OFFSET($H$3,0,0,'Données projet'!$E$13+1,1))</f>
        <v>267.49254683294629</v>
      </c>
      <c r="CZ52" s="59">
        <f t="shared" si="42"/>
        <v>278.02595256967254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2.157979377302798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2.157979377302798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65.333565578915042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9.3712500000000034</v>
      </c>
      <c r="DO52" s="12">
        <f>IF('Données projet'!$A$166&gt;35,DO51+DN52-DW51,IF(A52&lt;'Données projet'!$A$166,$DL$205^A52,IF(A52='Données projet'!$A$166,'Données projet'!$B$166,DO51+DN52-DW51)))</f>
        <v>185.64875000000012</v>
      </c>
      <c r="DP52" s="17">
        <f>DO52*VLOOKUP('Données projet'!$B$14,Paramètres!$A$1:$I$89,3,0)*VLOOKUP('Données projet'!$B$14,Paramètres!$A$1:$I$89,5,0)</f>
        <v>167.97498900000011</v>
      </c>
      <c r="DQ52" s="13">
        <f t="shared" si="43"/>
        <v>42.636172660412917</v>
      </c>
      <c r="DR52" s="20">
        <f t="shared" si="16"/>
        <v>366.81443989188602</v>
      </c>
      <c r="DS52" s="59">
        <f t="shared" si="17"/>
        <v>643.03751368124119</v>
      </c>
      <c r="DT52" s="59">
        <f ca="1">AVERAGE(OFFSET($DS$3,0,0,'Données projet'!$E$14+1,1))-AVERAGE(OFFSET($H$3,0,0,'Données projet'!$E$14+1,1))</f>
        <v>602.02351907077332</v>
      </c>
      <c r="DU52" s="59">
        <f t="shared" si="44"/>
        <v>278.08067690827272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4.853641326701311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4.853641326701311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65.333565578915042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65.333565578915042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65.333565578915042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65.333565578915042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2.2000000000000002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8.0666666666666682</v>
      </c>
      <c r="H53" s="67">
        <f t="shared" si="1"/>
        <v>224.4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65.414517783536411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369.94</v>
      </c>
      <c r="L53" s="12">
        <f>VLOOKUP(A53,'Données projet'!$A$35:$I$55,9,0)</f>
        <v>15.725555555555552</v>
      </c>
      <c r="M53" s="12">
        <f t="array" ref="M53">INDEX(L:L,MIN(IF(ISNUMBER(L53:L249),ROW(L53:L249),"")))</f>
        <v>15.725555555555552</v>
      </c>
      <c r="N53" s="13">
        <f>IF('Données projet'!$A$36&gt;35,N52+M53-V52,IF(A53&lt;'Données projet'!$A$36,$K$205^A53,IF(A53='Données projet'!$A$36,'Données projet'!$B$36,N52+M53-V52)))</f>
        <v>369.94000000000017</v>
      </c>
      <c r="O53" s="13">
        <f>N53*VLOOKUP('Données projet'!$B$9,Paramètres!$A$1:$I$89,3,0)*VLOOKUP('Données projet'!$B$9,Paramètres!$A$1:$I$89,5,0)</f>
        <v>221.22412000000014</v>
      </c>
      <c r="P53" s="13">
        <f t="shared" si="33"/>
        <v>54.380856173847832</v>
      </c>
      <c r="Q53" s="20">
        <f t="shared" si="53"/>
        <v>480.01200016945177</v>
      </c>
      <c r="R53" s="59">
        <f t="shared" si="0"/>
        <v>756.53189870908523</v>
      </c>
      <c r="S53" s="59">
        <f ca="1">AVERAGE(OFFSET($R$3,0,0,'Données projet'!$E$9+1,1))-AVERAGE(OFFSET($H$3,0,0,'Données projet'!$E$9+1,1))</f>
        <v>360.09035401555587</v>
      </c>
      <c r="T53" s="59">
        <f t="shared" si="34"/>
        <v>266.54879627869821</v>
      </c>
      <c r="U53" s="15">
        <f>IF(ISNA(VLOOKUP(A53,'Données projet'!$A$35:$I$55,3,0)),0,VLOOKUP(A53,'Données projet'!$A$35:$I$55,3,0))</f>
        <v>5</v>
      </c>
      <c r="V53" s="15">
        <f>IF(ISNA(VLOOKUP(A53,'Données projet'!$A$35:$I$55,4,0)),0,VLOOKUP(A53,'Données projet'!$A$35:$I$55,4,0))</f>
        <v>70.2</v>
      </c>
      <c r="W53" s="16">
        <f>IF(ISNA(VLOOKUP(A53,'Données projet'!$A$35:$I$55,5,0)),0%,VLOOKUP(A53,'Données projet'!$A$35:$I$55,5,0)*VLOOKUP('Données projet'!$B$9,Paramètres!$A$1:$I$89,7,0))</f>
        <v>0.315</v>
      </c>
      <c r="X53" s="16">
        <f>IF(ISNA(VLOOKUP(A53,'Données projet'!$A$35:$I$55,6,0)),0%,VLOOKUP(A53,'Données projet'!$A$35:$I$55,6,0)*VLOOKUP('Données projet'!$B$9,Paramètres!$A$1:$I$89,7,0))</f>
        <v>0.13500000000000001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29.791998615526225</v>
      </c>
      <c r="AA53" s="21">
        <f>EXP(-LN(2)/25)*AA52+(1-EXP(-LN(2)/25))/(LN(2)/25)*Calculateur!V53*Calculateur!X53*VLOOKUP('Données projet'!$B$9,Paramètres!$A$1:$I$89,3,0)*0.475*44/12</f>
        <v>35.622183841882503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65.414182457408728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65.414517783536411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8.9771428571428569</v>
      </c>
      <c r="AI53" s="13">
        <f>IF('Données projet'!$A$62&gt;35,AI52+AH53-AQ52,IF(A53&lt;'Données projet'!$A$62,$AF$205^A53,IF(A53='Données projet'!$A$62,'Données projet'!$B$62,AI52+AH53-AQ52)))</f>
        <v>144.22571428571428</v>
      </c>
      <c r="AJ53" s="13">
        <f>AI53*VLOOKUP('Données projet'!$B$10,Paramètres!$A$1:$I$89,3,0)*VLOOKUP('Données projet'!$B$10,Paramètres!$A$1:$I$89,5,0)</f>
        <v>121.49574171428571</v>
      </c>
      <c r="AK53" s="13">
        <f t="shared" si="35"/>
        <v>32.02360457917726</v>
      </c>
      <c r="AL53" s="20">
        <f t="shared" si="4"/>
        <v>267.37952812778133</v>
      </c>
      <c r="AM53" s="59">
        <f t="shared" si="5"/>
        <v>543.8994266674149</v>
      </c>
      <c r="AN53" s="59">
        <f ca="1">AVERAGE(OFFSET($AM$3,0,0,'Données projet'!$E$10+1,1))-AVERAGE(OFFSET($H$3,0,0,'Données projet'!$E$10+1,1))</f>
        <v>377.26246345103175</v>
      </c>
      <c r="AO53" s="59">
        <f t="shared" si="36"/>
        <v>258.25890564000258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4.2564715984931931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4.2564715984931931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65.414517783536411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25.673333333333346</v>
      </c>
      <c r="BD53" s="12">
        <f>IF('Données projet'!$A$88&gt;35,BD52+BC53-BL52,IF(A53&lt;'Données projet'!$A$88,$BA$205^A53,IF(A53='Données projet'!$A$88,'Données projet'!$B$88,BD52+BC53-BL52)))</f>
        <v>605.05666666666662</v>
      </c>
      <c r="BE53" s="13">
        <f>BD53*VLOOKUP('Données projet'!$B$11,Paramètres!$A$1:$I$89,3,0)*VLOOKUP('Données projet'!$B$11,Paramètres!$A$1:$I$89,5,0)</f>
        <v>267.43504666666666</v>
      </c>
      <c r="BF53" s="13">
        <f t="shared" si="37"/>
        <v>64.304619421636403</v>
      </c>
      <c r="BG53" s="20">
        <f t="shared" si="7"/>
        <v>577.77991843712778</v>
      </c>
      <c r="BH53" s="59">
        <f t="shared" si="8"/>
        <v>854.29981697676135</v>
      </c>
      <c r="BI53" s="59">
        <f ca="1">AVERAGE(OFFSET($BH$3,0,0,'Données projet'!$E$11+1,1))-AVERAGE(OFFSET($H$3,0,0,'Données projet'!$E$11+1,1))</f>
        <v>333.23043896066253</v>
      </c>
      <c r="BJ53" s="59">
        <f t="shared" si="38"/>
        <v>440.63438368668983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28.263566159702858</v>
      </c>
      <c r="BQ53" s="21">
        <f>EXP(-LN(2)/25)*BQ52+(1-EXP(-LN(2)/25))/(LN(2)/25)*Calculateur!BL53*Calculateur!BN53*VLOOKUP('Données projet'!$B$11,Paramètres!$A$1:$I$89,3,0)*0.475*44/12</f>
        <v>78.713235091720733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106.97680125142359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65.414517783536411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220.28994000000003</v>
      </c>
      <c r="BW53" s="12">
        <f>VLOOKUP(A53,'Données projet'!$A$113:$I$133,9,0)</f>
        <v>9.1577159999999989</v>
      </c>
      <c r="BX53" s="12">
        <f t="array" ref="BX53">INDEX(BW:BW,MIN(IF(ISNUMBER(BW53:BW249),ROW(BW53:BW249),"")))</f>
        <v>9.1577159999999989</v>
      </c>
      <c r="BY53" s="12">
        <f>IF('Données projet'!$A$114&gt;35,BY52+BX53-CG52,IF(A53&lt;'Données projet'!$A$114,$BV$205^A53,IF(A53='Données projet'!$A$114,'Données projet'!$B$114,BY52+BX53-CG52)))</f>
        <v>220.28994</v>
      </c>
      <c r="BZ53" s="13">
        <f>BY53*VLOOKUP('Données projet'!$B$12,Paramètres!$A$1:$I$89,3,0)*VLOOKUP('Données projet'!$B$12,Paramètres!$A$1:$I$89,5,0)</f>
        <v>88.776845820000005</v>
      </c>
      <c r="CA53" s="13">
        <f t="shared" si="39"/>
        <v>24.269995137182189</v>
      </c>
      <c r="CB53" s="20">
        <f t="shared" si="10"/>
        <v>196.88991466709231</v>
      </c>
      <c r="CC53" s="59">
        <f t="shared" si="11"/>
        <v>473.40981320672586</v>
      </c>
      <c r="CD53" s="59">
        <f ca="1">AVERAGE(OFFSET($CC$3,0,0,'Données projet'!$E$12+1,1))-AVERAGE(OFFSET($H$3,0,0,'Données projet'!$E$12+1,1))</f>
        <v>177.34129362526608</v>
      </c>
      <c r="CE53" s="59">
        <f t="shared" si="40"/>
        <v>156.93407673501022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25.237800000000004</v>
      </c>
      <c r="CH53" s="16">
        <f>IF(ISNA(VLOOKUP(A53,'Données projet'!$A$113:$I$133,5,0)),0%,VLOOKUP(A53,'Données projet'!$A$113:$I$133,5,0)*VLOOKUP('Données projet'!$B$12,Paramètres!$A$1:$I$89,7,0))</f>
        <v>0.38500000000000001</v>
      </c>
      <c r="CI53" s="16">
        <f>IF(ISNA(VLOOKUP(A53,'Données projet'!$A$113:$I$133,6,0)),0%,VLOOKUP(A53,'Données projet'!$A$113:$I$133,6,0)*VLOOKUP('Données projet'!$B$12,Paramètres!$A$1:$I$89,7,0))</f>
        <v>0.16500000000000001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11.598845514855336</v>
      </c>
      <c r="CL53" s="21">
        <f>EXP(-LN(2)/25)*CL52+(1-EXP(-LN(2)/25))/(LN(2)/25)*Calculateur!CG53*Calculateur!CI53*VLOOKUP('Données projet'!$B$12,Paramètres!$A$1:$I$89,3,0)*0.475*44/12</f>
        <v>21.237193687726514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32.836039202581851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65.414517783536411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215</v>
      </c>
      <c r="CR53" s="12">
        <f>VLOOKUP(A53,'Données projet'!$A$139:$I$159,9,0)</f>
        <v>6.6</v>
      </c>
      <c r="CS53" s="12">
        <f t="array" ref="CS53">INDEX(CR:CR,MIN(IF(ISNUMBER(CR53:CR249),ROW(CR53:CR249),"")))</f>
        <v>6.6</v>
      </c>
      <c r="CT53" s="12">
        <f>IF('Données projet'!$A$140&gt;35,CT52+CS53-DB52,IF(A53&lt;'Données projet'!$A$140,$CQ$205^A53,IF(A53='Données projet'!$A$140,'Données projet'!$B$140,CT52+CS53-DB52)))</f>
        <v>215.00000000000006</v>
      </c>
      <c r="CU53" s="17">
        <f>CT53*VLOOKUP('Données projet'!$B$13,Paramètres!$A$1:$I$89,3,0)*VLOOKUP('Données projet'!$B$13,Paramètres!$A$1:$I$89,5,0)</f>
        <v>140.86800000000005</v>
      </c>
      <c r="CV53" s="13">
        <f t="shared" si="41"/>
        <v>36.495780519346958</v>
      </c>
      <c r="CW53" s="20">
        <f t="shared" si="13"/>
        <v>308.90858440452939</v>
      </c>
      <c r="CX53" s="59">
        <f t="shared" si="14"/>
        <v>585.42848294416285</v>
      </c>
      <c r="CY53" s="59">
        <f ca="1">AVERAGE(OFFSET($CX$3,0,0,'Données projet'!$E$13+1,1))-AVERAGE(OFFSET($H$3,0,0,'Données projet'!$E$13+1,1))</f>
        <v>267.49254683294629</v>
      </c>
      <c r="CZ53" s="59">
        <f t="shared" si="42"/>
        <v>278.02595256967254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24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4.3581084984576286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4.3581084984576286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65.414517783536411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195.02</v>
      </c>
      <c r="DM53" s="12">
        <f>VLOOKUP(A53,'Données projet'!$A$165:$I$185,9,0)</f>
        <v>9.3712500000000034</v>
      </c>
      <c r="DN53" s="12">
        <f t="array" ref="DN53">INDEX(DM:DM,MIN(IF(ISNUMBER(DM53:DM249),ROW(DM53:DM249),"")))</f>
        <v>9.3712500000000034</v>
      </c>
      <c r="DO53" s="12">
        <f>IF('Données projet'!$A$166&gt;35,DO52+DN53-DW52,IF(A53&lt;'Données projet'!$A$166,$DL$205^A53,IF(A53='Données projet'!$A$166,'Données projet'!$B$166,DO52+DN53-DW52)))</f>
        <v>195.02000000000012</v>
      </c>
      <c r="DP53" s="17">
        <f>DO53*VLOOKUP('Données projet'!$B$14,Paramètres!$A$1:$I$89,3,0)*VLOOKUP('Données projet'!$B$14,Paramètres!$A$1:$I$89,5,0)</f>
        <v>176.45409600000011</v>
      </c>
      <c r="DQ53" s="13">
        <f t="shared" si="43"/>
        <v>44.532376676436577</v>
      </c>
      <c r="DR53" s="20">
        <f t="shared" si="16"/>
        <v>384.88477324479385</v>
      </c>
      <c r="DS53" s="59">
        <f t="shared" si="17"/>
        <v>661.40467178442736</v>
      </c>
      <c r="DT53" s="59">
        <f ca="1">AVERAGE(OFFSET($DS$3,0,0,'Données projet'!$E$14+1,1))-AVERAGE(OFFSET($H$3,0,0,'Données projet'!$E$14+1,1))</f>
        <v>602.02351907077332</v>
      </c>
      <c r="DU53" s="59">
        <f t="shared" si="44"/>
        <v>278.08067690827272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35.58</v>
      </c>
      <c r="DX53" s="16">
        <f>IF(ISNA(VLOOKUP(A53,'Données projet'!$A$165:$I$185,5,0)),0%,VLOOKUP(A53,'Données projet'!$A$165:$I$185,5,0)*VLOOKUP('Données projet'!$B$14,Paramètres!$A$1:$I$89,7,0))</f>
        <v>0.129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9.3493382006381829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9.3493382006381829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65.414517783536411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65.414517783536411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65.414517783536411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65.414517783536411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2.2000000000000002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8.0666666666666682</v>
      </c>
      <c r="H54" s="67">
        <f t="shared" si="1"/>
        <v>224.4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65.494065648389622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14.12</v>
      </c>
      <c r="N54" s="13">
        <f>IF('Données projet'!$A$36&gt;35,N53+M54-V53,IF(A54&lt;'Données projet'!$A$36,$K$205^A54,IF(A54='Données projet'!$A$36,'Données projet'!$B$36,N53+M54-V53)))</f>
        <v>313.86000000000018</v>
      </c>
      <c r="O54" s="13">
        <f>N54*VLOOKUP('Données projet'!$B$9,Paramètres!$A$1:$I$89,3,0)*VLOOKUP('Données projet'!$B$9,Paramètres!$A$1:$I$89,5,0)</f>
        <v>187.68828000000013</v>
      </c>
      <c r="P54" s="13">
        <f t="shared" si="33"/>
        <v>47.028500822168901</v>
      </c>
      <c r="Q54" s="20">
        <f t="shared" si="53"/>
        <v>408.79839326527775</v>
      </c>
      <c r="R54" s="59">
        <f t="shared" si="0"/>
        <v>685.60996730937302</v>
      </c>
      <c r="S54" s="59">
        <f ca="1">AVERAGE(OFFSET($R$3,0,0,'Données projet'!$E$9+1,1))-AVERAGE(OFFSET($H$3,0,0,'Données projet'!$E$9+1,1))</f>
        <v>360.09035401555587</v>
      </c>
      <c r="T54" s="59">
        <f t="shared" si="34"/>
        <v>266.54879627869821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29.207795694000641</v>
      </c>
      <c r="AA54" s="21">
        <f>EXP(-LN(2)/25)*AA53+(1-EXP(-LN(2)/25))/(LN(2)/25)*Calculateur!V54*Calculateur!X54*VLOOKUP('Données projet'!$B$9,Paramètres!$A$1:$I$89,3,0)*0.475*44/12</f>
        <v>34.648093351436991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63.855889045437635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65.494065648389622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8.9771428571428569</v>
      </c>
      <c r="AI54" s="13">
        <f>IF('Données projet'!$A$62&gt;35,AI53+AH54-AQ53,IF(A54&lt;'Données projet'!$A$62,$AF$205^A54,IF(A54='Données projet'!$A$62,'Données projet'!$B$62,AI53+AH54-AQ53)))</f>
        <v>153.20285714285714</v>
      </c>
      <c r="AJ54" s="13">
        <f>AI54*VLOOKUP('Données projet'!$B$10,Paramètres!$A$1:$I$89,3,0)*VLOOKUP('Données projet'!$B$10,Paramètres!$A$1:$I$89,5,0)</f>
        <v>129.05808685714285</v>
      </c>
      <c r="AK54" s="13">
        <f t="shared" si="35"/>
        <v>33.778618832279214</v>
      </c>
      <c r="AL54" s="20">
        <f t="shared" si="4"/>
        <v>283.60726240907678</v>
      </c>
      <c r="AM54" s="59">
        <f t="shared" si="5"/>
        <v>560.41883645317205</v>
      </c>
      <c r="AN54" s="59">
        <f ca="1">AVERAGE(OFFSET($AM$3,0,0,'Données projet'!$E$10+1,1))-AVERAGE(OFFSET($H$3,0,0,'Données projet'!$E$10+1,1))</f>
        <v>377.26246345103175</v>
      </c>
      <c r="AO54" s="59">
        <f t="shared" si="36"/>
        <v>258.25890564000258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4.1730047866380637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4.1730047866380637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65.494065648389622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25.673333333333346</v>
      </c>
      <c r="BD54" s="12">
        <f>IF('Données projet'!$A$88&gt;35,BD53+BC54-BL53,IF(A54&lt;'Données projet'!$A$88,$BA$205^A54,IF(A54='Données projet'!$A$88,'Données projet'!$B$88,BD53+BC54-BL53)))</f>
        <v>630.73</v>
      </c>
      <c r="BE54" s="13">
        <f>BD54*VLOOKUP('Données projet'!$B$11,Paramètres!$A$1:$I$89,3,0)*VLOOKUP('Données projet'!$B$11,Paramètres!$A$1:$I$89,5,0)</f>
        <v>278.78266000000002</v>
      </c>
      <c r="BF54" s="13">
        <f t="shared" si="37"/>
        <v>66.709684744211927</v>
      </c>
      <c r="BG54" s="20">
        <f t="shared" si="7"/>
        <v>601.73250042950247</v>
      </c>
      <c r="BH54" s="59">
        <f t="shared" si="8"/>
        <v>878.54407447359768</v>
      </c>
      <c r="BI54" s="59">
        <f ca="1">AVERAGE(OFFSET($BH$3,0,0,'Données projet'!$E$11+1,1))-AVERAGE(OFFSET($H$3,0,0,'Données projet'!$E$11+1,1))</f>
        <v>333.23043896066253</v>
      </c>
      <c r="BJ54" s="59">
        <f t="shared" si="38"/>
        <v>440.63438368668983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27.709334866384225</v>
      </c>
      <c r="BQ54" s="21">
        <f>EXP(-LN(2)/25)*BQ53+(1-EXP(-LN(2)/25))/(LN(2)/25)*Calculateur!BL54*Calculateur!BN54*VLOOKUP('Données projet'!$B$11,Paramètres!$A$1:$I$89,3,0)*0.475*44/12</f>
        <v>76.560817538788498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104.27015240517272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65.494065648389622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8.6169059999999948</v>
      </c>
      <c r="BY54" s="12">
        <f>IF('Données projet'!$A$114&gt;35,BY53+BX54-CG53,IF(A54&lt;'Données projet'!$A$114,$BV$205^A54,IF(A54='Données projet'!$A$114,'Données projet'!$B$114,BY53+BX54-CG53)))</f>
        <v>203.66904600000001</v>
      </c>
      <c r="BZ54" s="13">
        <f>BY54*VLOOKUP('Données projet'!$B$12,Paramètres!$A$1:$I$89,3,0)*VLOOKUP('Données projet'!$B$12,Paramètres!$A$1:$I$89,5,0)</f>
        <v>82.078625538000011</v>
      </c>
      <c r="CA54" s="13">
        <f t="shared" si="39"/>
        <v>22.644657656882508</v>
      </c>
      <c r="CB54" s="20">
        <f t="shared" si="10"/>
        <v>182.39305156442038</v>
      </c>
      <c r="CC54" s="59">
        <f t="shared" si="11"/>
        <v>459.20462560851564</v>
      </c>
      <c r="CD54" s="59">
        <f ca="1">AVERAGE(OFFSET($CC$3,0,0,'Données projet'!$E$12+1,1))-AVERAGE(OFFSET($H$3,0,0,'Données projet'!$E$12+1,1))</f>
        <v>177.34129362526608</v>
      </c>
      <c r="CE54" s="59">
        <f t="shared" si="40"/>
        <v>156.93407673501022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11.371399228906229</v>
      </c>
      <c r="CL54" s="21">
        <f>EXP(-LN(2)/25)*CL53+(1-EXP(-LN(2)/25))/(LN(2)/25)*Calculateur!CG54*Calculateur!CI54*VLOOKUP('Données projet'!$B$12,Paramètres!$A$1:$I$89,3,0)*0.475*44/12</f>
        <v>20.656461509520152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32.027860738426384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65.494065648389622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6.4</v>
      </c>
      <c r="CT54" s="12">
        <f>IF('Données projet'!$A$140&gt;35,CT53+CS54-DB53,IF(A54&lt;'Données projet'!$A$140,$CQ$205^A54,IF(A54='Données projet'!$A$140,'Données projet'!$B$140,CT53+CS54-DB53)))</f>
        <v>197.40000000000006</v>
      </c>
      <c r="CU54" s="17">
        <f>CT54*VLOOKUP('Données projet'!$B$13,Paramètres!$A$1:$I$89,3,0)*VLOOKUP('Données projet'!$B$13,Paramètres!$A$1:$I$89,5,0)</f>
        <v>129.33648000000005</v>
      </c>
      <c r="CV54" s="13">
        <f t="shared" si="41"/>
        <v>33.84299371090448</v>
      </c>
      <c r="CW54" s="20">
        <f t="shared" si="13"/>
        <v>284.20425004649206</v>
      </c>
      <c r="CX54" s="59">
        <f t="shared" si="14"/>
        <v>561.01582409058733</v>
      </c>
      <c r="CY54" s="59">
        <f ca="1">AVERAGE(OFFSET($CX$3,0,0,'Données projet'!$E$13+1,1))-AVERAGE(OFFSET($H$3,0,0,'Données projet'!$E$13+1,1))</f>
        <v>267.49254683294629</v>
      </c>
      <c r="CZ54" s="59">
        <f t="shared" si="42"/>
        <v>278.02595256967254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4.2726486489865847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4.2726486489865847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65.494065648389622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9.5537500000000009</v>
      </c>
      <c r="DO54" s="12">
        <f>IF('Données projet'!$A$166&gt;35,DO53+DN54-DW53,IF(A54&lt;'Données projet'!$A$166,$DL$205^A54,IF(A54='Données projet'!$A$166,'Données projet'!$B$166,DO53+DN54-DW53)))</f>
        <v>168.99375000000015</v>
      </c>
      <c r="DP54" s="17">
        <f>DO54*VLOOKUP('Données projet'!$B$14,Paramètres!$A$1:$I$89,3,0)*VLOOKUP('Données projet'!$B$14,Paramètres!$A$1:$I$89,5,0)</f>
        <v>152.90554500000013</v>
      </c>
      <c r="DQ54" s="13">
        <f t="shared" si="43"/>
        <v>39.238142074568863</v>
      </c>
      <c r="DR54" s="20">
        <f t="shared" si="16"/>
        <v>334.65025498820768</v>
      </c>
      <c r="DS54" s="59">
        <f t="shared" si="17"/>
        <v>611.46182903230294</v>
      </c>
      <c r="DT54" s="59">
        <f ca="1">AVERAGE(OFFSET($DS$3,0,0,'Données projet'!$E$14+1,1))-AVERAGE(OFFSET($H$3,0,0,'Données projet'!$E$14+1,1))</f>
        <v>602.02351907077332</v>
      </c>
      <c r="DU54" s="59">
        <f t="shared" si="44"/>
        <v>278.08067690827272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9.1660033810568926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9.1660033810568926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65.494065648389622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65.494065648389622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65.494065648389622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65.494065648389622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2.2000000000000002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8.0666666666666682</v>
      </c>
      <c r="H55" s="67">
        <f t="shared" si="1"/>
        <v>224.4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65.572233535630005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14.12</v>
      </c>
      <c r="N55" s="13">
        <f>IF('Données projet'!$A$36&gt;35,N54+M55-V54,IF(A55&lt;'Données projet'!$A$36,$K$205^A55,IF(A55='Données projet'!$A$36,'Données projet'!$B$36,N54+M55-V54)))</f>
        <v>327.98000000000019</v>
      </c>
      <c r="O55" s="13">
        <f>N55*VLOOKUP('Données projet'!$B$9,Paramètres!$A$1:$I$89,3,0)*VLOOKUP('Données projet'!$B$9,Paramètres!$A$1:$I$89,5,0)</f>
        <v>196.13204000000013</v>
      </c>
      <c r="P55" s="13">
        <f t="shared" si="33"/>
        <v>48.893143423385645</v>
      </c>
      <c r="Q55" s="20">
        <f t="shared" si="53"/>
        <v>426.75219446239686</v>
      </c>
      <c r="R55" s="59">
        <f t="shared" si="0"/>
        <v>703.85038409304025</v>
      </c>
      <c r="S55" s="59">
        <f ca="1">AVERAGE(OFFSET($R$3,0,0,'Données projet'!$E$9+1,1))-AVERAGE(OFFSET($H$3,0,0,'Données projet'!$E$9+1,1))</f>
        <v>360.09035401555587</v>
      </c>
      <c r="T55" s="59">
        <f t="shared" si="34"/>
        <v>266.54879627869821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28.635048635437578</v>
      </c>
      <c r="AA55" s="21">
        <f>EXP(-LN(2)/25)*AA54+(1-EXP(-LN(2)/25))/(LN(2)/25)*Calculateur!V55*Calculateur!X55*VLOOKUP('Données projet'!$B$9,Paramètres!$A$1:$I$89,3,0)*0.475*44/12</f>
        <v>33.700639416677909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62.335688052115486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65.572233535630005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162.18</v>
      </c>
      <c r="AG55" s="12">
        <f>VLOOKUP(A55,'Données projet'!$A$61:$I$81,9,0)</f>
        <v>8.9771428571428569</v>
      </c>
      <c r="AH55" s="12">
        <f t="array" ref="AH55">INDEX(AG:AG,MIN(IF(ISNUMBER(AG55:AG251),ROW(AG55:AG251),"")))</f>
        <v>8.9771428571428569</v>
      </c>
      <c r="AI55" s="13">
        <f>IF('Données projet'!$A$62&gt;35,AI54+AH55-AQ54,IF(A55&lt;'Données projet'!$A$62,$AF$205^A55,IF(A55='Données projet'!$A$62,'Données projet'!$B$62,AI54+AH55-AQ54)))</f>
        <v>162.18</v>
      </c>
      <c r="AJ55" s="13">
        <f>AI55*VLOOKUP('Données projet'!$B$10,Paramètres!$A$1:$I$89,3,0)*VLOOKUP('Données projet'!$B$10,Paramètres!$A$1:$I$89,5,0)</f>
        <v>136.62043200000002</v>
      </c>
      <c r="AK55" s="13">
        <f t="shared" si="35"/>
        <v>35.521696309060069</v>
      </c>
      <c r="AL55" s="20">
        <f t="shared" si="4"/>
        <v>299.81420680494631</v>
      </c>
      <c r="AM55" s="59">
        <f t="shared" si="5"/>
        <v>576.9123964355897</v>
      </c>
      <c r="AN55" s="59">
        <f ca="1">AVERAGE(OFFSET($AM$3,0,0,'Données projet'!$E$10+1,1))-AVERAGE(OFFSET($H$3,0,0,'Données projet'!$E$10+1,1))</f>
        <v>377.26246345103175</v>
      </c>
      <c r="AO55" s="59">
        <f t="shared" si="36"/>
        <v>258.25890564000258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40.9</v>
      </c>
      <c r="AR55" s="16">
        <f>IF(ISNA(VLOOKUP(A55,'Données projet'!$A$61:$I$81,5,0)),0%,VLOOKUP(A55,'Données projet'!$A$61:$I$81,5,0)*VLOOKUP('Données projet'!$B$10,Paramètres!$A$1:$I$89,7,0))</f>
        <v>0.129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9.004533587841566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9.004533587841566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65.572233535630005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25.673333333333346</v>
      </c>
      <c r="BD55" s="12">
        <f>IF('Données projet'!$A$88&gt;35,BD54+BC55-BL54,IF(A55&lt;'Données projet'!$A$88,$BA$205^A55,IF(A55='Données projet'!$A$88,'Données projet'!$B$88,BD54+BC55-BL54)))</f>
        <v>656.40333333333342</v>
      </c>
      <c r="BE55" s="13">
        <f>BD55*VLOOKUP('Données projet'!$B$11,Paramètres!$A$1:$I$89,3,0)*VLOOKUP('Données projet'!$B$11,Paramètres!$A$1:$I$89,5,0)</f>
        <v>290.13027333333343</v>
      </c>
      <c r="BF55" s="13">
        <f t="shared" si="37"/>
        <v>69.103378589915536</v>
      </c>
      <c r="BG55" s="20">
        <f t="shared" si="7"/>
        <v>625.66527709965862</v>
      </c>
      <c r="BH55" s="59">
        <f t="shared" si="8"/>
        <v>902.76346673030207</v>
      </c>
      <c r="BI55" s="59">
        <f ca="1">AVERAGE(OFFSET($BH$3,0,0,'Données projet'!$E$11+1,1))-AVERAGE(OFFSET($H$3,0,0,'Données projet'!$E$11+1,1))</f>
        <v>333.23043896066253</v>
      </c>
      <c r="BJ55" s="59">
        <f t="shared" si="38"/>
        <v>440.63438368668983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27.165971710679862</v>
      </c>
      <c r="BQ55" s="21">
        <f>EXP(-LN(2)/25)*BQ54+(1-EXP(-LN(2)/25))/(LN(2)/25)*Calculateur!BL55*Calculateur!BN55*VLOOKUP('Données projet'!$B$11,Paramètres!$A$1:$I$89,3,0)*0.475*44/12</f>
        <v>74.467257957031919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101.63322966771179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65.572233535630005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8.6169059999999948</v>
      </c>
      <c r="BY55" s="12">
        <f>IF('Données projet'!$A$114&gt;35,BY54+BX55-CG54,IF(A55&lt;'Données projet'!$A$114,$BV$205^A55,IF(A55='Données projet'!$A$114,'Données projet'!$B$114,BY54+BX55-CG54)))</f>
        <v>212.28595200000001</v>
      </c>
      <c r="BZ55" s="13">
        <f>BY55*VLOOKUP('Données projet'!$B$12,Paramètres!$A$1:$I$89,3,0)*VLOOKUP('Données projet'!$B$12,Paramètres!$A$1:$I$89,5,0)</f>
        <v>85.55123865600001</v>
      </c>
      <c r="CA55" s="13">
        <f t="shared" si="39"/>
        <v>23.489145885019283</v>
      </c>
      <c r="CB55" s="20">
        <f t="shared" si="10"/>
        <v>189.9120030756086</v>
      </c>
      <c r="CC55" s="59">
        <f t="shared" si="11"/>
        <v>467.01019270625198</v>
      </c>
      <c r="CD55" s="59">
        <f ca="1">AVERAGE(OFFSET($CC$3,0,0,'Données projet'!$E$12+1,1))-AVERAGE(OFFSET($H$3,0,0,'Données projet'!$E$12+1,1))</f>
        <v>177.34129362526608</v>
      </c>
      <c r="CE55" s="59">
        <f t="shared" si="40"/>
        <v>156.93407673501022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11.148413025896048</v>
      </c>
      <c r="CL55" s="21">
        <f>EXP(-LN(2)/25)*CL54+(1-EXP(-LN(2)/25))/(LN(2)/25)*Calculateur!CG55*Calculateur!CI55*VLOOKUP('Données projet'!$B$12,Paramètres!$A$1:$I$89,3,0)*0.475*44/12</f>
        <v>20.091609483266225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31.240022509162273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65.572233535630005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6.4</v>
      </c>
      <c r="CT55" s="12">
        <f>IF('Données projet'!$A$140&gt;35,CT54+CS55-DB54,IF(A55&lt;'Données projet'!$A$140,$CQ$205^A55,IF(A55='Données projet'!$A$140,'Données projet'!$B$140,CT54+CS55-DB54)))</f>
        <v>203.80000000000007</v>
      </c>
      <c r="CU55" s="17">
        <f>CT55*VLOOKUP('Données projet'!$B$13,Paramètres!$A$1:$I$89,3,0)*VLOOKUP('Données projet'!$B$13,Paramètres!$A$1:$I$89,5,0)</f>
        <v>133.52976000000007</v>
      </c>
      <c r="CV55" s="13">
        <f t="shared" si="41"/>
        <v>34.810707184454238</v>
      </c>
      <c r="CW55" s="20">
        <f t="shared" si="13"/>
        <v>293.19298034625791</v>
      </c>
      <c r="CX55" s="59">
        <f t="shared" si="14"/>
        <v>570.2911699769013</v>
      </c>
      <c r="CY55" s="59">
        <f ca="1">AVERAGE(OFFSET($CX$3,0,0,'Données projet'!$E$13+1,1))-AVERAGE(OFFSET($H$3,0,0,'Données projet'!$E$13+1,1))</f>
        <v>267.49254683294629</v>
      </c>
      <c r="CZ55" s="59">
        <f t="shared" si="42"/>
        <v>278.02595256967254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4.1888646150383071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4.1888646150383071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65.572233535630005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9.5537500000000009</v>
      </c>
      <c r="DO55" s="12">
        <f>IF('Données projet'!$A$166&gt;35,DO54+DN55-DW54,IF(A55&lt;'Données projet'!$A$166,$DL$205^A55,IF(A55='Données projet'!$A$166,'Données projet'!$B$166,DO54+DN55-DW54)))</f>
        <v>178.54750000000016</v>
      </c>
      <c r="DP55" s="17">
        <f>DO55*VLOOKUP('Données projet'!$B$14,Paramètres!$A$1:$I$89,3,0)*VLOOKUP('Données projet'!$B$14,Paramètres!$A$1:$I$89,5,0)</f>
        <v>161.54977800000012</v>
      </c>
      <c r="DQ55" s="13">
        <f t="shared" si="43"/>
        <v>41.191875810979205</v>
      </c>
      <c r="DR55" s="20">
        <f t="shared" si="16"/>
        <v>353.10838038745561</v>
      </c>
      <c r="DS55" s="59">
        <f t="shared" si="17"/>
        <v>630.206570018099</v>
      </c>
      <c r="DT55" s="59">
        <f ca="1">AVERAGE(OFFSET($DS$3,0,0,'Données projet'!$E$14+1,1))-AVERAGE(OFFSET($H$3,0,0,'Données projet'!$E$14+1,1))</f>
        <v>602.02351907077332</v>
      </c>
      <c r="DU55" s="59">
        <f t="shared" si="44"/>
        <v>278.08067690827272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8.9862636454643923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8.9862636454643923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65.572233535630005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65.572233535630005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65.572233535630005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65.572233535630005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2.2000000000000002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8.0666666666666682</v>
      </c>
      <c r="H56" s="67">
        <f t="shared" si="1"/>
        <v>224.4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65.649045384783989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14.12</v>
      </c>
      <c r="N56" s="13">
        <f>IF('Données projet'!$A$36&gt;35,N55+M56-V55,IF(A56&lt;'Données projet'!$A$36,$K$205^A56,IF(A56='Données projet'!$A$36,'Données projet'!$B$36,N55+M56-V55)))</f>
        <v>342.10000000000019</v>
      </c>
      <c r="O56" s="13">
        <f>N56*VLOOKUP('Données projet'!$B$9,Paramètres!$A$1:$I$89,3,0)*VLOOKUP('Données projet'!$B$9,Paramètres!$A$1:$I$89,5,0)</f>
        <v>204.57580000000013</v>
      </c>
      <c r="P56" s="13">
        <f t="shared" si="33"/>
        <v>50.748462290021173</v>
      </c>
      <c r="Q56" s="20">
        <f t="shared" si="53"/>
        <v>444.68975682178706</v>
      </c>
      <c r="R56" s="59">
        <f t="shared" si="0"/>
        <v>722.06958989932832</v>
      </c>
      <c r="S56" s="59">
        <f ca="1">AVERAGE(OFFSET($R$3,0,0,'Données projet'!$E$9+1,1))-AVERAGE(OFFSET($H$3,0,0,'Données projet'!$E$9+1,1))</f>
        <v>360.09035401555587</v>
      </c>
      <c r="T56" s="59">
        <f t="shared" si="34"/>
        <v>266.54879627869821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28.073532797351724</v>
      </c>
      <c r="AA56" s="21">
        <f>EXP(-LN(2)/25)*AA55+(1-EXP(-LN(2)/25))/(LN(2)/25)*Calculateur!V56*Calculateur!X56*VLOOKUP('Données projet'!$B$9,Paramètres!$A$1:$I$89,3,0)*0.475*44/12</f>
        <v>32.77909365958925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60.852626456940975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65.649045384783989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8.757142857142858</v>
      </c>
      <c r="AI56" s="13">
        <f>IF('Données projet'!$A$62&gt;35,AI55+AH56-AQ55,IF(A56&lt;'Données projet'!$A$62,$AF$205^A56,IF(A56='Données projet'!$A$62,'Données projet'!$B$62,AI55+AH56-AQ55)))</f>
        <v>130.03714285714287</v>
      </c>
      <c r="AJ56" s="13">
        <f>AI56*VLOOKUP('Données projet'!$B$10,Paramètres!$A$1:$I$89,3,0)*VLOOKUP('Données projet'!$B$10,Paramètres!$A$1:$I$89,5,0)</f>
        <v>109.54328914285718</v>
      </c>
      <c r="AK56" s="13">
        <f t="shared" si="35"/>
        <v>29.223353890386761</v>
      </c>
      <c r="AL56" s="20">
        <f t="shared" si="4"/>
        <v>241.6852366162332</v>
      </c>
      <c r="AM56" s="59">
        <f t="shared" si="5"/>
        <v>519.06506969377449</v>
      </c>
      <c r="AN56" s="59">
        <f ca="1">AVERAGE(OFFSET($AM$3,0,0,'Données projet'!$E$10+1,1))-AVERAGE(OFFSET($H$3,0,0,'Données projet'!$E$10+1,1))</f>
        <v>377.26246345103175</v>
      </c>
      <c r="AO56" s="59">
        <f t="shared" si="36"/>
        <v>258.25890564000258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8.8279601764071689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8.8279601764071689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65.649045384783989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25.673333333333346</v>
      </c>
      <c r="BD56" s="12">
        <f>IF('Données projet'!$A$88&gt;35,BD55+BC56-BL55,IF(A56&lt;'Données projet'!$A$88,$BA$205^A56,IF(A56='Données projet'!$A$88,'Données projet'!$B$88,BD55+BC56-BL55)))</f>
        <v>682.07666666666682</v>
      </c>
      <c r="BE56" s="13">
        <f>BD56*VLOOKUP('Données projet'!$B$11,Paramètres!$A$1:$I$89,3,0)*VLOOKUP('Données projet'!$B$11,Paramètres!$A$1:$I$89,5,0)</f>
        <v>301.47788666666673</v>
      </c>
      <c r="BF56" s="13">
        <f t="shared" si="37"/>
        <v>71.486196620680417</v>
      </c>
      <c r="BG56" s="20">
        <f t="shared" si="7"/>
        <v>649.57911172546289</v>
      </c>
      <c r="BH56" s="59">
        <f t="shared" si="8"/>
        <v>926.95894480300421</v>
      </c>
      <c r="BI56" s="59">
        <f ca="1">AVERAGE(OFFSET($BH$3,0,0,'Données projet'!$E$11+1,1))-AVERAGE(OFFSET($H$3,0,0,'Données projet'!$E$11+1,1))</f>
        <v>333.23043896066253</v>
      </c>
      <c r="BJ56" s="59">
        <f t="shared" si="38"/>
        <v>440.63438368668983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26.633263575040061</v>
      </c>
      <c r="BQ56" s="21">
        <f>EXP(-LN(2)/25)*BQ55+(1-EXP(-LN(2)/25))/(LN(2)/25)*Calculateur!BL56*Calculateur!BN56*VLOOKUP('Données projet'!$B$11,Paramètres!$A$1:$I$89,3,0)*0.475*44/12</f>
        <v>72.430946872133987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99.064210447174048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65.649045384783989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8.6169059999999948</v>
      </c>
      <c r="BY56" s="12">
        <f>IF('Données projet'!$A$114&gt;35,BY55+BX56-CG55,IF(A56&lt;'Données projet'!$A$114,$BV$205^A56,IF(A56='Données projet'!$A$114,'Données projet'!$B$114,BY55+BX56-CG55)))</f>
        <v>220.90285800000001</v>
      </c>
      <c r="BZ56" s="13">
        <f>BY56*VLOOKUP('Données projet'!$B$12,Paramètres!$A$1:$I$89,3,0)*VLOOKUP('Données projet'!$B$12,Paramètres!$A$1:$I$89,5,0)</f>
        <v>89.023851774000008</v>
      </c>
      <c r="CA56" s="13">
        <f t="shared" si="39"/>
        <v>24.32965233482668</v>
      </c>
      <c r="CB56" s="20">
        <f t="shared" si="10"/>
        <v>197.42401965620647</v>
      </c>
      <c r="CC56" s="59">
        <f t="shared" si="11"/>
        <v>474.8038527337477</v>
      </c>
      <c r="CD56" s="59">
        <f ca="1">AVERAGE(OFFSET($CC$3,0,0,'Données projet'!$E$12+1,1))-AVERAGE(OFFSET($H$3,0,0,'Données projet'!$E$12+1,1))</f>
        <v>177.34129362526608</v>
      </c>
      <c r="CE56" s="59">
        <f t="shared" si="40"/>
        <v>156.93407673501022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10.929799446318741</v>
      </c>
      <c r="CL56" s="21">
        <f>EXP(-LN(2)/25)*CL55+(1-EXP(-LN(2)/25))/(LN(2)/25)*Calculateur!CG56*Calculateur!CI56*VLOOKUP('Données projet'!$B$12,Paramètres!$A$1:$I$89,3,0)*0.475*44/12</f>
        <v>19.542203365374487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30.47200281169323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65.649045384783989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6.4</v>
      </c>
      <c r="CT56" s="12">
        <f>IF('Données projet'!$A$140&gt;35,CT55+CS56-DB55,IF(A56&lt;'Données projet'!$A$140,$CQ$205^A56,IF(A56='Données projet'!$A$140,'Données projet'!$B$140,CT55+CS56-DB55)))</f>
        <v>210.20000000000007</v>
      </c>
      <c r="CU56" s="17">
        <f>CT56*VLOOKUP('Données projet'!$B$13,Paramètres!$A$1:$I$89,3,0)*VLOOKUP('Données projet'!$B$13,Paramètres!$A$1:$I$89,5,0)</f>
        <v>137.72304000000005</v>
      </c>
      <c r="CV56" s="13">
        <f t="shared" si="41"/>
        <v>35.774889172094717</v>
      </c>
      <c r="CW56" s="20">
        <f t="shared" si="13"/>
        <v>302.1755599747317</v>
      </c>
      <c r="CX56" s="59">
        <f t="shared" si="14"/>
        <v>579.55539305227296</v>
      </c>
      <c r="CY56" s="59">
        <f ca="1">AVERAGE(OFFSET($CX$3,0,0,'Données projet'!$E$13+1,1))-AVERAGE(OFFSET($H$3,0,0,'Données projet'!$E$13+1,1))</f>
        <v>267.49254683294629</v>
      </c>
      <c r="CZ56" s="59">
        <f t="shared" si="42"/>
        <v>278.02595256967254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4.1067235348925406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4.1067235348925406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65.649045384783989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9.5537500000000009</v>
      </c>
      <c r="DO56" s="12">
        <f>IF('Données projet'!$A$166&gt;35,DO55+DN56-DW55,IF(A56&lt;'Données projet'!$A$166,$DL$205^A56,IF(A56='Données projet'!$A$166,'Données projet'!$B$166,DO55+DN56-DW55)))</f>
        <v>188.10125000000016</v>
      </c>
      <c r="DP56" s="17">
        <f>DO56*VLOOKUP('Données projet'!$B$14,Paramètres!$A$1:$I$89,3,0)*VLOOKUP('Données projet'!$B$14,Paramètres!$A$1:$I$89,5,0)</f>
        <v>170.19401100000013</v>
      </c>
      <c r="DQ56" s="13">
        <f t="shared" si="43"/>
        <v>43.133472710542861</v>
      </c>
      <c r="DR56" s="20">
        <f t="shared" si="16"/>
        <v>371.54536746252899</v>
      </c>
      <c r="DS56" s="59">
        <f t="shared" si="17"/>
        <v>648.92520054007025</v>
      </c>
      <c r="DT56" s="59">
        <f ca="1">AVERAGE(OFFSET($DS$3,0,0,'Données projet'!$E$14+1,1))-AVERAGE(OFFSET($H$3,0,0,'Données projet'!$E$14+1,1))</f>
        <v>602.02351907077332</v>
      </c>
      <c r="DU56" s="59">
        <f t="shared" si="44"/>
        <v>278.08067690827272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8.8100484964564476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8.8100484964564476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65.649045384783989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65.649045384783989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65.649045384783989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65.649045384783989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2.2000000000000002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8.0666666666666682</v>
      </c>
      <c r="H57" s="67">
        <f t="shared" si="1"/>
        <v>224.4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65.724524720080723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14.12</v>
      </c>
      <c r="N57" s="13">
        <f>IF('Données projet'!$A$36&gt;35,N56+M57-V56,IF(A57&lt;'Données projet'!$A$36,$K$205^A57,IF(A57='Données projet'!$A$36,'Données projet'!$B$36,N56+M57-V56)))</f>
        <v>356.2200000000002</v>
      </c>
      <c r="O57" s="13">
        <f>N57*VLOOKUP('Données projet'!$B$9,Paramètres!$A$1:$I$89,3,0)*VLOOKUP('Données projet'!$B$9,Paramètres!$A$1:$I$89,5,0)</f>
        <v>213.01956000000015</v>
      </c>
      <c r="P57" s="13">
        <f t="shared" si="33"/>
        <v>52.594886266766075</v>
      </c>
      <c r="Q57" s="20">
        <f t="shared" si="53"/>
        <v>462.61182724795117</v>
      </c>
      <c r="R57" s="59">
        <f t="shared" si="0"/>
        <v>740.26841788824709</v>
      </c>
      <c r="S57" s="59">
        <f ca="1">AVERAGE(OFFSET($R$3,0,0,'Données projet'!$E$9+1,1))-AVERAGE(OFFSET($H$3,0,0,'Données projet'!$E$9+1,1))</f>
        <v>360.09035401555587</v>
      </c>
      <c r="T57" s="59">
        <f t="shared" si="34"/>
        <v>266.54879627869821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27.523027942359892</v>
      </c>
      <c r="AA57" s="21">
        <f>EXP(-LN(2)/25)*AA56+(1-EXP(-LN(2)/25))/(LN(2)/25)*Calculateur!V57*Calculateur!X57*VLOOKUP('Données projet'!$B$9,Paramètres!$A$1:$I$89,3,0)*0.475*44/12</f>
        <v>31.882747619690164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59.405775562050053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65.724524720080723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8.757142857142858</v>
      </c>
      <c r="AI57" s="13">
        <f>IF('Données projet'!$A$62&gt;35,AI56+AH57-AQ56,IF(A57&lt;'Données projet'!$A$62,$AF$205^A57,IF(A57='Données projet'!$A$62,'Données projet'!$B$62,AI56+AH57-AQ56)))</f>
        <v>138.79428571428573</v>
      </c>
      <c r="AJ57" s="13">
        <f>AI57*VLOOKUP('Données projet'!$B$10,Paramètres!$A$1:$I$89,3,0)*VLOOKUP('Données projet'!$B$10,Paramètres!$A$1:$I$89,5,0)</f>
        <v>116.9203062857143</v>
      </c>
      <c r="AK57" s="13">
        <f t="shared" si="35"/>
        <v>30.95562804985342</v>
      </c>
      <c r="AL57" s="20">
        <f t="shared" si="4"/>
        <v>257.55058563444715</v>
      </c>
      <c r="AM57" s="59">
        <f t="shared" si="5"/>
        <v>535.20717627474312</v>
      </c>
      <c r="AN57" s="59">
        <f ca="1">AVERAGE(OFFSET($AM$3,0,0,'Données projet'!$E$10+1,1))-AVERAGE(OFFSET($H$3,0,0,'Données projet'!$E$10+1,1))</f>
        <v>377.26246345103175</v>
      </c>
      <c r="AO57" s="59">
        <f t="shared" si="36"/>
        <v>258.25890564000258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8.6548492618718544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8.6548492618718544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65.724524720080723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707.75</v>
      </c>
      <c r="BB57" s="12">
        <f>VLOOKUP(A57,'Données projet'!$A$87:$I$107,9,0)</f>
        <v>25.673333333333346</v>
      </c>
      <c r="BC57" s="12">
        <f t="array" ref="BC57">INDEX(BB:BB,MIN(IF(ISNUMBER(BB57:BB253),ROW(BB57:BB253),"")))</f>
        <v>25.673333333333346</v>
      </c>
      <c r="BD57" s="12">
        <f>IF('Données projet'!$A$88&gt;35,BD56+BC57-BL56,IF(A57&lt;'Données projet'!$A$88,$BA$205^A57,IF(A57='Données projet'!$A$88,'Données projet'!$B$88,BD56+BC57-BL56)))</f>
        <v>707.75000000000023</v>
      </c>
      <c r="BE57" s="13">
        <f>BD57*VLOOKUP('Données projet'!$B$11,Paramètres!$A$1:$I$89,3,0)*VLOOKUP('Données projet'!$B$11,Paramètres!$A$1:$I$89,5,0)</f>
        <v>312.82550000000015</v>
      </c>
      <c r="BF57" s="13">
        <f t="shared" si="37"/>
        <v>73.858595071350535</v>
      </c>
      <c r="BG57" s="20">
        <f t="shared" si="7"/>
        <v>673.47479891593559</v>
      </c>
      <c r="BH57" s="59">
        <f t="shared" si="8"/>
        <v>951.13138955623162</v>
      </c>
      <c r="BI57" s="59">
        <f ca="1">AVERAGE(OFFSET($BH$3,0,0,'Données projet'!$E$11+1,1))-AVERAGE(OFFSET($H$3,0,0,'Données projet'!$E$11+1,1))</f>
        <v>333.23043896066253</v>
      </c>
      <c r="BJ57" s="59">
        <f t="shared" si="38"/>
        <v>440.63438368668983</v>
      </c>
      <c r="BK57" s="15">
        <f>IF(ISNA(VLOOKUP(A57,'Données projet'!$A$87:$I$107,3,0)),0,VLOOKUP(A57,'Données projet'!$A$87:$I$107,3,0))</f>
        <v>7</v>
      </c>
      <c r="BL57" s="15">
        <f>IF(ISNA(VLOOKUP(A57,'Données projet'!$A$87:$I$107,4,0)),0,VLOOKUP(A57,'Données projet'!$A$87:$I$107,4,0))</f>
        <v>707.75</v>
      </c>
      <c r="BM57" s="16">
        <f>IF(ISNA(VLOOKUP(A57,'Données projet'!$A$87:$I$107,5,0)),0%,VLOOKUP(A57,'Données projet'!$A$87:$I$107,5,0)*VLOOKUP('Données projet'!$B$11,Paramètres!$A$1:$I$89,7,0))</f>
        <v>0.38500000000000001</v>
      </c>
      <c r="BN57" s="16">
        <f>IF(ISNA(VLOOKUP(A57,'Données projet'!$A$87:$I$107,6,0)),0%,VLOOKUP(A57,'Données projet'!$A$87:$I$107,6,0)*VLOOKUP('Données projet'!$B$11,Paramètres!$A$1:$I$89,7,0))</f>
        <v>0.16500000000000001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185.87952930723455</v>
      </c>
      <c r="BQ57" s="21">
        <f>EXP(-LN(2)/25)*BQ56+(1-EXP(-LN(2)/25))/(LN(2)/25)*Calculateur!BL57*Calculateur!BN57*VLOOKUP('Données projet'!$B$11,Paramètres!$A$1:$I$89,3,0)*0.475*44/12</f>
        <v>138.65294377053959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324.53247307777417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65.724524720080723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8.6169059999999948</v>
      </c>
      <c r="BY57" s="12">
        <f>IF('Données projet'!$A$114&gt;35,BY56+BX57-CG56,IF(A57&lt;'Données projet'!$A$114,$BV$205^A57,IF(A57='Données projet'!$A$114,'Données projet'!$B$114,BY56+BX57-CG56)))</f>
        <v>229.51976400000001</v>
      </c>
      <c r="BZ57" s="13">
        <f>BY57*VLOOKUP('Données projet'!$B$12,Paramètres!$A$1:$I$89,3,0)*VLOOKUP('Données projet'!$B$12,Paramètres!$A$1:$I$89,5,0)</f>
        <v>92.496464892000006</v>
      </c>
      <c r="CA57" s="13">
        <f t="shared" si="39"/>
        <v>25.166350101787451</v>
      </c>
      <c r="CB57" s="20">
        <f t="shared" si="10"/>
        <v>204.92940278084652</v>
      </c>
      <c r="CC57" s="59">
        <f t="shared" si="11"/>
        <v>482.58599342114246</v>
      </c>
      <c r="CD57" s="59">
        <f ca="1">AVERAGE(OFFSET($CC$3,0,0,'Données projet'!$E$12+1,1))-AVERAGE(OFFSET($H$3,0,0,'Données projet'!$E$12+1,1))</f>
        <v>177.34129362526608</v>
      </c>
      <c r="CE57" s="59">
        <f t="shared" si="40"/>
        <v>156.93407673501022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10.715472745695829</v>
      </c>
      <c r="CL57" s="21">
        <f>EXP(-LN(2)/25)*CL56+(1-EXP(-LN(2)/25))/(LN(2)/25)*Calculateur!CG57*Calculateur!CI57*VLOOKUP('Données projet'!$B$12,Paramètres!$A$1:$I$89,3,0)*0.475*44/12</f>
        <v>19.00782078666851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29.723293532364337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65.724524720080723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6.4</v>
      </c>
      <c r="CT57" s="12">
        <f>IF('Données projet'!$A$140&gt;35,CT56+CS57-DB56,IF(A57&lt;'Données projet'!$A$140,$CQ$205^A57,IF(A57='Données projet'!$A$140,'Données projet'!$B$140,CT56+CS57-DB56)))</f>
        <v>216.60000000000008</v>
      </c>
      <c r="CU57" s="17">
        <f>CT57*VLOOKUP('Données projet'!$B$13,Paramètres!$A$1:$I$89,3,0)*VLOOKUP('Données projet'!$B$13,Paramètres!$A$1:$I$89,5,0)</f>
        <v>141.91632000000007</v>
      </c>
      <c r="CV57" s="13">
        <f t="shared" si="41"/>
        <v>36.735659538535245</v>
      </c>
      <c r="CW57" s="20">
        <f t="shared" si="13"/>
        <v>311.15219769628237</v>
      </c>
      <c r="CX57" s="59">
        <f t="shared" si="14"/>
        <v>588.80878833657835</v>
      </c>
      <c r="CY57" s="59">
        <f ca="1">AVERAGE(OFFSET($CX$3,0,0,'Données projet'!$E$13+1,1))-AVERAGE(OFFSET($H$3,0,0,'Données projet'!$E$13+1,1))</f>
        <v>267.49254683294629</v>
      </c>
      <c r="CZ57" s="59">
        <f t="shared" si="42"/>
        <v>278.02595256967254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4.0261931912273203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4.0261931912273203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65.724524720080723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9.5537500000000009</v>
      </c>
      <c r="DO57" s="12">
        <f>IF('Données projet'!$A$166&gt;35,DO56+DN57-DW56,IF(A57&lt;'Données projet'!$A$166,$DL$205^A57,IF(A57='Données projet'!$A$166,'Données projet'!$B$166,DO56+DN57-DW56)))</f>
        <v>197.65500000000017</v>
      </c>
      <c r="DP57" s="17">
        <f>DO57*VLOOKUP('Données projet'!$B$14,Paramètres!$A$1:$I$89,3,0)*VLOOKUP('Données projet'!$B$14,Paramètres!$A$1:$I$89,5,0)</f>
        <v>178.83824400000015</v>
      </c>
      <c r="DQ57" s="13">
        <f t="shared" si="43"/>
        <v>45.06361953668285</v>
      </c>
      <c r="DR57" s="20">
        <f t="shared" si="16"/>
        <v>389.96241232638954</v>
      </c>
      <c r="DS57" s="59">
        <f t="shared" si="17"/>
        <v>667.61900296668546</v>
      </c>
      <c r="DT57" s="59">
        <f ca="1">AVERAGE(OFFSET($DS$3,0,0,'Données projet'!$E$14+1,1))-AVERAGE(OFFSET($H$3,0,0,'Données projet'!$E$14+1,1))</f>
        <v>602.02351907077332</v>
      </c>
      <c r="DU57" s="59">
        <f t="shared" si="44"/>
        <v>278.08067690827272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8.6372888190399202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8.6372888190399202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65.724524720080723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65.724524720080723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65.724524720080723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65.724524720080723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2.2000000000000002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8.0666666666666682</v>
      </c>
      <c r="H58" s="67">
        <f t="shared" si="1"/>
        <v>224.4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65.798694657656569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14.12</v>
      </c>
      <c r="N58" s="13">
        <f>IF('Données projet'!$A$36&gt;35,N57+M58-V57,IF(A58&lt;'Données projet'!$A$36,$K$205^A58,IF(A58='Données projet'!$A$36,'Données projet'!$B$36,N57+M58-V57)))</f>
        <v>370.3400000000002</v>
      </c>
      <c r="O58" s="13">
        <f>N58*VLOOKUP('Données projet'!$B$9,Paramètres!$A$1:$I$89,3,0)*VLOOKUP('Données projet'!$B$9,Paramètres!$A$1:$I$89,5,0)</f>
        <v>221.46332000000012</v>
      </c>
      <c r="P58" s="13">
        <f t="shared" si="33"/>
        <v>54.432808276273747</v>
      </c>
      <c r="Q58" s="20">
        <f t="shared" si="53"/>
        <v>480.51909008117696</v>
      </c>
      <c r="R58" s="59">
        <f t="shared" si="0"/>
        <v>758.44763715925103</v>
      </c>
      <c r="S58" s="59">
        <f ca="1">AVERAGE(OFFSET($R$3,0,0,'Données projet'!$E$9+1,1))-AVERAGE(OFFSET($H$3,0,0,'Données projet'!$E$9+1,1))</f>
        <v>360.09035401555587</v>
      </c>
      <c r="T58" s="59">
        <f t="shared" si="34"/>
        <v>266.54879627869821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26.983318151799644</v>
      </c>
      <c r="AA58" s="21">
        <f>EXP(-LN(2)/25)*AA57+(1-EXP(-LN(2)/25))/(LN(2)/25)*Calculateur!V58*Calculateur!X58*VLOOKUP('Données projet'!$B$9,Paramètres!$A$1:$I$89,3,0)*0.475*44/12</f>
        <v>31.010912209388909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57.994230361188556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65.798694657656569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8.757142857142858</v>
      </c>
      <c r="AI58" s="13">
        <f>IF('Données projet'!$A$62&gt;35,AI57+AH58-AQ57,IF(A58&lt;'Données projet'!$A$62,$AF$205^A58,IF(A58='Données projet'!$A$62,'Données projet'!$B$62,AI57+AH58-AQ57)))</f>
        <v>147.5514285714286</v>
      </c>
      <c r="AJ58" s="13">
        <f>AI58*VLOOKUP('Données projet'!$B$10,Paramètres!$A$1:$I$89,3,0)*VLOOKUP('Données projet'!$B$10,Paramètres!$A$1:$I$89,5,0)</f>
        <v>124.29732342857146</v>
      </c>
      <c r="AK58" s="13">
        <f t="shared" si="35"/>
        <v>32.675217782102486</v>
      </c>
      <c r="AL58" s="20">
        <f t="shared" si="4"/>
        <v>273.39384260859043</v>
      </c>
      <c r="AM58" s="59">
        <f t="shared" si="5"/>
        <v>551.32238968666456</v>
      </c>
      <c r="AN58" s="59">
        <f ca="1">AVERAGE(OFFSET($AM$3,0,0,'Données projet'!$E$10+1,1))-AVERAGE(OFFSET($H$3,0,0,'Données projet'!$E$10+1,1))</f>
        <v>377.26246345103175</v>
      </c>
      <c r="AO58" s="59">
        <f t="shared" si="36"/>
        <v>258.25890564000258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8.4851329467833452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8.4851329467833452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65.798694657656569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2.2737367544323206E-13</v>
      </c>
      <c r="BE58" s="13">
        <f>BD58*VLOOKUP('Données projet'!$B$11,Paramètres!$A$1:$I$89,3,0)*VLOOKUP('Données projet'!$B$11,Paramètres!$A$1:$I$89,5,0)</f>
        <v>1.0049916454590858E-13</v>
      </c>
      <c r="BF58" s="13">
        <f t="shared" si="37"/>
        <v>1.5089081593838289E-12</v>
      </c>
      <c r="BG58" s="20">
        <f t="shared" si="7"/>
        <v>2.8030510891776262E-12</v>
      </c>
      <c r="BH58" s="59">
        <f t="shared" si="8"/>
        <v>277.92854707807686</v>
      </c>
      <c r="BI58" s="59">
        <f ca="1">AVERAGE(OFFSET($BH$3,0,0,'Données projet'!$E$11+1,1))-AVERAGE(OFFSET($H$3,0,0,'Données projet'!$E$11+1,1))</f>
        <v>333.23043896066253</v>
      </c>
      <c r="BJ58" s="59">
        <f t="shared" si="38"/>
        <v>440.63438368668983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182.23454511283768</v>
      </c>
      <c r="BQ58" s="21">
        <f>EXP(-LN(2)/25)*BQ57+(1-EXP(-LN(2)/25))/(LN(2)/25)*Calculateur!BL58*Calculateur!BN58*VLOOKUP('Données projet'!$B$11,Paramètres!$A$1:$I$89,3,0)*0.475*44/12</f>
        <v>134.86147173169277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317.09601684453048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65.798694657656569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238.13667000000001</v>
      </c>
      <c r="BW58" s="12">
        <f>VLOOKUP(A58,'Données projet'!$A$113:$I$133,9,0)</f>
        <v>8.6169059999999948</v>
      </c>
      <c r="BX58" s="12">
        <f t="array" ref="BX58">INDEX(BW:BW,MIN(IF(ISNUMBER(BW58:BW254),ROW(BW58:BW254),"")))</f>
        <v>8.6169059999999948</v>
      </c>
      <c r="BY58" s="12">
        <f>IF('Données projet'!$A$114&gt;35,BY57+BX58-CG57,IF(A58&lt;'Données projet'!$A$114,$BV$205^A58,IF(A58='Données projet'!$A$114,'Données projet'!$B$114,BY57+BX58-CG57)))</f>
        <v>238.13667000000001</v>
      </c>
      <c r="BZ58" s="13">
        <f>BY58*VLOOKUP('Données projet'!$B$12,Paramètres!$A$1:$I$89,3,0)*VLOOKUP('Données projet'!$B$12,Paramètres!$A$1:$I$89,5,0)</f>
        <v>95.969078010000004</v>
      </c>
      <c r="CA58" s="13">
        <f t="shared" si="39"/>
        <v>25.999398547990157</v>
      </c>
      <c r="CB58" s="20">
        <f t="shared" si="10"/>
        <v>212.42843000516621</v>
      </c>
      <c r="CC58" s="59">
        <f t="shared" si="11"/>
        <v>490.35697708324028</v>
      </c>
      <c r="CD58" s="59">
        <f ca="1">AVERAGE(OFFSET($CC$3,0,0,'Données projet'!$E$12+1,1))-AVERAGE(OFFSET($H$3,0,0,'Données projet'!$E$12+1,1))</f>
        <v>177.34129362526608</v>
      </c>
      <c r="CE58" s="59">
        <f t="shared" si="40"/>
        <v>156.93407673501022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24.156180000000003</v>
      </c>
      <c r="CH58" s="16">
        <f>IF(ISNA(VLOOKUP(A58,'Données projet'!$A$113:$I$133,5,0)),0%,VLOOKUP(A58,'Données projet'!$A$113:$I$133,5,0)*VLOOKUP('Données projet'!$B$12,Paramètres!$A$1:$I$89,7,0))</f>
        <v>0.38500000000000001</v>
      </c>
      <c r="CI58" s="16">
        <f>IF(ISNA(VLOOKUP(A58,'Données projet'!$A$113:$I$133,6,0)),0%,VLOOKUP(A58,'Données projet'!$A$113:$I$133,6,0)*VLOOKUP('Données projet'!$B$12,Paramètres!$A$1:$I$89,7,0))</f>
        <v>0.16500000000000001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15.477248907975593</v>
      </c>
      <c r="CL58" s="21">
        <f>EXP(-LN(2)/25)*CL57+(1-EXP(-LN(2)/25))/(LN(2)/25)*Calculateur!CG58*Calculateur!CI58*VLOOKUP('Données projet'!$B$12,Paramètres!$A$1:$I$89,3,0)*0.475*44/12</f>
        <v>20.610475405723026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36.087724313698615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65.798694657656569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223</v>
      </c>
      <c r="CR58" s="12">
        <f>VLOOKUP(A58,'Données projet'!$A$139:$I$159,9,0)</f>
        <v>6.4</v>
      </c>
      <c r="CS58" s="12">
        <f t="array" ref="CS58">INDEX(CR:CR,MIN(IF(ISNUMBER(CR58:CR254),ROW(CR58:CR254),"")))</f>
        <v>6.4</v>
      </c>
      <c r="CT58" s="12">
        <f>IF('Données projet'!$A$140&gt;35,CT57+CS58-DB57,IF(A58&lt;'Données projet'!$A$140,$CQ$205^A58,IF(A58='Données projet'!$A$140,'Données projet'!$B$140,CT57+CS58-DB57)))</f>
        <v>223.00000000000009</v>
      </c>
      <c r="CU58" s="17">
        <f>CT58*VLOOKUP('Données projet'!$B$13,Paramètres!$A$1:$I$89,3,0)*VLOOKUP('Données projet'!$B$13,Paramètres!$A$1:$I$89,5,0)</f>
        <v>146.10960000000006</v>
      </c>
      <c r="CV58" s="13">
        <f t="shared" si="41"/>
        <v>37.693130662388469</v>
      </c>
      <c r="CW58" s="20">
        <f t="shared" si="13"/>
        <v>320.12308923699328</v>
      </c>
      <c r="CX58" s="59">
        <f t="shared" si="14"/>
        <v>598.0516363150673</v>
      </c>
      <c r="CY58" s="59">
        <f ca="1">AVERAGE(OFFSET($CX$3,0,0,'Données projet'!$E$13+1,1))-AVERAGE(OFFSET($H$3,0,0,'Données projet'!$E$13+1,1))</f>
        <v>267.49254683294629</v>
      </c>
      <c r="CZ58" s="59">
        <f t="shared" si="42"/>
        <v>278.02595256967254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23</v>
      </c>
      <c r="DC58" s="16">
        <f>IF(ISNA(VLOOKUP(A58,'Données projet'!$A$139:$I$159,5,0)),0%,VLOOKUP(A58,'Données projet'!$A$139:$I$159,5,0)*VLOOKUP('Données projet'!$B$13,Paramètres!$A$1:$I$89,7,0))</f>
        <v>0.129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6.0962525381345731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6.0962525381345731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65.798694657656569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9.5537500000000009</v>
      </c>
      <c r="DO58" s="12">
        <f>IF('Données projet'!$A$166&gt;35,DO57+DN58-DW57,IF(A58&lt;'Données projet'!$A$166,$DL$205^A58,IF(A58='Données projet'!$A$166,'Données projet'!$B$166,DO57+DN58-DW57)))</f>
        <v>207.20875000000018</v>
      </c>
      <c r="DP58" s="17">
        <f>DO58*VLOOKUP('Données projet'!$B$14,Paramètres!$A$1:$I$89,3,0)*VLOOKUP('Données projet'!$B$14,Paramètres!$A$1:$I$89,5,0)</f>
        <v>187.48247700000016</v>
      </c>
      <c r="DQ58" s="13">
        <f t="shared" si="43"/>
        <v>46.982932911694917</v>
      </c>
      <c r="DR58" s="20">
        <f t="shared" si="16"/>
        <v>408.3605889295356</v>
      </c>
      <c r="DS58" s="59">
        <f t="shared" si="17"/>
        <v>686.28913600760961</v>
      </c>
      <c r="DT58" s="59">
        <f ca="1">AVERAGE(OFFSET($DS$3,0,0,'Données projet'!$E$14+1,1))-AVERAGE(OFFSET($H$3,0,0,'Données projet'!$E$14+1,1))</f>
        <v>602.02351907077332</v>
      </c>
      <c r="DU58" s="59">
        <f t="shared" si="44"/>
        <v>278.08067690827272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8.4679168535245335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8.4679168535245335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65.798694657656569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65.798694657656569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65.798694657656569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65.798694657656569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2.2000000000000002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8.0666666666666682</v>
      </c>
      <c r="H59" s="67">
        <f t="shared" si="1"/>
        <v>224.4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65.871577912634606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14.12</v>
      </c>
      <c r="N59" s="13">
        <f>IF('Données projet'!$A$36&gt;35,N58+M59-V58,IF(A59&lt;'Données projet'!$A$36,$K$205^A59,IF(A59='Données projet'!$A$36,'Données projet'!$B$36,N58+M59-V58)))</f>
        <v>384.46000000000021</v>
      </c>
      <c r="O59" s="13">
        <f>N59*VLOOKUP('Données projet'!$B$9,Paramètres!$A$1:$I$89,3,0)*VLOOKUP('Données projet'!$B$9,Paramètres!$A$1:$I$89,5,0)</f>
        <v>229.90708000000015</v>
      </c>
      <c r="P59" s="13">
        <f t="shared" si="33"/>
        <v>56.262589582193186</v>
      </c>
      <c r="Q59" s="20">
        <f t="shared" si="53"/>
        <v>498.41217452232013</v>
      </c>
      <c r="R59" s="59">
        <f t="shared" si="0"/>
        <v>776.6079602019804</v>
      </c>
      <c r="S59" s="59">
        <f ca="1">AVERAGE(OFFSET($R$3,0,0,'Données projet'!$E$9+1,1))-AVERAGE(OFFSET($H$3,0,0,'Données projet'!$E$9+1,1))</f>
        <v>360.09035401555587</v>
      </c>
      <c r="T59" s="59">
        <f t="shared" si="34"/>
        <v>266.54879627869821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26.454191741041814</v>
      </c>
      <c r="AA59" s="21">
        <f>EXP(-LN(2)/25)*AA58+(1-EXP(-LN(2)/25))/(LN(2)/25)*Calculateur!V59*Calculateur!X59*VLOOKUP('Données projet'!$B$9,Paramètres!$A$1:$I$89,3,0)*0.475*44/12</f>
        <v>30.162917184230174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56.617108925271992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65.871577912634606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8.757142857142858</v>
      </c>
      <c r="AI59" s="13">
        <f>IF('Données projet'!$A$62&gt;35,AI58+AH59-AQ58,IF(A59&lt;'Données projet'!$A$62,$AF$205^A59,IF(A59='Données projet'!$A$62,'Données projet'!$B$62,AI58+AH59-AQ58)))</f>
        <v>156.30857142857147</v>
      </c>
      <c r="AJ59" s="13">
        <f>AI59*VLOOKUP('Données projet'!$B$10,Paramètres!$A$1:$I$89,3,0)*VLOOKUP('Données projet'!$B$10,Paramètres!$A$1:$I$89,5,0)</f>
        <v>131.67434057142862</v>
      </c>
      <c r="AK59" s="13">
        <f t="shared" si="35"/>
        <v>34.382961649798958</v>
      </c>
      <c r="AL59" s="20">
        <f t="shared" si="4"/>
        <v>289.21646803530473</v>
      </c>
      <c r="AM59" s="59">
        <f t="shared" si="5"/>
        <v>567.41225371496489</v>
      </c>
      <c r="AN59" s="59">
        <f ca="1">AVERAGE(OFFSET($AM$3,0,0,'Données projet'!$E$10+1,1))-AVERAGE(OFFSET($H$3,0,0,'Données projet'!$E$10+1,1))</f>
        <v>377.26246345103175</v>
      </c>
      <c r="AO59" s="59">
        <f t="shared" si="36"/>
        <v>258.25890564000258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8.3187446651169914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8.3187446651169914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65.871577912634606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2.2737367544323206E-13</v>
      </c>
      <c r="BE59" s="13">
        <f>BD59*VLOOKUP('Données projet'!$B$11,Paramètres!$A$1:$I$89,3,0)*VLOOKUP('Données projet'!$B$11,Paramètres!$A$1:$I$89,5,0)</f>
        <v>1.0049916454590858E-13</v>
      </c>
      <c r="BF59" s="13">
        <f t="shared" si="37"/>
        <v>1.5089081593838289E-12</v>
      </c>
      <c r="BG59" s="20">
        <f t="shared" si="7"/>
        <v>2.8030510891776262E-12</v>
      </c>
      <c r="BH59" s="59">
        <f t="shared" si="8"/>
        <v>278.195785679663</v>
      </c>
      <c r="BI59" s="59">
        <f ca="1">AVERAGE(OFFSET($BH$3,0,0,'Données projet'!$E$11+1,1))-AVERAGE(OFFSET($H$3,0,0,'Données projet'!$E$11+1,1))</f>
        <v>333.23043896066253</v>
      </c>
      <c r="BJ59" s="59">
        <f t="shared" si="38"/>
        <v>440.63438368668983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178.66103683527209</v>
      </c>
      <c r="BQ59" s="21">
        <f>EXP(-LN(2)/25)*BQ58+(1-EXP(-LN(2)/25))/(LN(2)/25)*Calculateur!BL59*Calculateur!BN59*VLOOKUP('Données projet'!$B$11,Paramètres!$A$1:$I$89,3,0)*0.475*44/12</f>
        <v>131.17367769513308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309.83471453040517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65.871577912634606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8.0760960000000015</v>
      </c>
      <c r="BY59" s="12">
        <f>IF('Données projet'!$A$114&gt;35,BY58+BX59-CG58,IF(A59&lt;'Données projet'!$A$114,$BV$205^A59,IF(A59='Données projet'!$A$114,'Données projet'!$B$114,BY58+BX59-CG58)))</f>
        <v>222.05658600000001</v>
      </c>
      <c r="BZ59" s="13">
        <f>BY59*VLOOKUP('Données projet'!$B$12,Paramètres!$A$1:$I$89,3,0)*VLOOKUP('Données projet'!$B$12,Paramètres!$A$1:$I$89,5,0)</f>
        <v>89.488804158000008</v>
      </c>
      <c r="CA59" s="13">
        <f t="shared" si="39"/>
        <v>24.441896024218863</v>
      </c>
      <c r="CB59" s="20">
        <f t="shared" si="10"/>
        <v>198.42930281736452</v>
      </c>
      <c r="CC59" s="59">
        <f t="shared" si="11"/>
        <v>476.62508849702476</v>
      </c>
      <c r="CD59" s="59">
        <f ca="1">AVERAGE(OFFSET($CC$3,0,0,'Données projet'!$E$12+1,1))-AVERAGE(OFFSET($H$3,0,0,'Données projet'!$E$12+1,1))</f>
        <v>177.34129362526608</v>
      </c>
      <c r="CE59" s="59">
        <f t="shared" si="40"/>
        <v>156.93407673501022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15.173749497079884</v>
      </c>
      <c r="CL59" s="21">
        <f>EXP(-LN(2)/25)*CL58+(1-EXP(-LN(2)/25))/(LN(2)/25)*Calculateur!CG59*Calculateur!CI59*VLOOKUP('Données projet'!$B$12,Paramètres!$A$1:$I$89,3,0)*0.475*44/12</f>
        <v>20.046880871895734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35.22063036897562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65.871577912634606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-14.2</v>
      </c>
      <c r="CT59" s="12">
        <f>IF('Données projet'!$A$140&gt;35,CT58+CS59-DB58,IF(A59&lt;'Données projet'!$A$140,$CQ$205^A59,IF(A59='Données projet'!$A$140,'Données projet'!$B$140,CT58+CS59-DB58)))</f>
        <v>185.8000000000001</v>
      </c>
      <c r="CU59" s="17">
        <f>CT59*VLOOKUP('Données projet'!$B$13,Paramètres!$A$1:$I$89,3,0)*VLOOKUP('Données projet'!$B$13,Paramètres!$A$1:$I$89,5,0)</f>
        <v>121.73616000000007</v>
      </c>
      <c r="CV59" s="13">
        <f t="shared" si="41"/>
        <v>32.079590958019864</v>
      </c>
      <c r="CW59" s="20">
        <f t="shared" si="13"/>
        <v>267.89576625188465</v>
      </c>
      <c r="CX59" s="59">
        <f t="shared" si="14"/>
        <v>546.09155193154493</v>
      </c>
      <c r="CY59" s="59">
        <f ca="1">AVERAGE(OFFSET($CX$3,0,0,'Données projet'!$E$13+1,1))-AVERAGE(OFFSET($H$3,0,0,'Données projet'!$E$13+1,1))</f>
        <v>267.49254683294629</v>
      </c>
      <c r="CZ59" s="59">
        <f t="shared" si="42"/>
        <v>278.02595256967254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5.9767087442086462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5.9767087442086462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65.871577912634606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9.5537500000000009</v>
      </c>
      <c r="DO59" s="12">
        <f>IF('Données projet'!$A$166&gt;35,DO58+DN59-DW58,IF(A59&lt;'Données projet'!$A$166,$DL$205^A59,IF(A59='Données projet'!$A$166,'Données projet'!$B$166,DO58+DN59-DW58)))</f>
        <v>216.76250000000019</v>
      </c>
      <c r="DP59" s="17">
        <f>DO59*VLOOKUP('Données projet'!$B$14,Paramètres!$A$1:$I$89,3,0)*VLOOKUP('Données projet'!$B$14,Paramètres!$A$1:$I$89,5,0)</f>
        <v>196.12671000000017</v>
      </c>
      <c r="DQ59" s="13">
        <f t="shared" si="43"/>
        <v>48.891969383051702</v>
      </c>
      <c r="DR59" s="20">
        <f t="shared" si="16"/>
        <v>426.74086659214868</v>
      </c>
      <c r="DS59" s="59">
        <f t="shared" si="17"/>
        <v>704.93665227180895</v>
      </c>
      <c r="DT59" s="59">
        <f ca="1">AVERAGE(OFFSET($DS$3,0,0,'Données projet'!$E$14+1,1))-AVERAGE(OFFSET($H$3,0,0,'Données projet'!$E$14+1,1))</f>
        <v>602.02351907077332</v>
      </c>
      <c r="DU59" s="59">
        <f t="shared" si="44"/>
        <v>278.08067690827272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8.301866168946205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8.301866168946205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65.871577912634606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65.871577912634606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65.871577912634606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65.871577912634606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2.2000000000000002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8.0666666666666682</v>
      </c>
      <c r="H60" s="67">
        <f t="shared" si="1"/>
        <v>224.4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65.943196806081332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14.12</v>
      </c>
      <c r="N60" s="13">
        <f>IF('Données projet'!$A$36&gt;35,N59+M60-V59,IF(A60&lt;'Données projet'!$A$36,$K$205^A60,IF(A60='Données projet'!$A$36,'Données projet'!$B$36,N59+M60-V59)))</f>
        <v>398.58000000000021</v>
      </c>
      <c r="O60" s="13">
        <f>N60*VLOOKUP('Données projet'!$B$9,Paramètres!$A$1:$I$89,3,0)*VLOOKUP('Données projet'!$B$9,Paramètres!$A$1:$I$89,5,0)</f>
        <v>238.35084000000015</v>
      </c>
      <c r="P60" s="13">
        <f t="shared" si="33"/>
        <v>58.084563408326787</v>
      </c>
      <c r="Q60" s="20">
        <f t="shared" si="53"/>
        <v>516.29166093616936</v>
      </c>
      <c r="R60" s="59">
        <f t="shared" si="0"/>
        <v>794.75004922513426</v>
      </c>
      <c r="S60" s="59">
        <f ca="1">AVERAGE(OFFSET($R$3,0,0,'Données projet'!$E$9+1,1))-AVERAGE(OFFSET($H$3,0,0,'Données projet'!$E$9+1,1))</f>
        <v>360.09035401555587</v>
      </c>
      <c r="T60" s="59">
        <f t="shared" si="34"/>
        <v>266.54879627869821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25.935441176463701</v>
      </c>
      <c r="AA60" s="21">
        <f>EXP(-LN(2)/25)*AA59+(1-EXP(-LN(2)/25))/(LN(2)/25)*Calculateur!V60*Calculateur!X60*VLOOKUP('Données projet'!$B$9,Paramètres!$A$1:$I$89,3,0)*0.475*44/12</f>
        <v>29.338110627628524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55.273551804092222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65.943196806081332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8.757142857142858</v>
      </c>
      <c r="AI60" s="13">
        <f>IF('Données projet'!$A$62&gt;35,AI59+AH60-AQ59,IF(A60&lt;'Données projet'!$A$62,$AF$205^A60,IF(A60='Données projet'!$A$62,'Données projet'!$B$62,AI59+AH60-AQ59)))</f>
        <v>165.06571428571434</v>
      </c>
      <c r="AJ60" s="13">
        <f>AI60*VLOOKUP('Données projet'!$B$10,Paramètres!$A$1:$I$89,3,0)*VLOOKUP('Données projet'!$B$10,Paramètres!$A$1:$I$89,5,0)</f>
        <v>139.05135771428579</v>
      </c>
      <c r="AK60" s="13">
        <f t="shared" si="35"/>
        <v>36.079598948273173</v>
      </c>
      <c r="AL60" s="20">
        <f t="shared" si="4"/>
        <v>305.01974952062346</v>
      </c>
      <c r="AM60" s="59">
        <f t="shared" si="5"/>
        <v>583.47813780958836</v>
      </c>
      <c r="AN60" s="59">
        <f ca="1">AVERAGE(OFFSET($AM$3,0,0,'Données projet'!$E$10+1,1))-AVERAGE(OFFSET($H$3,0,0,'Données projet'!$E$10+1,1))</f>
        <v>377.26246345103175</v>
      </c>
      <c r="AO60" s="59">
        <f t="shared" si="36"/>
        <v>258.25890564000258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8.1556191561672833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8.1556191561672833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65.943196806081332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2.2737367544323206E-13</v>
      </c>
      <c r="BE60" s="13">
        <f>BD60*VLOOKUP('Données projet'!$B$11,Paramètres!$A$1:$I$89,3,0)*VLOOKUP('Données projet'!$B$11,Paramètres!$A$1:$I$89,5,0)</f>
        <v>1.0049916454590858E-13</v>
      </c>
      <c r="BF60" s="13">
        <f t="shared" si="37"/>
        <v>1.5089081593838289E-12</v>
      </c>
      <c r="BG60" s="20">
        <f t="shared" si="7"/>
        <v>2.8030510891776262E-12</v>
      </c>
      <c r="BH60" s="59">
        <f t="shared" si="8"/>
        <v>278.45838828896768</v>
      </c>
      <c r="BI60" s="59">
        <f ca="1">AVERAGE(OFFSET($BH$3,0,0,'Données projet'!$E$11+1,1))-AVERAGE(OFFSET($H$3,0,0,'Données projet'!$E$11+1,1))</f>
        <v>333.23043896066253</v>
      </c>
      <c r="BJ60" s="59">
        <f t="shared" si="38"/>
        <v>440.63438368668983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175.15760287540473</v>
      </c>
      <c r="BQ60" s="21">
        <f>EXP(-LN(2)/25)*BQ59+(1-EXP(-LN(2)/25))/(LN(2)/25)*Calculateur!BL60*Calculateur!BN60*VLOOKUP('Données projet'!$B$11,Paramètres!$A$1:$I$89,3,0)*0.475*44/12</f>
        <v>127.58672658043575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302.7443294558405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65.943196806081332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8.0760960000000015</v>
      </c>
      <c r="BY60" s="12">
        <f>IF('Données projet'!$A$114&gt;35,BY59+BX60-CG59,IF(A60&lt;'Données projet'!$A$114,$BV$205^A60,IF(A60='Données projet'!$A$114,'Données projet'!$B$114,BY59+BX60-CG59)))</f>
        <v>230.13268200000002</v>
      </c>
      <c r="BZ60" s="13">
        <f>BY60*VLOOKUP('Données projet'!$B$12,Paramètres!$A$1:$I$89,3,0)*VLOOKUP('Données projet'!$B$12,Paramètres!$A$1:$I$89,5,0)</f>
        <v>92.743470846000022</v>
      </c>
      <c r="CA60" s="13">
        <f t="shared" si="39"/>
        <v>25.225723347693993</v>
      </c>
      <c r="CB60" s="20">
        <f t="shared" si="10"/>
        <v>205.46301322068373</v>
      </c>
      <c r="CC60" s="59">
        <f t="shared" si="11"/>
        <v>483.9214015096486</v>
      </c>
      <c r="CD60" s="59">
        <f ca="1">AVERAGE(OFFSET($CC$3,0,0,'Données projet'!$E$12+1,1))-AVERAGE(OFFSET($H$3,0,0,'Données projet'!$E$12+1,1))</f>
        <v>177.34129362526608</v>
      </c>
      <c r="CE60" s="59">
        <f t="shared" si="40"/>
        <v>156.93407673501022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14.876201524515478</v>
      </c>
      <c r="CL60" s="21">
        <f>EXP(-LN(2)/25)*CL59+(1-EXP(-LN(2)/25))/(LN(2)/25)*Calculateur!CG60*Calculateur!CI60*VLOOKUP('Données projet'!$B$12,Paramètres!$A$1:$I$89,3,0)*0.475*44/12</f>
        <v>19.498697860234099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34.374899384749575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65.943196806081332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-14.2</v>
      </c>
      <c r="CT60" s="12">
        <f>IF('Données projet'!$A$140&gt;35,CT59+CS60-DB59,IF(A60&lt;'Données projet'!$A$140,$CQ$205^A60,IF(A60='Données projet'!$A$140,'Données projet'!$B$140,CT59+CS60-DB59)))</f>
        <v>171.60000000000011</v>
      </c>
      <c r="CU60" s="17">
        <f>CT60*VLOOKUP('Données projet'!$B$13,Paramètres!$A$1:$I$89,3,0)*VLOOKUP('Données projet'!$B$13,Paramètres!$A$1:$I$89,5,0)</f>
        <v>112.43232000000008</v>
      </c>
      <c r="CV60" s="13">
        <f t="shared" si="41"/>
        <v>29.903326635598351</v>
      </c>
      <c r="CW60" s="20">
        <f t="shared" si="13"/>
        <v>247.90125122366729</v>
      </c>
      <c r="CX60" s="59">
        <f t="shared" si="14"/>
        <v>526.35963951263216</v>
      </c>
      <c r="CY60" s="59">
        <f ca="1">AVERAGE(OFFSET($CX$3,0,0,'Données projet'!$E$13+1,1))-AVERAGE(OFFSET($H$3,0,0,'Données projet'!$E$13+1,1))</f>
        <v>267.49254683294629</v>
      </c>
      <c r="CZ60" s="59">
        <f t="shared" si="42"/>
        <v>278.02595256967254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5.8595091311670924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5.8595091311670924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65.943196806081332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9.5537500000000009</v>
      </c>
      <c r="DO60" s="12">
        <f>IF('Données projet'!$A$166&gt;35,DO59+DN60-DW59,IF(A60&lt;'Données projet'!$A$166,$DL$205^A60,IF(A60='Données projet'!$A$166,'Données projet'!$B$166,DO59+DN60-DW59)))</f>
        <v>226.3162500000002</v>
      </c>
      <c r="DP60" s="17">
        <f>DO60*VLOOKUP('Données projet'!$B$14,Paramètres!$A$1:$I$89,3,0)*VLOOKUP('Données projet'!$B$14,Paramètres!$A$1:$I$89,5,0)</f>
        <v>204.77094300000016</v>
      </c>
      <c r="DQ60" s="13">
        <f t="shared" si="43"/>
        <v>50.791233664926693</v>
      </c>
      <c r="DR60" s="20">
        <f t="shared" si="16"/>
        <v>445.10412435808092</v>
      </c>
      <c r="DS60" s="59">
        <f t="shared" si="17"/>
        <v>723.56251264704588</v>
      </c>
      <c r="DT60" s="59">
        <f ca="1">AVERAGE(OFFSET($DS$3,0,0,'Données projet'!$E$14+1,1))-AVERAGE(OFFSET($H$3,0,0,'Données projet'!$E$14+1,1))</f>
        <v>602.02351907077332</v>
      </c>
      <c r="DU60" s="59">
        <f t="shared" si="44"/>
        <v>278.08067690827272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8.1390716370115399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8.1390716370115399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65.943196806081332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65.943196806081332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65.943196806081332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65.943196806081332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2.2000000000000002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8.0666666666666682</v>
      </c>
      <c r="H61" s="67">
        <f t="shared" si="1"/>
        <v>224.4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66.013573271842603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14.12</v>
      </c>
      <c r="N61" s="13">
        <f>IF('Données projet'!$A$36&gt;35,N60+M61-V60,IF(A61&lt;'Données projet'!$A$36,$K$205^A61,IF(A61='Données projet'!$A$36,'Données projet'!$B$36,N60+M61-V60)))</f>
        <v>412.70000000000022</v>
      </c>
      <c r="O61" s="13">
        <f>N61*VLOOKUP('Données projet'!$B$9,Paramètres!$A$1:$I$89,3,0)*VLOOKUP('Données projet'!$B$9,Paramètres!$A$1:$I$89,5,0)</f>
        <v>246.79460000000014</v>
      </c>
      <c r="P61" s="13">
        <f t="shared" si="33"/>
        <v>59.899038030532552</v>
      </c>
      <c r="Q61" s="20">
        <f t="shared" si="53"/>
        <v>534.15808623651117</v>
      </c>
      <c r="R61" s="59">
        <f t="shared" si="0"/>
        <v>812.87452156660072</v>
      </c>
      <c r="S61" s="59">
        <f ca="1">AVERAGE(OFFSET($R$3,0,0,'Données projet'!$E$9+1,1))-AVERAGE(OFFSET($H$3,0,0,'Données projet'!$E$9+1,1))</f>
        <v>360.09035401555587</v>
      </c>
      <c r="T61" s="59">
        <f t="shared" si="34"/>
        <v>266.54879627869821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25.426862994050364</v>
      </c>
      <c r="AA61" s="21">
        <f>EXP(-LN(2)/25)*AA60+(1-EXP(-LN(2)/25))/(LN(2)/25)*Calculateur!V61*Calculateur!X61*VLOOKUP('Données projet'!$B$9,Paramètres!$A$1:$I$89,3,0)*0.475*44/12</f>
        <v>28.535858449691837</v>
      </c>
      <c r="AB61" s="21">
        <f>EXP(-LN(2)/2)*AB60+(1-EXP(-LN(2)/2))/(LN(2)/2)*V61*Y61*VLOOKUP('Données projet'!$B$9,Paramètres!$A$1:$I$89,3,0)*0.475*44/12</f>
        <v>0</v>
      </c>
      <c r="AC61" s="22">
        <f t="shared" si="3"/>
        <v>53.962721443742197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66.013573271842603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8.757142857142858</v>
      </c>
      <c r="AI61" s="13">
        <f>IF('Données projet'!$A$62&gt;35,AI60+AH61-AQ60,IF(A61&lt;'Données projet'!$A$62,$AF$205^A61,IF(A61='Données projet'!$A$62,'Données projet'!$B$62,AI60+AH61-AQ60)))</f>
        <v>173.8228571428572</v>
      </c>
      <c r="AJ61" s="13">
        <f>AI61*VLOOKUP('Données projet'!$B$10,Paramètres!$A$1:$I$89,3,0)*VLOOKUP('Données projet'!$B$10,Paramètres!$A$1:$I$89,5,0)</f>
        <v>146.42837485714293</v>
      </c>
      <c r="AK61" s="13">
        <f t="shared" si="35"/>
        <v>37.765786099604732</v>
      </c>
      <c r="AL61" s="20">
        <f t="shared" si="4"/>
        <v>320.80483033300214</v>
      </c>
      <c r="AM61" s="59">
        <f t="shared" si="5"/>
        <v>599.52126566309175</v>
      </c>
      <c r="AN61" s="59">
        <f ca="1">AVERAGE(OFFSET($AM$3,0,0,'Données projet'!$E$10+1,1))-AVERAGE(OFFSET($H$3,0,0,'Données projet'!$E$10+1,1))</f>
        <v>377.26246345103175</v>
      </c>
      <c r="AO61" s="59">
        <f t="shared" si="36"/>
        <v>258.25890564000258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7.9956924389513437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7.9956924389513437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66.013573271842603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2.2737367544323206E-13</v>
      </c>
      <c r="BE61" s="13">
        <f>BD61*VLOOKUP('Données projet'!$B$11,Paramètres!$A$1:$I$89,3,0)*VLOOKUP('Données projet'!$B$11,Paramètres!$A$1:$I$89,5,0)</f>
        <v>1.0049916454590858E-13</v>
      </c>
      <c r="BF61" s="13">
        <f t="shared" si="37"/>
        <v>1.5089081593838289E-12</v>
      </c>
      <c r="BG61" s="20">
        <f t="shared" si="7"/>
        <v>2.8030510891776262E-12</v>
      </c>
      <c r="BH61" s="59">
        <f t="shared" si="8"/>
        <v>278.71643533009234</v>
      </c>
      <c r="BI61" s="59">
        <f ca="1">AVERAGE(OFFSET($BH$3,0,0,'Données projet'!$E$11+1,1))-AVERAGE(OFFSET($H$3,0,0,'Données projet'!$E$11+1,1))</f>
        <v>333.23043896066253</v>
      </c>
      <c r="BJ61" s="59">
        <f t="shared" si="38"/>
        <v>440.63438368668983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171.72286911860667</v>
      </c>
      <c r="BQ61" s="21">
        <f>EXP(-LN(2)/25)*BQ60+(1-EXP(-LN(2)/25))/(LN(2)/25)*Calculateur!BL61*Calculateur!BN61*VLOOKUP('Données projet'!$B$11,Paramètres!$A$1:$I$89,3,0)*0.475*44/12</f>
        <v>124.09786083259939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295.82072995120609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66.013573271842603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8.0760960000000015</v>
      </c>
      <c r="BY61" s="12">
        <f>IF('Données projet'!$A$114&gt;35,BY60+BX61-CG60,IF(A61&lt;'Données projet'!$A$114,$BV$205^A61,IF(A61='Données projet'!$A$114,'Données projet'!$B$114,BY60+BX61-CG60)))</f>
        <v>238.20877800000002</v>
      </c>
      <c r="BZ61" s="13">
        <f>BY61*VLOOKUP('Données projet'!$B$12,Paramètres!$A$1:$I$89,3,0)*VLOOKUP('Données projet'!$B$12,Paramètres!$A$1:$I$89,5,0)</f>
        <v>95.998137534000008</v>
      </c>
      <c r="CA61" s="13">
        <f t="shared" si="39"/>
        <v>26.006354691441473</v>
      </c>
      <c r="CB61" s="20">
        <f t="shared" si="10"/>
        <v>212.49115729264392</v>
      </c>
      <c r="CC61" s="59">
        <f t="shared" si="11"/>
        <v>491.2075926227335</v>
      </c>
      <c r="CD61" s="59">
        <f ca="1">AVERAGE(OFFSET($CC$3,0,0,'Données projet'!$E$12+1,1))-AVERAGE(OFFSET($H$3,0,0,'Données projet'!$E$12+1,1))</f>
        <v>177.34129362526608</v>
      </c>
      <c r="CE61" s="59">
        <f t="shared" si="40"/>
        <v>156.93407673501022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14.584488286206717</v>
      </c>
      <c r="CL61" s="21">
        <f>EXP(-LN(2)/25)*CL60+(1-EXP(-LN(2)/25))/(LN(2)/25)*Calculateur!CG61*Calculateur!CI61*VLOOKUP('Données projet'!$B$12,Paramètres!$A$1:$I$89,3,0)*0.475*44/12</f>
        <v>18.965504941854043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33.549993228060757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66.013573271842603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-14.2</v>
      </c>
      <c r="CT61" s="12">
        <f>IF('Données projet'!$A$140&gt;35,CT60+CS61-DB60,IF(A61&lt;'Données projet'!$A$140,$CQ$205^A61,IF(A61='Données projet'!$A$140,'Données projet'!$B$140,CT60+CS61-DB60)))</f>
        <v>157.40000000000012</v>
      </c>
      <c r="CU61" s="17">
        <f>CT61*VLOOKUP('Données projet'!$B$13,Paramètres!$A$1:$I$89,3,0)*VLOOKUP('Données projet'!$B$13,Paramètres!$A$1:$I$89,5,0)</f>
        <v>103.12848000000008</v>
      </c>
      <c r="CV61" s="13">
        <f t="shared" si="41"/>
        <v>27.705973254909065</v>
      </c>
      <c r="CW61" s="20">
        <f t="shared" si="13"/>
        <v>227.87000608563343</v>
      </c>
      <c r="CX61" s="59">
        <f t="shared" si="14"/>
        <v>506.58644141572302</v>
      </c>
      <c r="CY61" s="59">
        <f ca="1">AVERAGE(OFFSET($CX$3,0,0,'Données projet'!$E$13+1,1))-AVERAGE(OFFSET($H$3,0,0,'Données projet'!$E$13+1,1))</f>
        <v>267.49254683294629</v>
      </c>
      <c r="CZ61" s="59">
        <f t="shared" si="42"/>
        <v>278.02595256967254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5.7446077310525778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5.7446077310525778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66.013573271842603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235.87</v>
      </c>
      <c r="DM61" s="12">
        <f>VLOOKUP(A61,'Données projet'!$A$165:$I$185,9,0)</f>
        <v>9.5537500000000009</v>
      </c>
      <c r="DN61" s="12">
        <f t="array" ref="DN61">INDEX(DM:DM,MIN(IF(ISNUMBER(DM61:DM257),ROW(DM61:DM257),"")))</f>
        <v>9.5537500000000009</v>
      </c>
      <c r="DO61" s="12">
        <f>IF('Données projet'!$A$166&gt;35,DO60+DN61-DW60,IF(A61&lt;'Données projet'!$A$166,$DL$205^A61,IF(A61='Données projet'!$A$166,'Données projet'!$B$166,DO60+DN61-DW60)))</f>
        <v>235.8700000000002</v>
      </c>
      <c r="DP61" s="17">
        <f>DO61*VLOOKUP('Données projet'!$B$14,Paramètres!$A$1:$I$89,3,0)*VLOOKUP('Données projet'!$B$14,Paramètres!$A$1:$I$89,5,0)</f>
        <v>213.41517600000017</v>
      </c>
      <c r="DQ61" s="13">
        <f t="shared" si="43"/>
        <v>52.681185448853228</v>
      </c>
      <c r="DR61" s="20">
        <f t="shared" si="16"/>
        <v>463.45116285675294</v>
      </c>
      <c r="DS61" s="59">
        <f t="shared" si="17"/>
        <v>742.1675981868425</v>
      </c>
      <c r="DT61" s="59">
        <f ca="1">AVERAGE(OFFSET($DS$3,0,0,'Données projet'!$E$14+1,1))-AVERAGE(OFFSET($H$3,0,0,'Données projet'!$E$14+1,1))</f>
        <v>602.02351907077332</v>
      </c>
      <c r="DU61" s="59">
        <f t="shared" si="44"/>
        <v>278.08067690827272</v>
      </c>
      <c r="DV61" s="15">
        <f>IF(ISNA(VLOOKUP(A61,'Données projet'!$A$165:$I$185,3,0)),0,VLOOKUP(A61,'Données projet'!$A$165:$I$185,3,0))</f>
        <v>3</v>
      </c>
      <c r="DW61" s="15">
        <f>IF(ISNA(VLOOKUP(A61,'Données projet'!$A$165:$I$185,4,0)),0,VLOOKUP(A61,'Données projet'!$A$165:$I$185,4,0))</f>
        <v>44.93</v>
      </c>
      <c r="DX61" s="16">
        <f>IF(ISNA(VLOOKUP(A61,'Données projet'!$A$165:$I$185,5,0)),0%,VLOOKUP(A61,'Données projet'!$A$165:$I$185,5,0)*VLOOKUP('Données projet'!$B$14,Paramètres!$A$1:$I$89,7,0))</f>
        <v>0.129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13.776770157795863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13.776770157795863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66.013573271842603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66.013573271842603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66.013573271842603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66.013573271842603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2.2000000000000002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8.0666666666666682</v>
      </c>
      <c r="H62" s="67">
        <f t="shared" si="1"/>
        <v>224.4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66.082728863261138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14.12</v>
      </c>
      <c r="N62" s="13">
        <f>IF('Données projet'!$A$36&gt;35,N61+M62-V61,IF(A62&lt;'Données projet'!$A$36,$K$205^A62,IF(A62='Données projet'!$A$36,'Données projet'!$B$36,N61+M62-V61)))</f>
        <v>426.82000000000022</v>
      </c>
      <c r="O62" s="13">
        <f>N62*VLOOKUP('Données projet'!$B$9,Paramètres!$A$1:$I$89,3,0)*VLOOKUP('Données projet'!$B$9,Paramètres!$A$1:$I$89,5,0)</f>
        <v>255.23836000000014</v>
      </c>
      <c r="P62" s="13">
        <f t="shared" si="33"/>
        <v>61.706299433596136</v>
      </c>
      <c r="Q62" s="20">
        <f t="shared" si="53"/>
        <v>552.0119485135134</v>
      </c>
      <c r="R62" s="59">
        <f t="shared" si="0"/>
        <v>830.98195434547097</v>
      </c>
      <c r="S62" s="59">
        <f ca="1">AVERAGE(OFFSET($R$3,0,0,'Données projet'!$E$9+1,1))-AVERAGE(OFFSET($H$3,0,0,'Données projet'!$E$9+1,1))</f>
        <v>360.09035401555587</v>
      </c>
      <c r="T62" s="59">
        <f t="shared" si="34"/>
        <v>266.54879627869821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24.928257719592089</v>
      </c>
      <c r="AA62" s="21">
        <f>EXP(-LN(2)/25)*AA61+(1-EXP(-LN(2)/25))/(LN(2)/25)*Calculateur!V62*Calculateur!X62*VLOOKUP('Données projet'!$B$9,Paramètres!$A$1:$I$89,3,0)*0.475*44/12</f>
        <v>27.755543899749437</v>
      </c>
      <c r="AB62" s="21">
        <f>EXP(-LN(2)/2)*AB61+(1-EXP(-LN(2)/2))/(LN(2)/2)*V62*Y62*VLOOKUP('Données projet'!$B$9,Paramètres!$A$1:$I$89,3,0)*0.475*44/12</f>
        <v>0</v>
      </c>
      <c r="AC62" s="22">
        <f t="shared" si="3"/>
        <v>52.683801619341523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66.082728863261138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182.58</v>
      </c>
      <c r="AG62" s="12">
        <f>VLOOKUP(A62,'Données projet'!$A$61:$I$81,9,0)</f>
        <v>8.757142857142858</v>
      </c>
      <c r="AH62" s="12">
        <f t="array" ref="AH62">INDEX(AG:AG,MIN(IF(ISNUMBER(AG62:AG258),ROW(AG62:AG258),"")))</f>
        <v>8.757142857142858</v>
      </c>
      <c r="AI62" s="13">
        <f>IF('Données projet'!$A$62&gt;35,AI61+AH62-AQ61,IF(A62&lt;'Données projet'!$A$62,$AF$205^A62,IF(A62='Données projet'!$A$62,'Données projet'!$B$62,AI61+AH62-AQ61)))</f>
        <v>182.58000000000007</v>
      </c>
      <c r="AJ62" s="13">
        <f>AI62*VLOOKUP('Données projet'!$B$10,Paramètres!$A$1:$I$89,3,0)*VLOOKUP('Données projet'!$B$10,Paramètres!$A$1:$I$89,5,0)</f>
        <v>153.80539200000007</v>
      </c>
      <c r="AK62" s="13">
        <f t="shared" si="35"/>
        <v>39.442109649056263</v>
      </c>
      <c r="AL62" s="20">
        <f t="shared" si="4"/>
        <v>336.57273203877315</v>
      </c>
      <c r="AM62" s="59">
        <f t="shared" si="5"/>
        <v>615.54273787073066</v>
      </c>
      <c r="AN62" s="59">
        <f ca="1">AVERAGE(OFFSET($AM$3,0,0,'Données projet'!$E$10+1,1))-AVERAGE(OFFSET($H$3,0,0,'Données projet'!$E$10+1,1))</f>
        <v>377.26246345103175</v>
      </c>
      <c r="AO62" s="59">
        <f t="shared" si="36"/>
        <v>258.25890564000258</v>
      </c>
      <c r="AP62" s="15">
        <f>IF(ISNA(VLOOKUP(A62,'Données projet'!$A$61:$I$81,3,0)),0,VLOOKUP(A62,'Données projet'!$A$61:$I$81,3,0))</f>
        <v>4</v>
      </c>
      <c r="AQ62" s="15">
        <f>IF(ISNA(VLOOKUP(A62,'Données projet'!$A$61:$I$81,4,0)),0,VLOOKUP(A62,'Données projet'!$A$61:$I$81,4,0))</f>
        <v>38.119999999999997</v>
      </c>
      <c r="AR62" s="16">
        <f>IF(ISNA(VLOOKUP(A62,'Données projet'!$A$61:$I$81,5,0)),0%,VLOOKUP(A62,'Données projet'!$A$61:$I$81,5,0)*VLOOKUP('Données projet'!$B$10,Paramètres!$A$1:$I$89,7,0))</f>
        <v>0.129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12.418296420305392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12.418296420305392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66.082728863261138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2.2737367544323206E-13</v>
      </c>
      <c r="BE62" s="13">
        <f>BD62*VLOOKUP('Données projet'!$B$11,Paramètres!$A$1:$I$89,3,0)*VLOOKUP('Données projet'!$B$11,Paramètres!$A$1:$I$89,5,0)</f>
        <v>1.0049916454590858E-13</v>
      </c>
      <c r="BF62" s="13">
        <f t="shared" si="37"/>
        <v>1.5089081593838289E-12</v>
      </c>
      <c r="BG62" s="20">
        <f t="shared" si="7"/>
        <v>2.8030510891776262E-12</v>
      </c>
      <c r="BH62" s="59">
        <f t="shared" si="8"/>
        <v>278.97000583196029</v>
      </c>
      <c r="BI62" s="59">
        <f ca="1">AVERAGE(OFFSET($BH$3,0,0,'Données projet'!$E$11+1,1))-AVERAGE(OFFSET($H$3,0,0,'Données projet'!$E$11+1,1))</f>
        <v>333.23043896066253</v>
      </c>
      <c r="BJ62" s="59">
        <f t="shared" si="38"/>
        <v>440.63438368668983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168.35548839579869</v>
      </c>
      <c r="BQ62" s="21">
        <f>EXP(-LN(2)/25)*BQ61+(1-EXP(-LN(2)/25))/(LN(2)/25)*Calculateur!BL62*Calculateur!BN62*VLOOKUP('Données projet'!$B$11,Paramètres!$A$1:$I$89,3,0)*0.475*44/12</f>
        <v>120.7043983021091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289.05988669790781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66.082728863261138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8.0760960000000015</v>
      </c>
      <c r="BY62" s="12">
        <f>IF('Données projet'!$A$114&gt;35,BY61+BX62-CG61,IF(A62&lt;'Données projet'!$A$114,$BV$205^A62,IF(A62='Données projet'!$A$114,'Données projet'!$B$114,BY61+BX62-CG61)))</f>
        <v>246.28487400000003</v>
      </c>
      <c r="BZ62" s="13">
        <f>BY62*VLOOKUP('Données projet'!$B$12,Paramètres!$A$1:$I$89,3,0)*VLOOKUP('Données projet'!$B$12,Paramètres!$A$1:$I$89,5,0)</f>
        <v>99.252804222000009</v>
      </c>
      <c r="CA62" s="13">
        <f t="shared" si="39"/>
        <v>26.783910831273619</v>
      </c>
      <c r="CB62" s="20">
        <f t="shared" si="10"/>
        <v>219.51394538445155</v>
      </c>
      <c r="CC62" s="59">
        <f t="shared" si="11"/>
        <v>498.48395121640908</v>
      </c>
      <c r="CD62" s="59">
        <f ca="1">AVERAGE(OFFSET($CC$3,0,0,'Données projet'!$E$12+1,1))-AVERAGE(OFFSET($H$3,0,0,'Données projet'!$E$12+1,1))</f>
        <v>177.34129362526608</v>
      </c>
      <c r="CE62" s="59">
        <f t="shared" si="40"/>
        <v>156.93407673501022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14.298495366573684</v>
      </c>
      <c r="CL62" s="21">
        <f>EXP(-LN(2)/25)*CL61+(1-EXP(-LN(2)/25))/(LN(2)/25)*Calculateur!CG62*Calculateur!CI62*VLOOKUP('Données projet'!$B$12,Paramètres!$A$1:$I$89,3,0)*0.475*44/12</f>
        <v>18.446892211866487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32.745387578440173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66.082728863261138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-14.2</v>
      </c>
      <c r="CT62" s="12">
        <f>IF('Données projet'!$A$140&gt;35,CT61+CS62-DB61,IF(A62&lt;'Données projet'!$A$140,$CQ$205^A62,IF(A62='Données projet'!$A$140,'Données projet'!$B$140,CT61+CS62-DB61)))</f>
        <v>143.20000000000013</v>
      </c>
      <c r="CU62" s="17">
        <f>CT62*VLOOKUP('Données projet'!$B$13,Paramètres!$A$1:$I$89,3,0)*VLOOKUP('Données projet'!$B$13,Paramètres!$A$1:$I$89,5,0)</f>
        <v>93.824640000000088</v>
      </c>
      <c r="CV62" s="13">
        <f t="shared" si="41"/>
        <v>25.48538998338303</v>
      </c>
      <c r="CW62" s="20">
        <f t="shared" si="13"/>
        <v>207.79830222105889</v>
      </c>
      <c r="CX62" s="59">
        <f t="shared" si="14"/>
        <v>486.76830805301643</v>
      </c>
      <c r="CY62" s="59">
        <f ca="1">AVERAGE(OFFSET($CX$3,0,0,'Données projet'!$E$13+1,1))-AVERAGE(OFFSET($H$3,0,0,'Données projet'!$E$13+1,1))</f>
        <v>267.49254683294629</v>
      </c>
      <c r="CZ62" s="59">
        <f t="shared" si="42"/>
        <v>278.02595256967254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5.6319594773113746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5.6319594773113746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66.082728863261138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9.2524999999999977</v>
      </c>
      <c r="DO62" s="12">
        <f>IF('Données projet'!$A$166&gt;35,DO61+DN62-DW61,IF(A62&lt;'Données projet'!$A$166,$DL$205^A62,IF(A62='Données projet'!$A$166,'Données projet'!$B$166,DO61+DN62-DW61)))</f>
        <v>200.19250000000019</v>
      </c>
      <c r="DP62" s="17">
        <f>DO62*VLOOKUP('Données projet'!$B$14,Paramètres!$A$1:$I$89,3,0)*VLOOKUP('Données projet'!$B$14,Paramètres!$A$1:$I$89,5,0)</f>
        <v>181.13417400000017</v>
      </c>
      <c r="DQ62" s="13">
        <f t="shared" si="43"/>
        <v>45.574426667354729</v>
      </c>
      <c r="DR62" s="20">
        <f t="shared" si="16"/>
        <v>394.85081282897653</v>
      </c>
      <c r="DS62" s="59">
        <f t="shared" si="17"/>
        <v>673.82081866093404</v>
      </c>
      <c r="DT62" s="59">
        <f ca="1">AVERAGE(OFFSET($DS$3,0,0,'Données projet'!$E$14+1,1))-AVERAGE(OFFSET($H$3,0,0,'Données projet'!$E$14+1,1))</f>
        <v>602.02351907077332</v>
      </c>
      <c r="DU62" s="59">
        <f t="shared" si="44"/>
        <v>278.08067690827272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13.506616098001555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13.506616098001555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66.082728863261138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66.082728863261138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66.082728863261138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66.082728863261138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2.2000000000000002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8.0666666666666682</v>
      </c>
      <c r="H63" s="67">
        <f t="shared" si="1"/>
        <v>224.4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66.150684759777292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440.94</v>
      </c>
      <c r="L63" s="12">
        <f>VLOOKUP(A63,'Données projet'!$A$35:$I$55,9,0)</f>
        <v>14.12</v>
      </c>
      <c r="M63" s="12">
        <f t="array" ref="M63">INDEX(L:L,MIN(IF(ISNUMBER(L63:L259),ROW(L63:L259),"")))</f>
        <v>14.12</v>
      </c>
      <c r="N63" s="13">
        <f>IF('Données projet'!$A$36&gt;35,N62+M63-V62,IF(A63&lt;'Données projet'!$A$36,$K$205^A63,IF(A63='Données projet'!$A$36,'Données projet'!$B$36,N62+M63-V62)))</f>
        <v>440.94000000000023</v>
      </c>
      <c r="O63" s="13">
        <f>N63*VLOOKUP('Données projet'!$B$9,Paramètres!$A$1:$I$89,3,0)*VLOOKUP('Données projet'!$B$9,Paramètres!$A$1:$I$89,5,0)</f>
        <v>263.68212000000017</v>
      </c>
      <c r="P63" s="13">
        <f t="shared" si="33"/>
        <v>63.506613606650063</v>
      </c>
      <c r="Q63" s="20">
        <f t="shared" si="53"/>
        <v>569.85371103158241</v>
      </c>
      <c r="R63" s="59">
        <f t="shared" si="0"/>
        <v>849.07288848409917</v>
      </c>
      <c r="S63" s="59">
        <f ca="1">AVERAGE(OFFSET($R$3,0,0,'Données projet'!$E$9+1,1))-AVERAGE(OFFSET($H$3,0,0,'Données projet'!$E$9+1,1))</f>
        <v>360.09035401555587</v>
      </c>
      <c r="T63" s="59">
        <f t="shared" si="34"/>
        <v>266.54879627869821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69.849999999999994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0.13500000000000001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41.893893301456316</v>
      </c>
      <c r="AA63" s="21">
        <f>EXP(-LN(2)/25)*AA62+(1-EXP(-LN(2)/25))/(LN(2)/25)*Calculateur!V63*Calculateur!X63*VLOOKUP('Données projet'!$B$9,Paramètres!$A$1:$I$89,3,0)*0.475*44/12</f>
        <v>34.447597936850762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76.341491238307071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66.150684759777292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8.5500000000000007</v>
      </c>
      <c r="AI63" s="13">
        <f>IF('Données projet'!$A$62&gt;35,AI62+AH63-AQ62,IF(A63&lt;'Données projet'!$A$62,$AF$205^A63,IF(A63='Données projet'!$A$62,'Données projet'!$B$62,AI62+AH63-AQ62)))</f>
        <v>153.01000000000008</v>
      </c>
      <c r="AJ63" s="13">
        <f>AI63*VLOOKUP('Données projet'!$B$10,Paramètres!$A$1:$I$89,3,0)*VLOOKUP('Données projet'!$B$10,Paramètres!$A$1:$I$89,5,0)</f>
        <v>128.89562400000008</v>
      </c>
      <c r="AK63" s="13">
        <f t="shared" si="35"/>
        <v>33.741043892711964</v>
      </c>
      <c r="AL63" s="20">
        <f t="shared" si="4"/>
        <v>283.25886324647348</v>
      </c>
      <c r="AM63" s="59">
        <f t="shared" si="5"/>
        <v>562.47804069899018</v>
      </c>
      <c r="AN63" s="59">
        <f ca="1">AVERAGE(OFFSET($AM$3,0,0,'Données projet'!$E$10+1,1))-AVERAGE(OFFSET($H$3,0,0,'Données projet'!$E$10+1,1))</f>
        <v>377.26246345103175</v>
      </c>
      <c r="AO63" s="59">
        <f t="shared" si="36"/>
        <v>258.25890564000258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12.174781201916108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12.174781201916108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66.150684759777292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2.2737367544323206E-13</v>
      </c>
      <c r="BE63" s="13">
        <f>BD63*VLOOKUP('Données projet'!$B$11,Paramètres!$A$1:$I$89,3,0)*VLOOKUP('Données projet'!$B$11,Paramètres!$A$1:$I$89,5,0)</f>
        <v>1.0049916454590858E-13</v>
      </c>
      <c r="BF63" s="13">
        <f t="shared" si="37"/>
        <v>1.5089081593838289E-12</v>
      </c>
      <c r="BG63" s="20">
        <f t="shared" si="7"/>
        <v>2.8030510891776262E-12</v>
      </c>
      <c r="BH63" s="59">
        <f t="shared" si="8"/>
        <v>279.21917745251949</v>
      </c>
      <c r="BI63" s="59">
        <f ca="1">AVERAGE(OFFSET($BH$3,0,0,'Données projet'!$E$11+1,1))-AVERAGE(OFFSET($H$3,0,0,'Données projet'!$E$11+1,1))</f>
        <v>333.23043896066253</v>
      </c>
      <c r="BJ63" s="59">
        <f t="shared" si="38"/>
        <v>440.63438368668983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165.05413995506552</v>
      </c>
      <c r="BQ63" s="21">
        <f>EXP(-LN(2)/25)*BQ62+(1-EXP(-LN(2)/25))/(LN(2)/25)*Calculateur!BL63*Calculateur!BN63*VLOOKUP('Données projet'!$B$11,Paramètres!$A$1:$I$89,3,0)*0.475*44/12</f>
        <v>117.4037301829695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282.45787013803499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66.150684759777292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254.36097000000001</v>
      </c>
      <c r="BW63" s="12">
        <f>VLOOKUP(A63,'Données projet'!$A$113:$I$133,9,0)</f>
        <v>8.0760960000000015</v>
      </c>
      <c r="BX63" s="12">
        <f t="array" ref="BX63">INDEX(BW:BW,MIN(IF(ISNUMBER(BW63:BW259),ROW(BW63:BW259),"")))</f>
        <v>8.0760960000000015</v>
      </c>
      <c r="BY63" s="12">
        <f>IF('Données projet'!$A$114&gt;35,BY62+BX63-CG62,IF(A63&lt;'Données projet'!$A$114,$BV$205^A63,IF(A63='Données projet'!$A$114,'Données projet'!$B$114,BY62+BX63-CG62)))</f>
        <v>254.36097000000004</v>
      </c>
      <c r="BZ63" s="13">
        <f>BY63*VLOOKUP('Données projet'!$B$12,Paramètres!$A$1:$I$89,3,0)*VLOOKUP('Données projet'!$B$12,Paramètres!$A$1:$I$89,5,0)</f>
        <v>102.50747091000002</v>
      </c>
      <c r="CA63" s="13">
        <f t="shared" si="39"/>
        <v>27.558504172539816</v>
      </c>
      <c r="CB63" s="20">
        <f t="shared" si="10"/>
        <v>226.53157326875689</v>
      </c>
      <c r="CC63" s="59">
        <f t="shared" si="11"/>
        <v>505.75075072127356</v>
      </c>
      <c r="CD63" s="59">
        <f ca="1">AVERAGE(OFFSET($CC$3,0,0,'Données projet'!$E$12+1,1))-AVERAGE(OFFSET($H$3,0,0,'Données projet'!$E$12+1,1))</f>
        <v>177.34129362526608</v>
      </c>
      <c r="CE63" s="59">
        <f t="shared" si="40"/>
        <v>156.93407673501022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21.27186</v>
      </c>
      <c r="CH63" s="16">
        <f>IF(ISNA(VLOOKUP(A63,'Données projet'!$A$113:$I$133,5,0)),0%,VLOOKUP(A63,'Données projet'!$A$113:$I$133,5,0)*VLOOKUP('Données projet'!$B$12,Paramètres!$A$1:$I$89,7,0))</f>
        <v>0.38500000000000001</v>
      </c>
      <c r="CI63" s="16">
        <f>IF(ISNA(VLOOKUP(A63,'Données projet'!$A$113:$I$133,6,0)),0%,VLOOKUP(A63,'Données projet'!$A$113:$I$133,6,0)*VLOOKUP('Données projet'!$B$12,Paramètres!$A$1:$I$89,7,0))</f>
        <v>0.16500000000000001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18.396350933577999</v>
      </c>
      <c r="CL63" s="21">
        <f>EXP(-LN(2)/25)*CL62+(1-EXP(-LN(2)/25))/(LN(2)/25)*Calculateur!CG63*Calculateur!CI63*VLOOKUP('Données projet'!$B$12,Paramètres!$A$1:$I$89,3,0)*0.475*44/12</f>
        <v>19.811461634023029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38.207812567601025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66.150684759777292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129</v>
      </c>
      <c r="CR63" s="12">
        <f>VLOOKUP(A63,'Données projet'!$A$139:$I$159,9,0)</f>
        <v>-14.2</v>
      </c>
      <c r="CS63" s="12">
        <f t="array" ref="CS63">INDEX(CR:CR,MIN(IF(ISNUMBER(CR63:CR259),ROW(CR63:CR259),"")))</f>
        <v>-14.2</v>
      </c>
      <c r="CT63" s="12">
        <f>IF('Données projet'!$A$140&gt;35,CT62+CS63-DB62,IF(A63&lt;'Données projet'!$A$140,$CQ$205^A63,IF(A63='Données projet'!$A$140,'Données projet'!$B$140,CT62+CS63-DB62)))</f>
        <v>129.00000000000014</v>
      </c>
      <c r="CU63" s="17">
        <f>CT63*VLOOKUP('Données projet'!$B$13,Paramètres!$A$1:$I$89,3,0)*VLOOKUP('Données projet'!$B$13,Paramètres!$A$1:$I$89,5,0)</f>
        <v>84.520800000000094</v>
      </c>
      <c r="CV63" s="13">
        <f t="shared" si="41"/>
        <v>23.238982076664772</v>
      </c>
      <c r="CW63" s="20">
        <f t="shared" si="13"/>
        <v>187.6816204501913</v>
      </c>
      <c r="CX63" s="59">
        <f t="shared" si="14"/>
        <v>466.90079790270801</v>
      </c>
      <c r="CY63" s="59">
        <f ca="1">AVERAGE(OFFSET($CX$3,0,0,'Données projet'!$E$13+1,1))-AVERAGE(OFFSET($H$3,0,0,'Données projet'!$E$13+1,1))</f>
        <v>267.49254683294629</v>
      </c>
      <c r="CZ63" s="59">
        <f t="shared" si="42"/>
        <v>278.02595256967254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22</v>
      </c>
      <c r="DC63" s="16">
        <f>IF(ISNA(VLOOKUP(A63,'Données projet'!$A$139:$I$159,5,0)),0%,VLOOKUP(A63,'Données projet'!$A$139:$I$159,5,0)*VLOOKUP('Données projet'!$B$13,Paramètres!$A$1:$I$89,7,0))</f>
        <v>0.129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7.5770954859148141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7.5770954859148141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66.150684759777292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9.2524999999999977</v>
      </c>
      <c r="DO63" s="12">
        <f>IF('Données projet'!$A$166&gt;35,DO62+DN63-DW62,IF(A63&lt;'Données projet'!$A$166,$DL$205^A63,IF(A63='Données projet'!$A$166,'Données projet'!$B$166,DO62+DN63-DW62)))</f>
        <v>209.44500000000019</v>
      </c>
      <c r="DP63" s="17">
        <f>DO63*VLOOKUP('Données projet'!$B$14,Paramètres!$A$1:$I$89,3,0)*VLOOKUP('Données projet'!$B$14,Paramètres!$A$1:$I$89,5,0)</f>
        <v>189.50583600000016</v>
      </c>
      <c r="DQ63" s="13">
        <f t="shared" si="43"/>
        <v>47.430683653447495</v>
      </c>
      <c r="DR63" s="20">
        <f t="shared" si="16"/>
        <v>412.6644383964213</v>
      </c>
      <c r="DS63" s="59">
        <f t="shared" si="17"/>
        <v>691.88361584893801</v>
      </c>
      <c r="DT63" s="59">
        <f ca="1">AVERAGE(OFFSET($DS$3,0,0,'Données projet'!$E$14+1,1))-AVERAGE(OFFSET($H$3,0,0,'Données projet'!$E$14+1,1))</f>
        <v>602.02351907077332</v>
      </c>
      <c r="DU63" s="59">
        <f t="shared" si="44"/>
        <v>278.08067690827272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13.241759594542106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13.241759594542106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66.150684759777292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66.150684759777292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66.150684759777292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66.150684759777292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2.2000000000000002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8.0666666666666682</v>
      </c>
      <c r="H64" s="67">
        <f t="shared" si="1"/>
        <v>224.4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66.217461773415522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11.896999999999997</v>
      </c>
      <c r="N64" s="13">
        <f>IF('Données projet'!$A$36&gt;35,N63+M64-V63,IF(A64&lt;'Données projet'!$A$36,$K$205^A64,IF(A64='Données projet'!$A$36,'Données projet'!$B$36,N63+M64-V63)))</f>
        <v>382.98700000000019</v>
      </c>
      <c r="O64" s="13">
        <f>N64*VLOOKUP('Données projet'!$B$9,Paramètres!$A$1:$I$89,3,0)*VLOOKUP('Données projet'!$B$9,Paramètres!$A$1:$I$89,5,0)</f>
        <v>229.02622600000012</v>
      </c>
      <c r="P64" s="13">
        <f t="shared" si="33"/>
        <v>56.072076861881605</v>
      </c>
      <c r="Q64" s="20">
        <f t="shared" si="53"/>
        <v>496.54621081777736</v>
      </c>
      <c r="R64" s="59">
        <f t="shared" si="0"/>
        <v>776.01023732030103</v>
      </c>
      <c r="S64" s="59">
        <f ca="1">AVERAGE(OFFSET($R$3,0,0,'Données projet'!$E$9+1,1))-AVERAGE(OFFSET($H$3,0,0,'Données projet'!$E$9+1,1))</f>
        <v>360.09035401555587</v>
      </c>
      <c r="T64" s="59">
        <f t="shared" si="34"/>
        <v>266.54879627869821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41.07237960656655</v>
      </c>
      <c r="AA64" s="21">
        <f>EXP(-LN(2)/25)*AA63+(1-EXP(-LN(2)/25))/(LN(2)/25)*Calculateur!V64*Calculateur!X64*VLOOKUP('Données projet'!$B$9,Paramètres!$A$1:$I$89,3,0)*0.475*44/12</f>
        <v>33.505626559747135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74.578006166313685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66.217461773415522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8.5500000000000007</v>
      </c>
      <c r="AI64" s="13">
        <f>IF('Données projet'!$A$62&gt;35,AI63+AH64-AQ63,IF(A64&lt;'Données projet'!$A$62,$AF$205^A64,IF(A64='Données projet'!$A$62,'Données projet'!$B$62,AI63+AH64-AQ63)))</f>
        <v>161.56000000000009</v>
      </c>
      <c r="AJ64" s="13">
        <f>AI64*VLOOKUP('Données projet'!$B$10,Paramètres!$A$1:$I$89,3,0)*VLOOKUP('Données projet'!$B$10,Paramètres!$A$1:$I$89,5,0)</f>
        <v>136.09814400000008</v>
      </c>
      <c r="AK64" s="13">
        <f t="shared" si="35"/>
        <v>35.401679921027657</v>
      </c>
      <c r="AL64" s="20">
        <f t="shared" si="4"/>
        <v>298.69552666245664</v>
      </c>
      <c r="AM64" s="59">
        <f t="shared" si="5"/>
        <v>578.15955316498025</v>
      </c>
      <c r="AN64" s="59">
        <f ca="1">AVERAGE(OFFSET($AM$3,0,0,'Données projet'!$E$10+1,1))-AVERAGE(OFFSET($H$3,0,0,'Données projet'!$E$10+1,1))</f>
        <v>377.26246345103175</v>
      </c>
      <c r="AO64" s="59">
        <f t="shared" si="36"/>
        <v>258.25890564000258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11.936041168429821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11.936041168429821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66.217461773415522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2.2737367544323206E-13</v>
      </c>
      <c r="BE64" s="13">
        <f>BD64*VLOOKUP('Données projet'!$B$11,Paramètres!$A$1:$I$89,3,0)*VLOOKUP('Données projet'!$B$11,Paramètres!$A$1:$I$89,5,0)</f>
        <v>1.0049916454590858E-13</v>
      </c>
      <c r="BF64" s="13">
        <f t="shared" si="37"/>
        <v>1.5089081593838289E-12</v>
      </c>
      <c r="BG64" s="20">
        <f t="shared" si="7"/>
        <v>2.8030510891776262E-12</v>
      </c>
      <c r="BH64" s="59">
        <f t="shared" si="8"/>
        <v>279.46402650252639</v>
      </c>
      <c r="BI64" s="59">
        <f ca="1">AVERAGE(OFFSET($BH$3,0,0,'Données projet'!$E$11+1,1))-AVERAGE(OFFSET($H$3,0,0,'Données projet'!$E$11+1,1))</f>
        <v>333.23043896066253</v>
      </c>
      <c r="BJ64" s="59">
        <f t="shared" si="38"/>
        <v>440.63438368668983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161.81752894363143</v>
      </c>
      <c r="BQ64" s="21">
        <f>EXP(-LN(2)/25)*BQ63+(1-EXP(-LN(2)/25))/(LN(2)/25)*Calculateur!BL64*Calculateur!BN64*VLOOKUP('Données projet'!$B$11,Paramètres!$A$1:$I$89,3,0)*0.475*44/12</f>
        <v>114.19331900712235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276.01084795075377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66.217461773415522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7.4992320000000063</v>
      </c>
      <c r="BY64" s="12">
        <f>IF('Données projet'!$A$114&gt;35,BY63+BX64-CG63,IF(A64&lt;'Données projet'!$A$114,$BV$205^A64,IF(A64='Données projet'!$A$114,'Données projet'!$B$114,BY63+BX64-CG63)))</f>
        <v>240.58834200000007</v>
      </c>
      <c r="BZ64" s="13">
        <f>BY64*VLOOKUP('Données projet'!$B$12,Paramètres!$A$1:$I$89,3,0)*VLOOKUP('Données projet'!$B$12,Paramètres!$A$1:$I$89,5,0)</f>
        <v>96.957101826000027</v>
      </c>
      <c r="CA64" s="13">
        <f t="shared" si="39"/>
        <v>26.235770418472196</v>
      </c>
      <c r="CB64" s="20">
        <f t="shared" si="10"/>
        <v>214.56091915912245</v>
      </c>
      <c r="CC64" s="59">
        <f t="shared" si="11"/>
        <v>494.02494566164603</v>
      </c>
      <c r="CD64" s="59">
        <f ca="1">AVERAGE(OFFSET($CC$3,0,0,'Données projet'!$E$12+1,1))-AVERAGE(OFFSET($H$3,0,0,'Données projet'!$E$12+1,1))</f>
        <v>177.34129362526608</v>
      </c>
      <c r="CE64" s="59">
        <f t="shared" si="40"/>
        <v>156.93407673501022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18.035609712436656</v>
      </c>
      <c r="CL64" s="21">
        <f>EXP(-LN(2)/25)*CL63+(1-EXP(-LN(2)/25))/(LN(2)/25)*Calculateur!CG64*Calculateur!CI64*VLOOKUP('Données projet'!$B$12,Paramètres!$A$1:$I$89,3,0)*0.475*44/12</f>
        <v>19.269716173801182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37.305325886237839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66.217461773415522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25.2</v>
      </c>
      <c r="CT64" s="12">
        <f>IF('Données projet'!$A$140&gt;35,CT63+CS64-DB63,IF(A64&lt;'Données projet'!$A$140,$CQ$205^A64,IF(A64='Données projet'!$A$140,'Données projet'!$B$140,CT63+CS64-DB63)))</f>
        <v>132.20000000000013</v>
      </c>
      <c r="CU64" s="17">
        <f>CT64*VLOOKUP('Données projet'!$B$13,Paramètres!$A$1:$I$89,3,0)*VLOOKUP('Données projet'!$B$13,Paramètres!$A$1:$I$89,5,0)</f>
        <v>86.617440000000087</v>
      </c>
      <c r="CV64" s="13">
        <f t="shared" si="41"/>
        <v>23.747623053373612</v>
      </c>
      <c r="CW64" s="20">
        <f t="shared" si="13"/>
        <v>192.21915148462585</v>
      </c>
      <c r="CX64" s="59">
        <f t="shared" si="14"/>
        <v>471.68317798714946</v>
      </c>
      <c r="CY64" s="59">
        <f ca="1">AVERAGE(OFFSET($CX$3,0,0,'Données projet'!$E$13+1,1))-AVERAGE(OFFSET($H$3,0,0,'Données projet'!$E$13+1,1))</f>
        <v>267.49254683294629</v>
      </c>
      <c r="CZ64" s="59">
        <f t="shared" si="42"/>
        <v>278.02595256967254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7.4285132650079291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7.4285132650079291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66.217461773415522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9.2524999999999977</v>
      </c>
      <c r="DO64" s="12">
        <f>IF('Données projet'!$A$166&gt;35,DO63+DN64-DW63,IF(A64&lt;'Données projet'!$A$166,$DL$205^A64,IF(A64='Données projet'!$A$166,'Données projet'!$B$166,DO63+DN64-DW63)))</f>
        <v>218.69750000000019</v>
      </c>
      <c r="DP64" s="17">
        <f>DO64*VLOOKUP('Données projet'!$B$14,Paramètres!$A$1:$I$89,3,0)*VLOOKUP('Données projet'!$B$14,Paramètres!$A$1:$I$89,5,0)</f>
        <v>197.87749800000014</v>
      </c>
      <c r="DQ64" s="13">
        <f t="shared" si="43"/>
        <v>49.277416774103372</v>
      </c>
      <c r="DR64" s="20">
        <f t="shared" si="16"/>
        <v>430.46147656489694</v>
      </c>
      <c r="DS64" s="59">
        <f t="shared" si="17"/>
        <v>709.92550306742055</v>
      </c>
      <c r="DT64" s="59">
        <f ca="1">AVERAGE(OFFSET($DS$3,0,0,'Données projet'!$E$14+1,1))-AVERAGE(OFFSET($H$3,0,0,'Données projet'!$E$14+1,1))</f>
        <v>602.02351907077332</v>
      </c>
      <c r="DU64" s="59">
        <f t="shared" si="44"/>
        <v>278.08067690827272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12.982096765568983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12.982096765568983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66.217461773415522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66.217461773415522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66.217461773415522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66.217461773415522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2.2000000000000002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8.0666666666666682</v>
      </c>
      <c r="H65" s="67">
        <f t="shared" si="1"/>
        <v>224.4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66.283080355158162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11.896999999999997</v>
      </c>
      <c r="N65" s="13">
        <f>IF('Données projet'!$A$36&gt;35,N64+M65-V64,IF(A65&lt;'Données projet'!$A$36,$K$205^A65,IF(A65='Données projet'!$A$36,'Données projet'!$B$36,N64+M65-V64)))</f>
        <v>394.88400000000019</v>
      </c>
      <c r="O65" s="13">
        <f>N65*VLOOKUP('Données projet'!$B$9,Paramètres!$A$1:$I$89,3,0)*VLOOKUP('Données projet'!$B$9,Paramètres!$A$1:$I$89,5,0)</f>
        <v>236.14063200000015</v>
      </c>
      <c r="P65" s="13">
        <f t="shared" si="33"/>
        <v>57.608386833134347</v>
      </c>
      <c r="Q65" s="20">
        <f t="shared" si="53"/>
        <v>511.61287446770933</v>
      </c>
      <c r="R65" s="59">
        <f t="shared" si="0"/>
        <v>791.31750243662259</v>
      </c>
      <c r="S65" s="59">
        <f ca="1">AVERAGE(OFFSET($R$3,0,0,'Données projet'!$E$9+1,1))-AVERAGE(OFFSET($H$3,0,0,'Données projet'!$E$9+1,1))</f>
        <v>360.09035401555587</v>
      </c>
      <c r="T65" s="59">
        <f t="shared" si="34"/>
        <v>266.54879627869821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40.266975294159693</v>
      </c>
      <c r="AA65" s="21">
        <f>EXP(-LN(2)/25)*AA64+(1-EXP(-LN(2)/25))/(LN(2)/25)*Calculateur!V65*Calculateur!X65*VLOOKUP('Données projet'!$B$9,Paramètres!$A$1:$I$89,3,0)*0.475*44/12</f>
        <v>32.589413439486528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72.856388733646213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66.283080355158162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8.5500000000000007</v>
      </c>
      <c r="AI65" s="13">
        <f>IF('Données projet'!$A$62&gt;35,AI64+AH65-AQ64,IF(A65&lt;'Données projet'!$A$62,$AF$205^A65,IF(A65='Données projet'!$A$62,'Données projet'!$B$62,AI64+AH65-AQ64)))</f>
        <v>170.1100000000001</v>
      </c>
      <c r="AJ65" s="13">
        <f>AI65*VLOOKUP('Données projet'!$B$10,Paramètres!$A$1:$I$89,3,0)*VLOOKUP('Données projet'!$B$10,Paramètres!$A$1:$I$89,5,0)</f>
        <v>143.3006640000001</v>
      </c>
      <c r="AK65" s="13">
        <f t="shared" si="35"/>
        <v>37.052112739725779</v>
      </c>
      <c r="AL65" s="20">
        <f t="shared" si="4"/>
        <v>314.11441948835591</v>
      </c>
      <c r="AM65" s="59">
        <f t="shared" si="5"/>
        <v>593.81904745726911</v>
      </c>
      <c r="AN65" s="59">
        <f ca="1">AVERAGE(OFFSET($AM$3,0,0,'Données projet'!$E$10+1,1))-AVERAGE(OFFSET($H$3,0,0,'Données projet'!$E$10+1,1))</f>
        <v>377.26246345103175</v>
      </c>
      <c r="AO65" s="59">
        <f t="shared" si="36"/>
        <v>258.25890564000258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11.701982681383159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11.701982681383159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66.283080355158162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2.2737367544323206E-13</v>
      </c>
      <c r="BE65" s="13">
        <f>BD65*VLOOKUP('Données projet'!$B$11,Paramètres!$A$1:$I$89,3,0)*VLOOKUP('Données projet'!$B$11,Paramètres!$A$1:$I$89,5,0)</f>
        <v>1.0049916454590858E-13</v>
      </c>
      <c r="BF65" s="13">
        <f t="shared" si="37"/>
        <v>1.5089081593838289E-12</v>
      </c>
      <c r="BG65" s="20">
        <f t="shared" si="7"/>
        <v>2.8030510891776262E-12</v>
      </c>
      <c r="BH65" s="59">
        <f t="shared" si="8"/>
        <v>279.70462796891604</v>
      </c>
      <c r="BI65" s="59">
        <f ca="1">AVERAGE(OFFSET($BH$3,0,0,'Données projet'!$E$11+1,1))-AVERAGE(OFFSET($H$3,0,0,'Données projet'!$E$11+1,1))</f>
        <v>333.23043896066253</v>
      </c>
      <c r="BJ65" s="59">
        <f t="shared" si="38"/>
        <v>440.63438368668983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158.64438589999375</v>
      </c>
      <c r="BQ65" s="21">
        <f>EXP(-LN(2)/25)*BQ64+(1-EXP(-LN(2)/25))/(LN(2)/25)*Calculateur!BL65*Calculateur!BN65*VLOOKUP('Données projet'!$B$11,Paramètres!$A$1:$I$89,3,0)*0.475*44/12</f>
        <v>111.07069669370694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269.71508259370069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66.283080355158162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7.4992320000000063</v>
      </c>
      <c r="BY65" s="12">
        <f>IF('Données projet'!$A$114&gt;35,BY64+BX65-CG64,IF(A65&lt;'Données projet'!$A$114,$BV$205^A65,IF(A65='Données projet'!$A$114,'Données projet'!$B$114,BY64+BX65-CG64)))</f>
        <v>248.08757400000007</v>
      </c>
      <c r="BZ65" s="13">
        <f>BY65*VLOOKUP('Données projet'!$B$12,Paramètres!$A$1:$I$89,3,0)*VLOOKUP('Données projet'!$B$12,Paramètres!$A$1:$I$89,5,0)</f>
        <v>99.97929232200002</v>
      </c>
      <c r="CA65" s="13">
        <f t="shared" si="39"/>
        <v>26.9570641701591</v>
      </c>
      <c r="CB65" s="20">
        <f t="shared" si="10"/>
        <v>221.08082089051047</v>
      </c>
      <c r="CC65" s="59">
        <f t="shared" si="11"/>
        <v>500.7854488594237</v>
      </c>
      <c r="CD65" s="59">
        <f ca="1">AVERAGE(OFFSET($CC$3,0,0,'Données projet'!$E$12+1,1))-AVERAGE(OFFSET($H$3,0,0,'Données projet'!$E$12+1,1))</f>
        <v>177.34129362526608</v>
      </c>
      <c r="CE65" s="59">
        <f t="shared" si="40"/>
        <v>156.93407673501022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17.681942406611476</v>
      </c>
      <c r="CL65" s="21">
        <f>EXP(-LN(2)/25)*CL64+(1-EXP(-LN(2)/25))/(LN(2)/25)*Calculateur!CG65*Calculateur!CI65*VLOOKUP('Données projet'!$B$12,Paramètres!$A$1:$I$89,3,0)*0.475*44/12</f>
        <v>18.742784771678256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36.424727178289729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66.283080355158162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25.2</v>
      </c>
      <c r="CT65" s="12">
        <f>IF('Données projet'!$A$140&gt;35,CT64+CS65-DB64,IF(A65&lt;'Données projet'!$A$140,$CQ$205^A65,IF(A65='Données projet'!$A$140,'Données projet'!$B$140,CT64+CS65-DB64)))</f>
        <v>157.40000000000012</v>
      </c>
      <c r="CU65" s="17">
        <f>CT65*VLOOKUP('Données projet'!$B$13,Paramètres!$A$1:$I$89,3,0)*VLOOKUP('Données projet'!$B$13,Paramètres!$A$1:$I$89,5,0)</f>
        <v>103.12848000000008</v>
      </c>
      <c r="CV65" s="13">
        <f t="shared" si="41"/>
        <v>27.705973254909065</v>
      </c>
      <c r="CW65" s="20">
        <f t="shared" si="13"/>
        <v>227.87000608563343</v>
      </c>
      <c r="CX65" s="59">
        <f t="shared" si="14"/>
        <v>507.57463405454666</v>
      </c>
      <c r="CY65" s="59">
        <f ca="1">AVERAGE(OFFSET($CX$3,0,0,'Données projet'!$E$13+1,1))-AVERAGE(OFFSET($H$3,0,0,'Données projet'!$E$13+1,1))</f>
        <v>267.49254683294629</v>
      </c>
      <c r="CZ65" s="59">
        <f t="shared" si="42"/>
        <v>278.02595256967254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7.2828446508268216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7.2828446508268216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66.283080355158162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9.2524999999999977</v>
      </c>
      <c r="DO65" s="12">
        <f>IF('Données projet'!$A$166&gt;35,DO64+DN65-DW64,IF(A65&lt;'Données projet'!$A$166,$DL$205^A65,IF(A65='Données projet'!$A$166,'Données projet'!$B$166,DO64+DN65-DW64)))</f>
        <v>227.95000000000019</v>
      </c>
      <c r="DP65" s="17">
        <f>DO65*VLOOKUP('Données projet'!$B$14,Paramètres!$A$1:$I$89,3,0)*VLOOKUP('Données projet'!$B$14,Paramètres!$A$1:$I$89,5,0)</f>
        <v>206.24916000000016</v>
      </c>
      <c r="DQ65" s="13">
        <f t="shared" si="43"/>
        <v>51.115075026737237</v>
      </c>
      <c r="DR65" s="20">
        <f t="shared" si="16"/>
        <v>448.24270933823431</v>
      </c>
      <c r="DS65" s="59">
        <f t="shared" si="17"/>
        <v>727.94733730714756</v>
      </c>
      <c r="DT65" s="59">
        <f ca="1">AVERAGE(OFFSET($DS$3,0,0,'Données projet'!$E$14+1,1))-AVERAGE(OFFSET($H$3,0,0,'Données projet'!$E$14+1,1))</f>
        <v>602.02351907077332</v>
      </c>
      <c r="DU65" s="59">
        <f t="shared" si="44"/>
        <v>278.08067690827272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12.727525766293335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12.727525766293335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66.283080355158162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66.283080355158162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66.283080355158162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66.283080355158162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2.2000000000000002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8.0666666666666682</v>
      </c>
      <c r="H66" s="67">
        <f t="shared" si="1"/>
        <v>224.4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66.347560601208741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11.896999999999997</v>
      </c>
      <c r="N66" s="13">
        <f>IF('Données projet'!$A$36&gt;35,N65+M66-V65,IF(A66&lt;'Données projet'!$A$36,$K$205^A66,IF(A66='Données projet'!$A$36,'Données projet'!$B$36,N65+M66-V65)))</f>
        <v>406.78100000000018</v>
      </c>
      <c r="O66" s="13">
        <f>N66*VLOOKUP('Données projet'!$B$9,Paramètres!$A$1:$I$89,3,0)*VLOOKUP('Données projet'!$B$9,Paramètres!$A$1:$I$89,5,0)</f>
        <v>243.25503800000013</v>
      </c>
      <c r="P66" s="13">
        <f t="shared" si="33"/>
        <v>59.139317725784991</v>
      </c>
      <c r="Q66" s="20">
        <f t="shared" si="53"/>
        <v>526.6701695557424</v>
      </c>
      <c r="R66" s="59">
        <f t="shared" si="0"/>
        <v>806.61122509350776</v>
      </c>
      <c r="S66" s="59">
        <f ca="1">AVERAGE(OFFSET($R$3,0,0,'Données projet'!$E$9+1,1))-AVERAGE(OFFSET($H$3,0,0,'Données projet'!$E$9+1,1))</f>
        <v>360.09035401555587</v>
      </c>
      <c r="T66" s="59">
        <f t="shared" si="34"/>
        <v>266.54879627869821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39.477364469071013</v>
      </c>
      <c r="AA66" s="21">
        <f>EXP(-LN(2)/25)*AA65+(1-EXP(-LN(2)/25))/(LN(2)/25)*Calculateur!V66*Calculateur!X66*VLOOKUP('Données projet'!$B$9,Paramètres!$A$1:$I$89,3,0)*0.475*44/12</f>
        <v>31.698254215180999</v>
      </c>
      <c r="AB66" s="21">
        <f>EXP(-LN(2)/2)*AB65+(1-EXP(-LN(2)/2))/(LN(2)/2)*V66*Y66*VLOOKUP('Données projet'!$B$9,Paramètres!$A$1:$I$89,3,0)*0.475*44/12</f>
        <v>0</v>
      </c>
      <c r="AC66" s="22">
        <f t="shared" si="3"/>
        <v>71.175618684252015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66.347560601208741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8.5500000000000007</v>
      </c>
      <c r="AI66" s="13">
        <f>IF('Données projet'!$A$62&gt;35,AI65+AH66-AQ65,IF(A66&lt;'Données projet'!$A$62,$AF$205^A66,IF(A66='Données projet'!$A$62,'Données projet'!$B$62,AI65+AH66-AQ65)))</f>
        <v>178.66000000000011</v>
      </c>
      <c r="AJ66" s="13">
        <f>AI66*VLOOKUP('Données projet'!$B$10,Paramètres!$A$1:$I$89,3,0)*VLOOKUP('Données projet'!$B$10,Paramètres!$A$1:$I$89,5,0)</f>
        <v>150.50318400000012</v>
      </c>
      <c r="AK66" s="13">
        <f t="shared" si="35"/>
        <v>38.692913693042001</v>
      </c>
      <c r="AL66" s="20">
        <f t="shared" si="4"/>
        <v>329.5165368153817</v>
      </c>
      <c r="AM66" s="59">
        <f t="shared" si="5"/>
        <v>609.45759235314711</v>
      </c>
      <c r="AN66" s="59">
        <f ca="1">AVERAGE(OFFSET($AM$3,0,0,'Données projet'!$E$10+1,1))-AVERAGE(OFFSET($H$3,0,0,'Données projet'!$E$10+1,1))</f>
        <v>377.26246345103175</v>
      </c>
      <c r="AO66" s="59">
        <f t="shared" si="36"/>
        <v>258.25890564000258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11.472513938505902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11.472513938505902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66.347560601208741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2.2737367544323206E-13</v>
      </c>
      <c r="BE66" s="13">
        <f>BD66*VLOOKUP('Données projet'!$B$11,Paramètres!$A$1:$I$89,3,0)*VLOOKUP('Données projet'!$B$11,Paramètres!$A$1:$I$89,5,0)</f>
        <v>1.0049916454590858E-13</v>
      </c>
      <c r="BF66" s="13">
        <f t="shared" si="37"/>
        <v>1.5089081593838289E-12</v>
      </c>
      <c r="BG66" s="20">
        <f t="shared" si="7"/>
        <v>2.8030510891776262E-12</v>
      </c>
      <c r="BH66" s="59">
        <f t="shared" si="8"/>
        <v>279.94105553776819</v>
      </c>
      <c r="BI66" s="59">
        <f ca="1">AVERAGE(OFFSET($BH$3,0,0,'Données projet'!$E$11+1,1))-AVERAGE(OFFSET($H$3,0,0,'Données projet'!$E$11+1,1))</f>
        <v>333.23043896066253</v>
      </c>
      <c r="BJ66" s="59">
        <f t="shared" si="38"/>
        <v>440.63438368668983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155.53346625601566</v>
      </c>
      <c r="BQ66" s="21">
        <f>EXP(-LN(2)/25)*BQ65+(1-EXP(-LN(2)/25))/(LN(2)/25)*Calculateur!BL66*Calculateur!BN66*VLOOKUP('Données projet'!$B$11,Paramètres!$A$1:$I$89,3,0)*0.475*44/12</f>
        <v>108.03346265166344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263.56692890767908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66.347560601208741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7.4992320000000063</v>
      </c>
      <c r="BY66" s="12">
        <f>IF('Données projet'!$A$114&gt;35,BY65+BX66-CG65,IF(A66&lt;'Données projet'!$A$114,$BV$205^A66,IF(A66='Données projet'!$A$114,'Données projet'!$B$114,BY65+BX66-CG65)))</f>
        <v>255.58680600000008</v>
      </c>
      <c r="BZ66" s="13">
        <f>BY66*VLOOKUP('Données projet'!$B$12,Paramètres!$A$1:$I$89,3,0)*VLOOKUP('Données projet'!$B$12,Paramètres!$A$1:$I$89,5,0)</f>
        <v>103.00148281800004</v>
      </c>
      <c r="CA66" s="13">
        <f t="shared" si="39"/>
        <v>27.675824059647905</v>
      </c>
      <c r="CB66" s="20">
        <f t="shared" si="10"/>
        <v>227.59630947857013</v>
      </c>
      <c r="CC66" s="59">
        <f t="shared" si="11"/>
        <v>507.53736501633557</v>
      </c>
      <c r="CD66" s="59">
        <f ca="1">AVERAGE(OFFSET($CC$3,0,0,'Données projet'!$E$12+1,1))-AVERAGE(OFFSET($H$3,0,0,'Données projet'!$E$12+1,1))</f>
        <v>177.34129362526608</v>
      </c>
      <c r="CE66" s="59">
        <f t="shared" si="40"/>
        <v>156.93407673501022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17.335210300937771</v>
      </c>
      <c r="CL66" s="21">
        <f>EXP(-LN(2)/25)*CL65+(1-EXP(-LN(2)/25))/(LN(2)/25)*Calculateur!CG66*Calculateur!CI66*VLOOKUP('Données projet'!$B$12,Paramètres!$A$1:$I$89,3,0)*0.475*44/12</f>
        <v>18.230262336456502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35.565472637394272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66.347560601208741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25.2</v>
      </c>
      <c r="CT66" s="12">
        <f>IF('Données projet'!$A$140&gt;35,CT65+CS66-DB65,IF(A66&lt;'Données projet'!$A$140,$CQ$205^A66,IF(A66='Données projet'!$A$140,'Données projet'!$B$140,CT65+CS66-DB65)))</f>
        <v>182.60000000000011</v>
      </c>
      <c r="CU66" s="17">
        <f>CT66*VLOOKUP('Données projet'!$B$13,Paramètres!$A$1:$I$89,3,0)*VLOOKUP('Données projet'!$B$13,Paramètres!$A$1:$I$89,5,0)</f>
        <v>119.63952000000006</v>
      </c>
      <c r="CV66" s="13">
        <f t="shared" si="41"/>
        <v>31.590908538168886</v>
      </c>
      <c r="CW66" s="20">
        <f t="shared" si="13"/>
        <v>263.39299637064425</v>
      </c>
      <c r="CX66" s="59">
        <f t="shared" si="14"/>
        <v>543.33405190840972</v>
      </c>
      <c r="CY66" s="59">
        <f ca="1">AVERAGE(OFFSET($CX$3,0,0,'Données projet'!$E$13+1,1))-AVERAGE(OFFSET($H$3,0,0,'Données projet'!$E$13+1,1))</f>
        <v>267.49254683294629</v>
      </c>
      <c r="CZ66" s="59">
        <f t="shared" si="42"/>
        <v>278.02595256967254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7.140032509320724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7.140032509320724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66.347560601208741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9.2524999999999977</v>
      </c>
      <c r="DO66" s="12">
        <f>IF('Données projet'!$A$166&gt;35,DO65+DN66-DW65,IF(A66&lt;'Données projet'!$A$166,$DL$205^A66,IF(A66='Données projet'!$A$166,'Données projet'!$B$166,DO65+DN66-DW65)))</f>
        <v>237.20250000000019</v>
      </c>
      <c r="DP66" s="17">
        <f>DO66*VLOOKUP('Données projet'!$B$14,Paramètres!$A$1:$I$89,3,0)*VLOOKUP('Données projet'!$B$14,Paramètres!$A$1:$I$89,5,0)</f>
        <v>214.62082200000015</v>
      </c>
      <c r="DQ66" s="13">
        <f t="shared" si="43"/>
        <v>52.944068896315315</v>
      </c>
      <c r="DR66" s="20">
        <f t="shared" si="16"/>
        <v>466.0088516444161</v>
      </c>
      <c r="DS66" s="59">
        <f t="shared" si="17"/>
        <v>745.94990718218151</v>
      </c>
      <c r="DT66" s="59">
        <f ca="1">AVERAGE(OFFSET($DS$3,0,0,'Données projet'!$E$14+1,1))-AVERAGE(OFFSET($H$3,0,0,'Données projet'!$E$14+1,1))</f>
        <v>602.02351907077332</v>
      </c>
      <c r="DU66" s="59">
        <f t="shared" si="44"/>
        <v>278.08067690827272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12.477946749040505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12.477946749040505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66.347560601208741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66.347560601208741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66.347560601208741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66.347560601208741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2.2000000000000002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8.0666666666666682</v>
      </c>
      <c r="H67" s="67">
        <f t="shared" si="1"/>
        <v>224.4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66.410922259146574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11.896999999999997</v>
      </c>
      <c r="N67" s="13">
        <f>IF('Données projet'!$A$36&gt;35,N66+M67-V66,IF(A67&lt;'Données projet'!$A$36,$K$205^A67,IF(A67='Données projet'!$A$36,'Données projet'!$B$36,N66+M67-V66)))</f>
        <v>418.67800000000017</v>
      </c>
      <c r="O67" s="13">
        <f>N67*VLOOKUP('Données projet'!$B$9,Paramètres!$A$1:$I$89,3,0)*VLOOKUP('Données projet'!$B$9,Paramètres!$A$1:$I$89,5,0)</f>
        <v>250.36944400000013</v>
      </c>
      <c r="P67" s="13">
        <f t="shared" si="33"/>
        <v>60.665044924256527</v>
      </c>
      <c r="Q67" s="20">
        <f t="shared" ref="Q67:Q98" si="54">(O67+P67)*0.475*44/12</f>
        <v>541.71840154308029</v>
      </c>
      <c r="R67" s="59">
        <f t="shared" ref="R67:R130" si="55">Q67+(I67+J67)*44/12</f>
        <v>821.89178315995105</v>
      </c>
      <c r="S67" s="59">
        <f ca="1">AVERAGE(OFFSET($R$3,0,0,'Données projet'!$E$9+1,1))-AVERAGE(OFFSET($H$3,0,0,'Données projet'!$E$9+1,1))</f>
        <v>360.09035401555587</v>
      </c>
      <c r="T67" s="59">
        <f t="shared" si="34"/>
        <v>266.54879627869821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38.70323743064727</v>
      </c>
      <c r="AA67" s="21">
        <f>EXP(-LN(2)/25)*AA66+(1-EXP(-LN(2)/25))/(LN(2)/25)*Calculateur!V67*Calculateur!X67*VLOOKUP('Données projet'!$B$9,Paramètres!$A$1:$I$89,3,0)*0.475*44/12</f>
        <v>30.831463786728133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69.5347012173754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66.410922259146574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8.5500000000000007</v>
      </c>
      <c r="AI67" s="13">
        <f>IF('Données projet'!$A$62&gt;35,AI66+AH67-AQ66,IF(A67&lt;'Données projet'!$A$62,$AF$205^A67,IF(A67='Données projet'!$A$62,'Données projet'!$B$62,AI66+AH67-AQ66)))</f>
        <v>187.21000000000012</v>
      </c>
      <c r="AJ67" s="13">
        <f>AI67*VLOOKUP('Données projet'!$B$10,Paramètres!$A$1:$I$89,3,0)*VLOOKUP('Données projet'!$B$10,Paramètres!$A$1:$I$89,5,0)</f>
        <v>157.70570400000011</v>
      </c>
      <c r="AK67" s="13">
        <f t="shared" si="35"/>
        <v>40.324596350517368</v>
      </c>
      <c r="AL67" s="20">
        <f t="shared" si="4"/>
        <v>344.90277311048459</v>
      </c>
      <c r="AM67" s="59">
        <f t="shared" si="5"/>
        <v>625.07615472735529</v>
      </c>
      <c r="AN67" s="59">
        <f ca="1">AVERAGE(OFFSET($AM$3,0,0,'Données projet'!$E$10+1,1))-AVERAGE(OFFSET($H$3,0,0,'Données projet'!$E$10+1,1))</f>
        <v>377.26246345103175</v>
      </c>
      <c r="AO67" s="59">
        <f t="shared" si="36"/>
        <v>258.25890564000258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11.247544937714354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11.247544937714354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66.410922259146574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2.2737367544323206E-13</v>
      </c>
      <c r="BE67" s="13">
        <f>BD67*VLOOKUP('Données projet'!$B$11,Paramètres!$A$1:$I$89,3,0)*VLOOKUP('Données projet'!$B$11,Paramètres!$A$1:$I$89,5,0)</f>
        <v>1.0049916454590858E-13</v>
      </c>
      <c r="BF67" s="13">
        <f t="shared" si="37"/>
        <v>1.5089081593838289E-12</v>
      </c>
      <c r="BG67" s="20">
        <f t="shared" si="7"/>
        <v>2.8030510891776262E-12</v>
      </c>
      <c r="BH67" s="59">
        <f t="shared" si="8"/>
        <v>280.17338161687354</v>
      </c>
      <c r="BI67" s="59">
        <f ca="1">AVERAGE(OFFSET($BH$3,0,0,'Données projet'!$E$11+1,1))-AVERAGE(OFFSET($H$3,0,0,'Données projet'!$E$11+1,1))</f>
        <v>333.23043896066253</v>
      </c>
      <c r="BJ67" s="59">
        <f t="shared" si="38"/>
        <v>440.63438368668983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152.48354984878236</v>
      </c>
      <c r="BQ67" s="21">
        <f>EXP(-LN(2)/25)*BQ66+(1-EXP(-LN(2)/25))/(LN(2)/25)*Calculateur!BL67*Calculateur!BN67*VLOOKUP('Données projet'!$B$11,Paramètres!$A$1:$I$89,3,0)*0.475*44/12</f>
        <v>105.07928193422082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257.56283178300316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66.410922259146574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7.4992320000000063</v>
      </c>
      <c r="BY67" s="12">
        <f>IF('Données projet'!$A$114&gt;35,BY66+BX67-CG66,IF(A67&lt;'Données projet'!$A$114,$BV$205^A67,IF(A67='Données projet'!$A$114,'Données projet'!$B$114,BY66+BX67-CG66)))</f>
        <v>263.08603800000009</v>
      </c>
      <c r="BZ67" s="13">
        <f>BY67*VLOOKUP('Données projet'!$B$12,Paramètres!$A$1:$I$89,3,0)*VLOOKUP('Données projet'!$B$12,Paramètres!$A$1:$I$89,5,0)</f>
        <v>106.02367331400005</v>
      </c>
      <c r="CA67" s="13">
        <f t="shared" si="39"/>
        <v>28.39213297006167</v>
      </c>
      <c r="CB67" s="20">
        <f t="shared" si="10"/>
        <v>234.10752927807414</v>
      </c>
      <c r="CC67" s="59">
        <f t="shared" si="11"/>
        <v>514.2809108949449</v>
      </c>
      <c r="CD67" s="59">
        <f ca="1">AVERAGE(OFFSET($CC$3,0,0,'Données projet'!$E$12+1,1))-AVERAGE(OFFSET($H$3,0,0,'Données projet'!$E$12+1,1))</f>
        <v>177.34129362526608</v>
      </c>
      <c r="CE67" s="59">
        <f t="shared" si="40"/>
        <v>156.93407673501022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16.995277400370625</v>
      </c>
      <c r="CL67" s="21">
        <f>EXP(-LN(2)/25)*CL66+(1-EXP(-LN(2)/25))/(LN(2)/25)*Calculateur!CG67*Calculateur!CI67*VLOOKUP('Données projet'!$B$12,Paramètres!$A$1:$I$89,3,0)*0.475*44/12</f>
        <v>17.731754854178266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34.727032254548888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66.410922259146574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25.2</v>
      </c>
      <c r="CT67" s="12">
        <f>IF('Données projet'!$A$140&gt;35,CT66+CS67-DB66,IF(A67&lt;'Données projet'!$A$140,$CQ$205^A67,IF(A67='Données projet'!$A$140,'Données projet'!$B$140,CT66+CS67-DB66)))</f>
        <v>207.8000000000001</v>
      </c>
      <c r="CU67" s="17">
        <f>CT67*VLOOKUP('Données projet'!$B$13,Paramètres!$A$1:$I$89,3,0)*VLOOKUP('Données projet'!$B$13,Paramètres!$A$1:$I$89,5,0)</f>
        <v>136.15056000000007</v>
      </c>
      <c r="CV67" s="13">
        <f t="shared" si="41"/>
        <v>35.413726993364804</v>
      </c>
      <c r="CW67" s="20">
        <f t="shared" si="13"/>
        <v>298.80779984677713</v>
      </c>
      <c r="CX67" s="59">
        <f t="shared" si="14"/>
        <v>578.98118146364789</v>
      </c>
      <c r="CY67" s="59">
        <f ca="1">AVERAGE(OFFSET($CX$3,0,0,'Données projet'!$E$13+1,1))-AVERAGE(OFFSET($H$3,0,0,'Données projet'!$E$13+1,1))</f>
        <v>267.49254683294629</v>
      </c>
      <c r="CZ67" s="59">
        <f t="shared" si="42"/>
        <v>278.02595256967254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7.0000208268027562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7.0000208268027562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66.410922259146574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9.2524999999999977</v>
      </c>
      <c r="DO67" s="12">
        <f>IF('Données projet'!$A$166&gt;35,DO66+DN67-DW66,IF(A67&lt;'Données projet'!$A$166,$DL$205^A67,IF(A67='Données projet'!$A$166,'Données projet'!$B$166,DO66+DN67-DW66)))</f>
        <v>246.45500000000018</v>
      </c>
      <c r="DP67" s="17">
        <f>DO67*VLOOKUP('Données projet'!$B$14,Paramètres!$A$1:$I$89,3,0)*VLOOKUP('Données projet'!$B$14,Paramètres!$A$1:$I$89,5,0)</f>
        <v>222.99248400000016</v>
      </c>
      <c r="DQ67" s="13">
        <f t="shared" si="43"/>
        <v>54.764775031234961</v>
      </c>
      <c r="DR67" s="20">
        <f t="shared" si="16"/>
        <v>483.76055947940108</v>
      </c>
      <c r="DS67" s="59">
        <f t="shared" si="17"/>
        <v>763.93394109627184</v>
      </c>
      <c r="DT67" s="59">
        <f ca="1">AVERAGE(OFFSET($DS$3,0,0,'Données projet'!$E$14+1,1))-AVERAGE(OFFSET($H$3,0,0,'Données projet'!$E$14+1,1))</f>
        <v>602.02351907077332</v>
      </c>
      <c r="DU67" s="59">
        <f t="shared" si="44"/>
        <v>278.08067690827272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12.233261824087835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12.233261824087835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66.410922259146574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66.410922259146574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66.410922259146574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66.410922259146574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2.2000000000000002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8.0666666666666682</v>
      </c>
      <c r="H68" s="67">
        <f t="shared" ref="H68:H131" si="56">(B68+E68+F68)*44/12+(C68+D68)*0.475*44/12</f>
        <v>224.4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66.47318473397462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11.896999999999997</v>
      </c>
      <c r="N68" s="13">
        <f>IF('Données projet'!$A$36&gt;35,N67+M68-V67,IF(A68&lt;'Données projet'!$A$36,$K$205^A68,IF(A68='Données projet'!$A$36,'Données projet'!$B$36,N67+M68-V67)))</f>
        <v>430.57500000000016</v>
      </c>
      <c r="O68" s="13">
        <f>N68*VLOOKUP('Données projet'!$B$9,Paramètres!$A$1:$I$89,3,0)*VLOOKUP('Données projet'!$B$9,Paramètres!$A$1:$I$89,5,0)</f>
        <v>257.48385000000013</v>
      </c>
      <c r="P68" s="13">
        <f t="shared" si="33"/>
        <v>62.185733278690435</v>
      </c>
      <c r="Q68" s="20">
        <f t="shared" si="54"/>
        <v>556.7578575437193</v>
      </c>
      <c r="R68" s="59">
        <f t="shared" si="55"/>
        <v>837.15953490162622</v>
      </c>
      <c r="S68" s="59">
        <f ca="1">AVERAGE(OFFSET($R$3,0,0,'Données projet'!$E$9+1,1))-AVERAGE(OFFSET($H$3,0,0,'Données projet'!$E$9+1,1))</f>
        <v>360.09035401555587</v>
      </c>
      <c r="T68" s="59">
        <f t="shared" si="34"/>
        <v>266.54879627869821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37.944290551276147</v>
      </c>
      <c r="AA68" s="21">
        <f>EXP(-LN(2)/25)*AA67+(1-EXP(-LN(2)/25))/(LN(2)/25)*Calculateur!V68*Calculateur!X68*VLOOKUP('Données projet'!$B$9,Paramètres!$A$1:$I$89,3,0)*0.475*44/12</f>
        <v>29.988375788123836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67.932666339399987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66.47318473397462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8.5500000000000007</v>
      </c>
      <c r="AI68" s="13">
        <f>IF('Données projet'!$A$62&gt;35,AI67+AH68-AQ67,IF(A68&lt;'Données projet'!$A$62,$AF$205^A68,IF(A68='Données projet'!$A$62,'Données projet'!$B$62,AI67+AH68-AQ67)))</f>
        <v>195.76000000000013</v>
      </c>
      <c r="AJ68" s="13">
        <f>AI68*VLOOKUP('Données projet'!$B$10,Paramètres!$A$1:$I$89,3,0)*VLOOKUP('Données projet'!$B$10,Paramètres!$A$1:$I$89,5,0)</f>
        <v>164.90822400000013</v>
      </c>
      <c r="AK68" s="13">
        <f t="shared" si="35"/>
        <v>41.947624720052197</v>
      </c>
      <c r="AL68" s="20">
        <f t="shared" ref="AL68:AL131" si="58">(AJ68+AK68)*0.475*44/12</f>
        <v>360.27393652075779</v>
      </c>
      <c r="AM68" s="59">
        <f t="shared" ref="AM68:AM131" si="59">AL68+(AD68+AE68)*44/12</f>
        <v>640.67561387866476</v>
      </c>
      <c r="AN68" s="59">
        <f ca="1">AVERAGE(OFFSET($AM$3,0,0,'Données projet'!$E$10+1,1))-AVERAGE(OFFSET($H$3,0,0,'Données projet'!$E$10+1,1))</f>
        <v>377.26246345103175</v>
      </c>
      <c r="AO68" s="59">
        <f t="shared" si="36"/>
        <v>258.25890564000258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11.026987441810787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11.026987441810787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66.47318473397462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2.2737367544323206E-13</v>
      </c>
      <c r="BE68" s="13">
        <f>BD68*VLOOKUP('Données projet'!$B$11,Paramètres!$A$1:$I$89,3,0)*VLOOKUP('Données projet'!$B$11,Paramètres!$A$1:$I$89,5,0)</f>
        <v>1.0049916454590858E-13</v>
      </c>
      <c r="BF68" s="13">
        <f t="shared" si="37"/>
        <v>1.5089081593838289E-12</v>
      </c>
      <c r="BG68" s="20">
        <f t="shared" ref="BG68:BG131" si="61">(BE68+BF68)*0.475*44/12</f>
        <v>2.8030510891776262E-12</v>
      </c>
      <c r="BH68" s="59">
        <f t="shared" ref="BH68:BH131" si="62">BG68+(AY68+AZ68)*44/12</f>
        <v>280.4016773579097</v>
      </c>
      <c r="BI68" s="59">
        <f ca="1">AVERAGE(OFFSET($BH$3,0,0,'Données projet'!$E$11+1,1))-AVERAGE(OFFSET($H$3,0,0,'Données projet'!$E$11+1,1))</f>
        <v>333.23043896066253</v>
      </c>
      <c r="BJ68" s="59">
        <f t="shared" si="38"/>
        <v>440.63438368668983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149.49344044202959</v>
      </c>
      <c r="BQ68" s="21">
        <f>EXP(-LN(2)/25)*BQ67+(1-EXP(-LN(2)/25))/(LN(2)/25)*Calculateur!BL68*Calculateur!BN68*VLOOKUP('Données projet'!$B$11,Paramètres!$A$1:$I$89,3,0)*0.475*44/12</f>
        <v>102.20588344385027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251.69932388587986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66.47318473397462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270.58527000000004</v>
      </c>
      <c r="BW68" s="12">
        <f>VLOOKUP(A68,'Données projet'!$A$113:$I$133,9,0)</f>
        <v>7.4992320000000063</v>
      </c>
      <c r="BX68" s="12">
        <f t="array" ref="BX68">INDEX(BW:BW,MIN(IF(ISNUMBER(BW68:BW264),ROW(BW68:BW264),"")))</f>
        <v>7.4992320000000063</v>
      </c>
      <c r="BY68" s="12">
        <f>IF('Données projet'!$A$114&gt;35,BY67+BX68-CG67,IF(A68&lt;'Données projet'!$A$114,$BV$205^A68,IF(A68='Données projet'!$A$114,'Données projet'!$B$114,BY67+BX68-CG67)))</f>
        <v>270.58527000000009</v>
      </c>
      <c r="BZ68" s="13">
        <f>BY68*VLOOKUP('Données projet'!$B$12,Paramètres!$A$1:$I$89,3,0)*VLOOKUP('Données projet'!$B$12,Paramètres!$A$1:$I$89,5,0)</f>
        <v>109.04586381000004</v>
      </c>
      <c r="CA68" s="13">
        <f t="shared" si="39"/>
        <v>29.106068790615424</v>
      </c>
      <c r="CB68" s="20">
        <f t="shared" ref="CB68:CB131" si="64">(BZ68+CA68)*0.475*44/12</f>
        <v>240.61461594607189</v>
      </c>
      <c r="CC68" s="59">
        <f t="shared" ref="CC68:CC131" si="65">CB68+(BT68+BU68)*44/12</f>
        <v>521.01629330397884</v>
      </c>
      <c r="CD68" s="59">
        <f ca="1">AVERAGE(OFFSET($CC$3,0,0,'Données projet'!$E$12+1,1))-AVERAGE(OFFSET($H$3,0,0,'Données projet'!$E$12+1,1))</f>
        <v>177.34129362526608</v>
      </c>
      <c r="CE68" s="59">
        <f t="shared" si="40"/>
        <v>156.93407673501022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19.288890000000002</v>
      </c>
      <c r="CH68" s="16">
        <f>IF(ISNA(VLOOKUP(A68,'Données projet'!$A$113:$I$133,5,0)),0%,VLOOKUP(A68,'Données projet'!$A$113:$I$133,5,0)*VLOOKUP('Données projet'!$B$12,Paramètres!$A$1:$I$89,7,0))</f>
        <v>0.38500000000000001</v>
      </c>
      <c r="CI68" s="16">
        <f>IF(ISNA(VLOOKUP(A68,'Données projet'!$A$113:$I$133,6,0)),0%,VLOOKUP(A68,'Données projet'!$A$113:$I$133,6,0)*VLOOKUP('Données projet'!$B$12,Paramètres!$A$1:$I$89,7,0))</f>
        <v>0.16500000000000001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20.632109667930024</v>
      </c>
      <c r="CL68" s="21">
        <f>EXP(-LN(2)/25)*CL67+(1-EXP(-LN(2)/25))/(LN(2)/25)*Calculateur!CG68*Calculateur!CI68*VLOOKUP('Données projet'!$B$12,Paramètres!$A$1:$I$89,3,0)*0.475*44/12</f>
        <v>18.941650869924931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39.573760537854952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66.47318473397462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233</v>
      </c>
      <c r="CR68" s="12">
        <f>VLOOKUP(A68,'Données projet'!$A$139:$I$159,9,0)</f>
        <v>25.2</v>
      </c>
      <c r="CS68" s="12">
        <f t="array" ref="CS68">INDEX(CR:CR,MIN(IF(ISNUMBER(CR68:CR264),ROW(CR68:CR264),"")))</f>
        <v>25.2</v>
      </c>
      <c r="CT68" s="12">
        <f>IF('Données projet'!$A$140&gt;35,CT67+CS68-DB67,IF(A68&lt;'Données projet'!$A$140,$CQ$205^A68,IF(A68='Données projet'!$A$140,'Données projet'!$B$140,CT67+CS68-DB67)))</f>
        <v>233.00000000000009</v>
      </c>
      <c r="CU68" s="17">
        <f>CT68*VLOOKUP('Données projet'!$B$13,Paramètres!$A$1:$I$89,3,0)*VLOOKUP('Données projet'!$B$13,Paramètres!$A$1:$I$89,5,0)</f>
        <v>152.66160000000005</v>
      </c>
      <c r="CV68" s="13">
        <f t="shared" si="41"/>
        <v>39.182823220412118</v>
      </c>
      <c r="CW68" s="20">
        <f t="shared" ref="CW68:CW131" si="67">(CU68+CV68)*0.475*44/12</f>
        <v>334.12903710888452</v>
      </c>
      <c r="CX68" s="59">
        <f t="shared" ref="CX68:CX131" si="68">CW68+(CO68+CP68)*44/12</f>
        <v>614.53071446679144</v>
      </c>
      <c r="CY68" s="59">
        <f ca="1">AVERAGE(OFFSET($CX$3,0,0,'Données projet'!$E$13+1,1))-AVERAGE(OFFSET($H$3,0,0,'Données projet'!$E$13+1,1))</f>
        <v>267.49254683294629</v>
      </c>
      <c r="CZ68" s="59">
        <f t="shared" si="42"/>
        <v>278.02595256967254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20</v>
      </c>
      <c r="DC68" s="16">
        <f>IF(ISNA(VLOOKUP(A68,'Données projet'!$A$139:$I$159,5,0)),0%,VLOOKUP(A68,'Données projet'!$A$139:$I$159,5,0)*VLOOKUP('Données projet'!$B$13,Paramètres!$A$1:$I$89,7,0))</f>
        <v>0.25800000000000001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10.600164322157415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10.600164322157415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66.47318473397462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9.2524999999999977</v>
      </c>
      <c r="DO68" s="12">
        <f>IF('Données projet'!$A$166&gt;35,DO67+DN68-DW67,IF(A68&lt;'Données projet'!$A$166,$DL$205^A68,IF(A68='Données projet'!$A$166,'Données projet'!$B$166,DO67+DN68-DW67)))</f>
        <v>255.70750000000018</v>
      </c>
      <c r="DP68" s="17">
        <f>DO68*VLOOKUP('Données projet'!$B$14,Paramètres!$A$1:$I$89,3,0)*VLOOKUP('Données projet'!$B$14,Paramètres!$A$1:$I$89,5,0)</f>
        <v>231.36414600000015</v>
      </c>
      <c r="DQ68" s="13">
        <f t="shared" si="43"/>
        <v>56.57754019728695</v>
      </c>
      <c r="DR68" s="20">
        <f t="shared" ref="DR68:DR131" si="70">(DP68+DQ68)*0.475*44/12</f>
        <v>501.49843679360833</v>
      </c>
      <c r="DS68" s="59">
        <f t="shared" ref="DS68:DS131" si="71">DR68+(DJ68+DK68)*44/12</f>
        <v>781.90011415151525</v>
      </c>
      <c r="DT68" s="59">
        <f ca="1">AVERAGE(OFFSET($DS$3,0,0,'Données projet'!$E$14+1,1))-AVERAGE(OFFSET($H$3,0,0,'Données projet'!$E$14+1,1))</f>
        <v>602.02351907077332</v>
      </c>
      <c r="DU68" s="59">
        <f t="shared" si="44"/>
        <v>278.08067690827272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11.993375021270419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11.993375021270419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66.47318473397462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66.47318473397462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66.47318473397462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66.47318473397462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2.2000000000000002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8.0666666666666682</v>
      </c>
      <c r="H69" s="67">
        <f t="shared" si="56"/>
        <v>224.4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66.534367094062446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11.896999999999997</v>
      </c>
      <c r="N69" s="13">
        <f>IF('Données projet'!$A$36&gt;35,N68+M69-V68,IF(A69&lt;'Données projet'!$A$36,$K$205^A69,IF(A69='Données projet'!$A$36,'Données projet'!$B$36,N68+M69-V68)))</f>
        <v>442.47200000000015</v>
      </c>
      <c r="O69" s="13">
        <f>N69*VLOOKUP('Données projet'!$B$9,Paramètres!$A$1:$I$89,3,0)*VLOOKUP('Données projet'!$B$9,Paramètres!$A$1:$I$89,5,0)</f>
        <v>264.59825600000011</v>
      </c>
      <c r="P69" s="13">
        <f t="shared" ref="P69:P132" si="87">EXP(-1.0587+0.8836*LN(O69)+0.284)</f>
        <v>63.701538011039567</v>
      </c>
      <c r="Q69" s="20">
        <f t="shared" si="54"/>
        <v>571.78880790256073</v>
      </c>
      <c r="R69" s="59">
        <f t="shared" si="55"/>
        <v>852.41482058078964</v>
      </c>
      <c r="S69" s="59">
        <f ca="1">AVERAGE(OFFSET($R$3,0,0,'Données projet'!$E$9+1,1))-AVERAGE(OFFSET($H$3,0,0,'Données projet'!$E$9+1,1))</f>
        <v>360.09035401555587</v>
      </c>
      <c r="T69" s="59">
        <f t="shared" ref="T69:T132" si="88">$T$3</f>
        <v>266.54879627869821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37.200226157297607</v>
      </c>
      <c r="AA69" s="21">
        <f>EXP(-LN(2)/25)*AA68+(1-EXP(-LN(2)/25))/(LN(2)/25)*Calculateur!V69*Calculateur!X69*VLOOKUP('Données projet'!$B$9,Paramètres!$A$1:$I$89,3,0)*0.475*44/12</f>
        <v>29.168342075177446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66.368568232475056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66.534367094062446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8.5500000000000007</v>
      </c>
      <c r="AI69" s="13">
        <f>IF('Données projet'!$A$62&gt;35,AI68+AH69-AQ68,IF(A69&lt;'Données projet'!$A$62,$AF$205^A69,IF(A69='Données projet'!$A$62,'Données projet'!$B$62,AI68+AH69-AQ68)))</f>
        <v>204.31000000000014</v>
      </c>
      <c r="AJ69" s="13">
        <f>AI69*VLOOKUP('Données projet'!$B$10,Paramètres!$A$1:$I$89,3,0)*VLOOKUP('Données projet'!$B$10,Paramètres!$A$1:$I$89,5,0)</f>
        <v>172.11074400000012</v>
      </c>
      <c r="AK69" s="13">
        <f t="shared" ref="AK69:AK132" si="89">EXP(-1.0587+0.8836*LN(AJ69)+0.284)</f>
        <v>43.562419985615136</v>
      </c>
      <c r="AL69" s="20">
        <f t="shared" si="58"/>
        <v>375.63076060827984</v>
      </c>
      <c r="AM69" s="59">
        <f t="shared" si="59"/>
        <v>656.25677328650886</v>
      </c>
      <c r="AN69" s="59">
        <f ca="1">AVERAGE(OFFSET($AM$3,0,0,'Données projet'!$E$10+1,1))-AVERAGE(OFFSET($H$3,0,0,'Données projet'!$E$10+1,1))</f>
        <v>377.26246345103175</v>
      </c>
      <c r="AO69" s="59">
        <f t="shared" ref="AO69:AO132" si="90">$AO$3</f>
        <v>258.25890564000258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10.8107549438751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10.8107549438751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66.534367094062446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2.2737367544323206E-13</v>
      </c>
      <c r="BE69" s="13">
        <f>BD69*VLOOKUP('Données projet'!$B$11,Paramètres!$A$1:$I$89,3,0)*VLOOKUP('Données projet'!$B$11,Paramètres!$A$1:$I$89,5,0)</f>
        <v>1.0049916454590858E-13</v>
      </c>
      <c r="BF69" s="13">
        <f t="shared" ref="BF69:BF132" si="91">EXP(-1.0587+0.8836*LN(BE69)+0.284)</f>
        <v>1.5089081593838289E-12</v>
      </c>
      <c r="BG69" s="20">
        <f t="shared" si="61"/>
        <v>2.8030510891776262E-12</v>
      </c>
      <c r="BH69" s="59">
        <f t="shared" si="62"/>
        <v>280.62601267823175</v>
      </c>
      <c r="BI69" s="59">
        <f ca="1">AVERAGE(OFFSET($BH$3,0,0,'Données projet'!$E$11+1,1))-AVERAGE(OFFSET($H$3,0,0,'Données projet'!$E$11+1,1))</f>
        <v>333.23043896066253</v>
      </c>
      <c r="BJ69" s="59">
        <f t="shared" ref="BJ69:BJ132" si="92">$BJ$3</f>
        <v>440.63438368668983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146.5619652569566</v>
      </c>
      <c r="BQ69" s="21">
        <f>EXP(-LN(2)/25)*BQ68+(1-EXP(-LN(2)/25))/(LN(2)/25)*Calculateur!BL69*Calculateur!BN69*VLOOKUP('Données projet'!$B$11,Paramètres!$A$1:$I$89,3,0)*0.475*44/12</f>
        <v>99.411058186304373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245.97302344326096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66.534367094062446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6.9223680000000005</v>
      </c>
      <c r="BY69" s="12">
        <f>IF('Données projet'!$A$114&gt;35,BY68+BX69-CG68,IF(A69&lt;'Données projet'!$A$114,$BV$205^A69,IF(A69='Données projet'!$A$114,'Données projet'!$B$114,BY68+BX69-CG68)))</f>
        <v>258.21874800000012</v>
      </c>
      <c r="BZ69" s="13">
        <f>BY69*VLOOKUP('Données projet'!$B$12,Paramètres!$A$1:$I$89,3,0)*VLOOKUP('Données projet'!$B$12,Paramètres!$A$1:$I$89,5,0)</f>
        <v>104.06215544400006</v>
      </c>
      <c r="CA69" s="13">
        <f t="shared" ref="CA69:CA132" si="93">EXP(-1.0587+0.8836*LN(BZ69)+0.284)</f>
        <v>27.92749599218412</v>
      </c>
      <c r="CB69" s="20">
        <f t="shared" si="64"/>
        <v>229.8819762513541</v>
      </c>
      <c r="CC69" s="59">
        <f t="shared" si="65"/>
        <v>510.50798892958306</v>
      </c>
      <c r="CD69" s="59">
        <f ca="1">AVERAGE(OFFSET($CC$3,0,0,'Données projet'!$E$12+1,1))-AVERAGE(OFFSET($H$3,0,0,'Données projet'!$E$12+1,1))</f>
        <v>177.34129362526608</v>
      </c>
      <c r="CE69" s="59">
        <f t="shared" ref="CE69:CE132" si="94">$CE$3</f>
        <v>156.93407673501022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20.227526581686213</v>
      </c>
      <c r="CL69" s="21">
        <f>EXP(-LN(2)/25)*CL68+(1-EXP(-LN(2)/25))/(LN(2)/25)*Calculateur!CG69*Calculateur!CI69*VLOOKUP('Données projet'!$B$12,Paramètres!$A$1:$I$89,3,0)*0.475*44/12</f>
        <v>18.423690430788707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38.651217012474916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66.534367094062446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4.8</v>
      </c>
      <c r="CT69" s="12">
        <f>IF('Données projet'!$A$140&gt;35,CT68+CS69-DB68,IF(A69&lt;'Données projet'!$A$140,$CQ$205^A69,IF(A69='Données projet'!$A$140,'Données projet'!$B$140,CT68+CS69-DB68)))</f>
        <v>217.8000000000001</v>
      </c>
      <c r="CU69" s="17">
        <f>CT69*VLOOKUP('Données projet'!$B$13,Paramètres!$A$1:$I$89,3,0)*VLOOKUP('Données projet'!$B$13,Paramètres!$A$1:$I$89,5,0)</f>
        <v>142.70256000000006</v>
      </c>
      <c r="CV69" s="13">
        <f t="shared" ref="CV69:CV132" si="95">EXP(-1.0587+0.8836*LN(CU69)+0.284)</f>
        <v>36.91543341153259</v>
      </c>
      <c r="CW69" s="20">
        <f t="shared" si="67"/>
        <v>312.83467185841943</v>
      </c>
      <c r="CX69" s="59">
        <f t="shared" si="68"/>
        <v>593.46068453664839</v>
      </c>
      <c r="CY69" s="59">
        <f ca="1">AVERAGE(OFFSET($CX$3,0,0,'Données projet'!$E$13+1,1))-AVERAGE(OFFSET($H$3,0,0,'Données projet'!$E$13+1,1))</f>
        <v>267.49254683294629</v>
      </c>
      <c r="CZ69" s="59">
        <f t="shared" ref="CZ69:CZ132" si="96">$CZ$3</f>
        <v>278.02595256967254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10.392301565261732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10.392301565261732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66.534367094062446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264.95999999999998</v>
      </c>
      <c r="DM69" s="12">
        <f>VLOOKUP(A69,'Données projet'!$A$165:$I$185,9,0)</f>
        <v>9.2524999999999977</v>
      </c>
      <c r="DN69" s="12">
        <f t="array" ref="DN69">INDEX(DM:DM,MIN(IF(ISNUMBER(DM69:DM265),ROW(DM69:DM265),"")))</f>
        <v>9.2524999999999977</v>
      </c>
      <c r="DO69" s="12">
        <f>IF('Données projet'!$A$166&gt;35,DO68+DN69-DW68,IF(A69&lt;'Données projet'!$A$166,$DL$205^A69,IF(A69='Données projet'!$A$166,'Données projet'!$B$166,DO68+DN69-DW68)))</f>
        <v>264.96000000000015</v>
      </c>
      <c r="DP69" s="17">
        <f>DO69*VLOOKUP('Données projet'!$B$14,Paramètres!$A$1:$I$89,3,0)*VLOOKUP('Données projet'!$B$14,Paramètres!$A$1:$I$89,5,0)</f>
        <v>239.73580800000011</v>
      </c>
      <c r="DQ69" s="13">
        <f t="shared" ref="DQ69:DQ132" si="97">EXP(-1.0587+0.8836*LN(DP69)+0.284)</f>
        <v>58.38268464325516</v>
      </c>
      <c r="DR69" s="20">
        <f t="shared" si="70"/>
        <v>519.22304135366949</v>
      </c>
      <c r="DS69" s="59">
        <f t="shared" si="71"/>
        <v>799.8490540318985</v>
      </c>
      <c r="DT69" s="59">
        <f ca="1">AVERAGE(OFFSET($DS$3,0,0,'Données projet'!$E$14+1,1))-AVERAGE(OFFSET($H$3,0,0,'Données projet'!$E$14+1,1))</f>
        <v>602.02351907077332</v>
      </c>
      <c r="DU69" s="59">
        <f t="shared" ref="DU69:DU132" si="98">$DU$3</f>
        <v>278.08067690827272</v>
      </c>
      <c r="DV69" s="15">
        <f>IF(ISNA(VLOOKUP(A69,'Données projet'!$A$165:$I$185,3,0)),0,VLOOKUP(A69,'Données projet'!$A$165:$I$185,3,0))</f>
        <v>4</v>
      </c>
      <c r="DW69" s="15">
        <f>IF(ISNA(VLOOKUP(A69,'Données projet'!$A$165:$I$185,4,0)),0,VLOOKUP(A69,'Données projet'!$A$165:$I$185,4,0))</f>
        <v>49.91</v>
      </c>
      <c r="DX69" s="16">
        <f>IF(ISNA(VLOOKUP(A69,'Données projet'!$A$165:$I$185,5,0)),0%,VLOOKUP(A69,'Données projet'!$A$165:$I$185,5,0)*VLOOKUP('Données projet'!$B$14,Paramètres!$A$1:$I$89,7,0))</f>
        <v>0.25800000000000001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24.637928753319876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24.637928753319876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66.534367094062446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66.534367094062446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66.534367094062446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66.534367094062446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2.2000000000000002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8.0666666666666682</v>
      </c>
      <c r="H70" s="67">
        <f t="shared" si="56"/>
        <v>224.4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66.594488076986025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11.896999999999997</v>
      </c>
      <c r="N70" s="13">
        <f>IF('Données projet'!$A$36&gt;35,N69+M70-V69,IF(A70&lt;'Données projet'!$A$36,$K$205^A70,IF(A70='Données projet'!$A$36,'Données projet'!$B$36,N69+M70-V69)))</f>
        <v>454.36900000000014</v>
      </c>
      <c r="O70" s="13">
        <f>N70*VLOOKUP('Données projet'!$B$9,Paramètres!$A$1:$I$89,3,0)*VLOOKUP('Données projet'!$B$9,Paramètres!$A$1:$I$89,5,0)</f>
        <v>271.71266200000014</v>
      </c>
      <c r="P70" s="13">
        <f t="shared" si="87"/>
        <v>65.212605520968935</v>
      </c>
      <c r="Q70" s="20">
        <f t="shared" si="54"/>
        <v>586.81150759902118</v>
      </c>
      <c r="R70" s="59">
        <f t="shared" si="55"/>
        <v>867.6579638813032</v>
      </c>
      <c r="S70" s="59">
        <f ca="1">AVERAGE(OFFSET($R$3,0,0,'Données projet'!$E$9+1,1))-AVERAGE(OFFSET($H$3,0,0,'Données projet'!$E$9+1,1))</f>
        <v>360.09035401555587</v>
      </c>
      <c r="T70" s="59">
        <f t="shared" si="88"/>
        <v>266.54879627869821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36.470752412250512</v>
      </c>
      <c r="AA70" s="21">
        <f>EXP(-LN(2)/25)*AA69+(1-EXP(-LN(2)/25))/(LN(2)/25)*Calculateur!V70*Calculateur!X70*VLOOKUP('Données projet'!$B$9,Paramètres!$A$1:$I$89,3,0)*0.475*44/12</f>
        <v>28.370732227235273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64.841484639485785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66.594488076986025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212.86</v>
      </c>
      <c r="AG70" s="12">
        <f>VLOOKUP(A70,'Données projet'!$A$61:$I$81,9,0)</f>
        <v>8.5500000000000007</v>
      </c>
      <c r="AH70" s="12">
        <f t="array" ref="AH70">INDEX(AG:AG,MIN(IF(ISNUMBER(AG70:AG266),ROW(AG70:AG266),"")))</f>
        <v>8.5500000000000007</v>
      </c>
      <c r="AI70" s="13">
        <f>IF('Données projet'!$A$62&gt;35,AI69+AH70-AQ69,IF(A70&lt;'Données projet'!$A$62,$AF$205^A70,IF(A70='Données projet'!$A$62,'Données projet'!$B$62,AI69+AH70-AQ69)))</f>
        <v>212.86000000000016</v>
      </c>
      <c r="AJ70" s="13">
        <f>AI70*VLOOKUP('Données projet'!$B$10,Paramètres!$A$1:$I$89,3,0)*VLOOKUP('Données projet'!$B$10,Paramètres!$A$1:$I$89,5,0)</f>
        <v>179.31326400000015</v>
      </c>
      <c r="AK70" s="13">
        <f t="shared" si="89"/>
        <v>45.169366085324434</v>
      </c>
      <c r="AL70" s="20">
        <f t="shared" si="58"/>
        <v>390.97391406527368</v>
      </c>
      <c r="AM70" s="59">
        <f t="shared" si="59"/>
        <v>671.82037034755581</v>
      </c>
      <c r="AN70" s="59">
        <f ca="1">AVERAGE(OFFSET($AM$3,0,0,'Données projet'!$E$10+1,1))-AVERAGE(OFFSET($H$3,0,0,'Données projet'!$E$10+1,1))</f>
        <v>377.26246345103175</v>
      </c>
      <c r="AO70" s="59">
        <f t="shared" si="90"/>
        <v>258.25890564000258</v>
      </c>
      <c r="AP70" s="15">
        <f>IF(ISNA(VLOOKUP(A70,'Données projet'!$A$61:$I$81,3,0)),0,VLOOKUP(A70,'Données projet'!$A$61:$I$81,3,0))</f>
        <v>5</v>
      </c>
      <c r="AQ70" s="15">
        <f>IF(ISNA(VLOOKUP(A70,'Données projet'!$A$61:$I$81,4,0)),0,VLOOKUP(A70,'Données projet'!$A$61:$I$81,4,0))</f>
        <v>38.229999999999997</v>
      </c>
      <c r="AR70" s="16">
        <f>IF(ISNA(VLOOKUP(A70,'Données projet'!$A$61:$I$81,5,0)),0%,VLOOKUP(A70,'Données projet'!$A$61:$I$81,5,0)*VLOOKUP('Données projet'!$B$10,Paramètres!$A$1:$I$89,7,0))</f>
        <v>0.25800000000000001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19.783980724987487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19.783980724987487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66.594488076986025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2.2737367544323206E-13</v>
      </c>
      <c r="BE70" s="13">
        <f>BD70*VLOOKUP('Données projet'!$B$11,Paramètres!$A$1:$I$89,3,0)*VLOOKUP('Données projet'!$B$11,Paramètres!$A$1:$I$89,5,0)</f>
        <v>1.0049916454590858E-13</v>
      </c>
      <c r="BF70" s="13">
        <f t="shared" si="91"/>
        <v>1.5089081593838289E-12</v>
      </c>
      <c r="BG70" s="20">
        <f t="shared" si="61"/>
        <v>2.8030510891776262E-12</v>
      </c>
      <c r="BH70" s="59">
        <f t="shared" si="62"/>
        <v>280.84645628228486</v>
      </c>
      <c r="BI70" s="59">
        <f ca="1">AVERAGE(OFFSET($BH$3,0,0,'Données projet'!$E$11+1,1))-AVERAGE(OFFSET($H$3,0,0,'Données projet'!$E$11+1,1))</f>
        <v>333.23043896066253</v>
      </c>
      <c r="BJ70" s="59">
        <f t="shared" si="92"/>
        <v>440.63438368668983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143.68797451223958</v>
      </c>
      <c r="BQ70" s="21">
        <f>EXP(-LN(2)/25)*BQ69+(1-EXP(-LN(2)/25))/(LN(2)/25)*Calculateur!BL70*Calculateur!BN70*VLOOKUP('Données projet'!$B$11,Paramètres!$A$1:$I$89,3,0)*0.475*44/12</f>
        <v>96.69265757239954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240.3806320846391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66.594488076986025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6.9223680000000005</v>
      </c>
      <c r="BY70" s="12">
        <f>IF('Données projet'!$A$114&gt;35,BY69+BX70-CG69,IF(A70&lt;'Données projet'!$A$114,$BV$205^A70,IF(A70='Données projet'!$A$114,'Données projet'!$B$114,BY69+BX70-CG69)))</f>
        <v>265.14111600000012</v>
      </c>
      <c r="BZ70" s="13">
        <f>BY70*VLOOKUP('Données projet'!$B$12,Paramètres!$A$1:$I$89,3,0)*VLOOKUP('Données projet'!$B$12,Paramètres!$A$1:$I$89,5,0)</f>
        <v>106.85186974800006</v>
      </c>
      <c r="CA70" s="13">
        <f t="shared" si="93"/>
        <v>28.588011719494268</v>
      </c>
      <c r="CB70" s="20">
        <f t="shared" si="64"/>
        <v>235.89112688921929</v>
      </c>
      <c r="CC70" s="59">
        <f t="shared" si="65"/>
        <v>516.73758317150134</v>
      </c>
      <c r="CD70" s="59">
        <f ca="1">AVERAGE(OFFSET($CC$3,0,0,'Données projet'!$E$12+1,1))-AVERAGE(OFFSET($H$3,0,0,'Données projet'!$E$12+1,1))</f>
        <v>177.34129362526608</v>
      </c>
      <c r="CE70" s="59">
        <f t="shared" si="94"/>
        <v>156.93407673501022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19.830877122992327</v>
      </c>
      <c r="CL70" s="21">
        <f>EXP(-LN(2)/25)*CL69+(1-EXP(-LN(2)/25))/(LN(2)/25)*Calculateur!CG70*Calculateur!CI70*VLOOKUP('Données projet'!$B$12,Paramètres!$A$1:$I$89,3,0)*0.475*44/12</f>
        <v>17.919893647099016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37.750770770091343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66.594488076986025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4.8</v>
      </c>
      <c r="CT70" s="12">
        <f>IF('Données projet'!$A$140&gt;35,CT69+CS70-DB69,IF(A70&lt;'Données projet'!$A$140,$CQ$205^A70,IF(A70='Données projet'!$A$140,'Données projet'!$B$140,CT69+CS70-DB69)))</f>
        <v>222.60000000000011</v>
      </c>
      <c r="CU70" s="17">
        <f>CT70*VLOOKUP('Données projet'!$B$13,Paramètres!$A$1:$I$89,3,0)*VLOOKUP('Données projet'!$B$13,Paramètres!$A$1:$I$89,5,0)</f>
        <v>145.84752000000009</v>
      </c>
      <c r="CV70" s="13">
        <f t="shared" si="95"/>
        <v>37.633383344887093</v>
      </c>
      <c r="CW70" s="20">
        <f t="shared" si="67"/>
        <v>319.56257332567844</v>
      </c>
      <c r="CX70" s="59">
        <f t="shared" si="68"/>
        <v>600.40902960796052</v>
      </c>
      <c r="CY70" s="59">
        <f ca="1">AVERAGE(OFFSET($CX$3,0,0,'Données projet'!$E$13+1,1))-AVERAGE(OFFSET($H$3,0,0,'Données projet'!$E$13+1,1))</f>
        <v>267.49254683294629</v>
      </c>
      <c r="CZ70" s="59">
        <f t="shared" si="96"/>
        <v>278.02595256967254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10.188514870245012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10.188514870245012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66.594488076986025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8.8662500000000044</v>
      </c>
      <c r="DO70" s="12">
        <f>IF('Données projet'!$A$166&gt;35,DO69+DN70-DW69,IF(A70&lt;'Données projet'!$A$166,$DL$205^A70,IF(A70='Données projet'!$A$166,'Données projet'!$B$166,DO69+DN70-DW69)))</f>
        <v>223.91625000000013</v>
      </c>
      <c r="DP70" s="17">
        <f>DO70*VLOOKUP('Données projet'!$B$14,Paramètres!$A$1:$I$89,3,0)*VLOOKUP('Données projet'!$B$14,Paramètres!$A$1:$I$89,5,0)</f>
        <v>202.59942300000012</v>
      </c>
      <c r="DQ70" s="13">
        <f t="shared" si="97"/>
        <v>50.315012169520465</v>
      </c>
      <c r="DR70" s="20">
        <f t="shared" si="70"/>
        <v>440.49264125358167</v>
      </c>
      <c r="DS70" s="59">
        <f t="shared" si="71"/>
        <v>721.33909753586374</v>
      </c>
      <c r="DT70" s="59">
        <f ca="1">AVERAGE(OFFSET($DS$3,0,0,'Données projet'!$E$14+1,1))-AVERAGE(OFFSET($H$3,0,0,'Données projet'!$E$14+1,1))</f>
        <v>602.02351907077332</v>
      </c>
      <c r="DU70" s="59">
        <f t="shared" si="98"/>
        <v>278.08067690827272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24.154793998119956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24.154793998119956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66.594488076986025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66.594488076986025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66.594488076986025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66.594488076986025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2.2000000000000002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8.0666666666666682</v>
      </c>
      <c r="H71" s="67">
        <f t="shared" si="56"/>
        <v>224.4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66.653566095266257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11.896999999999997</v>
      </c>
      <c r="N71" s="13">
        <f>IF('Données projet'!$A$36&gt;35,N70+M71-V70,IF(A71&lt;'Données projet'!$A$36,$K$205^A71,IF(A71='Données projet'!$A$36,'Données projet'!$B$36,N70+M71-V70)))</f>
        <v>466.26600000000013</v>
      </c>
      <c r="O71" s="13">
        <f>N71*VLOOKUP('Données projet'!$B$9,Paramètres!$A$1:$I$89,3,0)*VLOOKUP('Données projet'!$B$9,Paramètres!$A$1:$I$89,5,0)</f>
        <v>278.82706800000011</v>
      </c>
      <c r="P71" s="13">
        <f t="shared" si="87"/>
        <v>66.719074104976841</v>
      </c>
      <c r="Q71" s="20">
        <f t="shared" si="54"/>
        <v>601.82619749950163</v>
      </c>
      <c r="R71" s="59">
        <f t="shared" si="55"/>
        <v>882.88927318214451</v>
      </c>
      <c r="S71" s="59">
        <f ca="1">AVERAGE(OFFSET($R$3,0,0,'Données projet'!$E$9+1,1))-AVERAGE(OFFSET($H$3,0,0,'Données projet'!$E$9+1,1))</f>
        <v>360.09035401555587</v>
      </c>
      <c r="T71" s="59">
        <f t="shared" si="88"/>
        <v>266.54879627869821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35.755583202408744</v>
      </c>
      <c r="AA71" s="21">
        <f>EXP(-LN(2)/25)*AA70+(1-EXP(-LN(2)/25))/(LN(2)/25)*Calculateur!V71*Calculateur!X71*VLOOKUP('Données projet'!$B$9,Paramètres!$A$1:$I$89,3,0)*0.475*44/12</f>
        <v>27.594933062529559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63.350516264938307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66.653566095266257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8.4087499999999977</v>
      </c>
      <c r="AI71" s="13">
        <f>IF('Données projet'!$A$62&gt;35,AI70+AH71-AQ70,IF(A71&lt;'Données projet'!$A$62,$AF$205^A71,IF(A71='Données projet'!$A$62,'Données projet'!$B$62,AI70+AH71-AQ70)))</f>
        <v>183.03875000000016</v>
      </c>
      <c r="AJ71" s="13">
        <f>AI71*VLOOKUP('Données projet'!$B$10,Paramètres!$A$1:$I$89,3,0)*VLOOKUP('Données projet'!$B$10,Paramètres!$A$1:$I$89,5,0)</f>
        <v>154.19184300000015</v>
      </c>
      <c r="AK71" s="13">
        <f t="shared" si="89"/>
        <v>39.529663502319345</v>
      </c>
      <c r="AL71" s="20">
        <f t="shared" si="58"/>
        <v>337.3982904915398</v>
      </c>
      <c r="AM71" s="59">
        <f t="shared" si="59"/>
        <v>618.46136617418279</v>
      </c>
      <c r="AN71" s="59">
        <f ca="1">AVERAGE(OFFSET($AM$3,0,0,'Données projet'!$E$10+1,1))-AVERAGE(OFFSET($H$3,0,0,'Données projet'!$E$10+1,1))</f>
        <v>377.26246345103175</v>
      </c>
      <c r="AO71" s="59">
        <f t="shared" si="90"/>
        <v>258.25890564000258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19.396028930007205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19.396028930007205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66.653566095266257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2.2737367544323206E-13</v>
      </c>
      <c r="BE71" s="13">
        <f>BD71*VLOOKUP('Données projet'!$B$11,Paramètres!$A$1:$I$89,3,0)*VLOOKUP('Données projet'!$B$11,Paramètres!$A$1:$I$89,5,0)</f>
        <v>1.0049916454590858E-13</v>
      </c>
      <c r="BF71" s="13">
        <f t="shared" si="91"/>
        <v>1.5089081593838289E-12</v>
      </c>
      <c r="BG71" s="20">
        <f t="shared" si="61"/>
        <v>2.8030510891776262E-12</v>
      </c>
      <c r="BH71" s="59">
        <f t="shared" si="62"/>
        <v>281.06307568264572</v>
      </c>
      <c r="BI71" s="59">
        <f ca="1">AVERAGE(OFFSET($BH$3,0,0,'Données projet'!$E$11+1,1))-AVERAGE(OFFSET($H$3,0,0,'Données projet'!$E$11+1,1))</f>
        <v>333.23043896066253</v>
      </c>
      <c r="BJ71" s="59">
        <f t="shared" si="92"/>
        <v>440.63438368668983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140.87034097306517</v>
      </c>
      <c r="BQ71" s="21">
        <f>EXP(-LN(2)/25)*BQ70+(1-EXP(-LN(2)/25))/(LN(2)/25)*Calculateur!BL71*Calculateur!BN71*VLOOKUP('Données projet'!$B$11,Paramètres!$A$1:$I$89,3,0)*0.475*44/12</f>
        <v>94.048591766236413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234.91893273930157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66.653566095266257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6.9223680000000005</v>
      </c>
      <c r="BY71" s="12">
        <f>IF('Données projet'!$A$114&gt;35,BY70+BX71-CG70,IF(A71&lt;'Données projet'!$A$114,$BV$205^A71,IF(A71='Données projet'!$A$114,'Données projet'!$B$114,BY70+BX71-CG70)))</f>
        <v>272.06348400000013</v>
      </c>
      <c r="BZ71" s="13">
        <f>BY71*VLOOKUP('Données projet'!$B$12,Paramètres!$A$1:$I$89,3,0)*VLOOKUP('Données projet'!$B$12,Paramètres!$A$1:$I$89,5,0)</f>
        <v>109.64158405200004</v>
      </c>
      <c r="CA71" s="13">
        <f t="shared" si="93"/>
        <v>29.246522946410415</v>
      </c>
      <c r="CB71" s="20">
        <f t="shared" si="64"/>
        <v>241.8967863555649</v>
      </c>
      <c r="CC71" s="59">
        <f t="shared" si="65"/>
        <v>522.9598620382078</v>
      </c>
      <c r="CD71" s="59">
        <f ca="1">AVERAGE(OFFSET($CC$3,0,0,'Données projet'!$E$12+1,1))-AVERAGE(OFFSET($H$3,0,0,'Données projet'!$E$12+1,1))</f>
        <v>177.34129362526608</v>
      </c>
      <c r="CE71" s="59">
        <f t="shared" si="94"/>
        <v>156.93407673501022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19.442005718251146</v>
      </c>
      <c r="CL71" s="21">
        <f>EXP(-LN(2)/25)*CL70+(1-EXP(-LN(2)/25))/(LN(2)/25)*Calculateur!CG71*Calculateur!CI71*VLOOKUP('Données projet'!$B$12,Paramètres!$A$1:$I$89,3,0)*0.475*44/12</f>
        <v>17.429873212952842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36.871878931203987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66.653566095266257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4.8</v>
      </c>
      <c r="CT71" s="12">
        <f>IF('Données projet'!$A$140&gt;35,CT70+CS71-DB70,IF(A71&lt;'Données projet'!$A$140,$CQ$205^A71,IF(A71='Données projet'!$A$140,'Données projet'!$B$140,CT70+CS71-DB70)))</f>
        <v>227.40000000000012</v>
      </c>
      <c r="CU71" s="17">
        <f>CT71*VLOOKUP('Données projet'!$B$13,Paramètres!$A$1:$I$89,3,0)*VLOOKUP('Données projet'!$B$13,Paramètres!$A$1:$I$89,5,0)</f>
        <v>148.99248000000009</v>
      </c>
      <c r="CV71" s="13">
        <f t="shared" si="95"/>
        <v>38.349533355462334</v>
      </c>
      <c r="CW71" s="20">
        <f t="shared" si="67"/>
        <v>326.28733992743042</v>
      </c>
      <c r="CX71" s="59">
        <f t="shared" si="68"/>
        <v>607.35041561007336</v>
      </c>
      <c r="CY71" s="59">
        <f ca="1">AVERAGE(OFFSET($CX$3,0,0,'Données projet'!$E$13+1,1))-AVERAGE(OFFSET($H$3,0,0,'Données projet'!$E$13+1,1))</f>
        <v>267.49254683294629</v>
      </c>
      <c r="CZ71" s="59">
        <f t="shared" si="96"/>
        <v>278.02595256967254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9.9887243080199593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9.9887243080199593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66.653566095266257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8.8662500000000044</v>
      </c>
      <c r="DO71" s="12">
        <f>IF('Données projet'!$A$166&gt;35,DO70+DN71-DW70,IF(A71&lt;'Données projet'!$A$166,$DL$205^A71,IF(A71='Données projet'!$A$166,'Données projet'!$B$166,DO70+DN71-DW70)))</f>
        <v>232.78250000000014</v>
      </c>
      <c r="DP71" s="17">
        <f>DO71*VLOOKUP('Données projet'!$B$14,Paramètres!$A$1:$I$89,3,0)*VLOOKUP('Données projet'!$B$14,Paramètres!$A$1:$I$89,5,0)</f>
        <v>210.62160600000013</v>
      </c>
      <c r="DQ71" s="13">
        <f t="shared" si="97"/>
        <v>52.071398873356536</v>
      </c>
      <c r="DR71" s="20">
        <f t="shared" si="70"/>
        <v>457.5236501544295</v>
      </c>
      <c r="DS71" s="59">
        <f t="shared" si="71"/>
        <v>738.58672583707244</v>
      </c>
      <c r="DT71" s="59">
        <f ca="1">AVERAGE(OFFSET($DS$3,0,0,'Données projet'!$E$14+1,1))-AVERAGE(OFFSET($H$3,0,0,'Données projet'!$E$14+1,1))</f>
        <v>602.02351907077332</v>
      </c>
      <c r="DU71" s="59">
        <f t="shared" si="98"/>
        <v>278.08067690827272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23.681133220786403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23.681133220786403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66.653566095266257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66.653566095266257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66.653566095266257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66.653566095266257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2.2000000000000002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8.0666666666666682</v>
      </c>
      <c r="H72" s="67">
        <f t="shared" si="56"/>
        <v>224.4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66.711619242007984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11.896999999999997</v>
      </c>
      <c r="N72" s="13">
        <f>IF('Données projet'!$A$36&gt;35,N71+M72-V71,IF(A72&lt;'Données projet'!$A$36,$K$205^A72,IF(A72='Données projet'!$A$36,'Données projet'!$B$36,N71+M72-V71)))</f>
        <v>478.16300000000012</v>
      </c>
      <c r="O72" s="13">
        <f>N72*VLOOKUP('Données projet'!$B$9,Paramètres!$A$1:$I$89,3,0)*VLOOKUP('Données projet'!$B$9,Paramètres!$A$1:$I$89,5,0)</f>
        <v>285.94147400000008</v>
      </c>
      <c r="P72" s="13">
        <f t="shared" si="87"/>
        <v>68.221074600056156</v>
      </c>
      <c r="Q72" s="20">
        <f t="shared" si="54"/>
        <v>616.83310547843132</v>
      </c>
      <c r="R72" s="59">
        <f t="shared" si="55"/>
        <v>898.10904269912726</v>
      </c>
      <c r="S72" s="59">
        <f ca="1">AVERAGE(OFFSET($R$3,0,0,'Données projet'!$E$9+1,1))-AVERAGE(OFFSET($H$3,0,0,'Données projet'!$E$9+1,1))</f>
        <v>360.09035401555587</v>
      </c>
      <c r="T72" s="59">
        <f t="shared" si="88"/>
        <v>266.54879627869821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35.054438024561826</v>
      </c>
      <c r="AA72" s="21">
        <f>EXP(-LN(2)/25)*AA71+(1-EXP(-LN(2)/25))/(LN(2)/25)*Calculateur!V72*Calculateur!X72*VLOOKUP('Données projet'!$B$9,Paramètres!$A$1:$I$89,3,0)*0.475*44/12</f>
        <v>26.840348166780228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61.89478619134205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66.711619242007984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8.4087499999999977</v>
      </c>
      <c r="AI72" s="13">
        <f>IF('Données projet'!$A$62&gt;35,AI71+AH72-AQ71,IF(A72&lt;'Données projet'!$A$62,$AF$205^A72,IF(A72='Données projet'!$A$62,'Données projet'!$B$62,AI71+AH72-AQ71)))</f>
        <v>191.44750000000016</v>
      </c>
      <c r="AJ72" s="13">
        <f>AI72*VLOOKUP('Données projet'!$B$10,Paramètres!$A$1:$I$89,3,0)*VLOOKUP('Données projet'!$B$10,Paramètres!$A$1:$I$89,5,0)</f>
        <v>161.27537400000014</v>
      </c>
      <c r="AK72" s="13">
        <f t="shared" si="89"/>
        <v>41.130046514208587</v>
      </c>
      <c r="AL72" s="20">
        <f t="shared" si="58"/>
        <v>352.52277406224692</v>
      </c>
      <c r="AM72" s="59">
        <f t="shared" si="59"/>
        <v>633.7987112829428</v>
      </c>
      <c r="AN72" s="59">
        <f ca="1">AVERAGE(OFFSET($AM$3,0,0,'Données projet'!$E$10+1,1))-AVERAGE(OFFSET($H$3,0,0,'Données projet'!$E$10+1,1))</f>
        <v>377.26246345103175</v>
      </c>
      <c r="AO72" s="59">
        <f t="shared" si="90"/>
        <v>258.25890564000258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19.015684633099255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19.015684633099255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66.711619242007984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2.2737367544323206E-13</v>
      </c>
      <c r="BE72" s="13">
        <f>BD72*VLOOKUP('Données projet'!$B$11,Paramètres!$A$1:$I$89,3,0)*VLOOKUP('Données projet'!$B$11,Paramètres!$A$1:$I$89,5,0)</f>
        <v>1.0049916454590858E-13</v>
      </c>
      <c r="BF72" s="13">
        <f t="shared" si="91"/>
        <v>1.5089081593838289E-12</v>
      </c>
      <c r="BG72" s="20">
        <f t="shared" si="61"/>
        <v>2.8030510891776262E-12</v>
      </c>
      <c r="BH72" s="59">
        <f t="shared" si="62"/>
        <v>281.27593722069872</v>
      </c>
      <c r="BI72" s="59">
        <f ca="1">AVERAGE(OFFSET($BH$3,0,0,'Données projet'!$E$11+1,1))-AVERAGE(OFFSET($H$3,0,0,'Données projet'!$E$11+1,1))</f>
        <v>333.23043896066253</v>
      </c>
      <c r="BJ72" s="59">
        <f t="shared" si="92"/>
        <v>440.63438368668983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138.10795950900723</v>
      </c>
      <c r="BQ72" s="21">
        <f>EXP(-LN(2)/25)*BQ71+(1-EXP(-LN(2)/25))/(LN(2)/25)*Calculateur!BL72*Calculateur!BN72*VLOOKUP('Données projet'!$B$11,Paramètres!$A$1:$I$89,3,0)*0.475*44/12</f>
        <v>91.476828078588184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229.58478758759543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66.711619242007984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6.9223680000000005</v>
      </c>
      <c r="BY72" s="12">
        <f>IF('Données projet'!$A$114&gt;35,BY71+BX72-CG71,IF(A72&lt;'Données projet'!$A$114,$BV$205^A72,IF(A72='Données projet'!$A$114,'Données projet'!$B$114,BY71+BX72-CG71)))</f>
        <v>278.98585200000014</v>
      </c>
      <c r="BZ72" s="13">
        <f>BY72*VLOOKUP('Données projet'!$B$12,Paramètres!$A$1:$I$89,3,0)*VLOOKUP('Données projet'!$B$12,Paramètres!$A$1:$I$89,5,0)</f>
        <v>112.43129835600006</v>
      </c>
      <c r="CA72" s="13">
        <f t="shared" si="93"/>
        <v>29.90308654018806</v>
      </c>
      <c r="CB72" s="20">
        <f t="shared" si="64"/>
        <v>247.89905369419429</v>
      </c>
      <c r="CC72" s="59">
        <f t="shared" si="65"/>
        <v>529.17499091489026</v>
      </c>
      <c r="CD72" s="59">
        <f ca="1">AVERAGE(OFFSET($CC$3,0,0,'Données projet'!$E$12+1,1))-AVERAGE(OFFSET($H$3,0,0,'Données projet'!$E$12+1,1))</f>
        <v>177.34129362526608</v>
      </c>
      <c r="CE72" s="59">
        <f t="shared" si="94"/>
        <v>156.93407673501022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19.060759844568803</v>
      </c>
      <c r="CL72" s="21">
        <f>EXP(-LN(2)/25)*CL71+(1-EXP(-LN(2)/25))/(LN(2)/25)*Calculateur!CG72*Calculateur!CI72*VLOOKUP('Données projet'!$B$12,Paramètres!$A$1:$I$89,3,0)*0.475*44/12</f>
        <v>16.95325241334745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36.014012257916249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66.711619242007984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4.8</v>
      </c>
      <c r="CT72" s="12">
        <f>IF('Données projet'!$A$140&gt;35,CT71+CS72-DB71,IF(A72&lt;'Données projet'!$A$140,$CQ$205^A72,IF(A72='Données projet'!$A$140,'Données projet'!$B$140,CT71+CS72-DB71)))</f>
        <v>232.20000000000013</v>
      </c>
      <c r="CU72" s="17">
        <f>CT72*VLOOKUP('Données projet'!$B$13,Paramètres!$A$1:$I$89,3,0)*VLOOKUP('Données projet'!$B$13,Paramètres!$A$1:$I$89,5,0)</f>
        <v>152.13744000000008</v>
      </c>
      <c r="CV72" s="13">
        <f t="shared" si="95"/>
        <v>39.063925813036128</v>
      </c>
      <c r="CW72" s="20">
        <f t="shared" si="67"/>
        <v>333.0090454577047</v>
      </c>
      <c r="CX72" s="59">
        <f t="shared" si="68"/>
        <v>614.28498267840064</v>
      </c>
      <c r="CY72" s="59">
        <f ca="1">AVERAGE(OFFSET($CX$3,0,0,'Données projet'!$E$13+1,1))-AVERAGE(OFFSET($H$3,0,0,'Données projet'!$E$13+1,1))</f>
        <v>267.49254683294629</v>
      </c>
      <c r="CZ72" s="59">
        <f t="shared" si="96"/>
        <v>278.02595256967254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9.7928515168599297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9.7928515168599297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66.711619242007984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8.8662500000000044</v>
      </c>
      <c r="DO72" s="12">
        <f>IF('Données projet'!$A$166&gt;35,DO71+DN72-DW71,IF(A72&lt;'Données projet'!$A$166,$DL$205^A72,IF(A72='Données projet'!$A$166,'Données projet'!$B$166,DO71+DN72-DW71)))</f>
        <v>241.64875000000015</v>
      </c>
      <c r="DP72" s="17">
        <f>DO72*VLOOKUP('Données projet'!$B$14,Paramètres!$A$1:$I$89,3,0)*VLOOKUP('Données projet'!$B$14,Paramètres!$A$1:$I$89,5,0)</f>
        <v>218.64378900000014</v>
      </c>
      <c r="DQ72" s="13">
        <f t="shared" si="97"/>
        <v>53.820013961218514</v>
      </c>
      <c r="DR72" s="20">
        <f t="shared" si="70"/>
        <v>474.54112349078923</v>
      </c>
      <c r="DS72" s="59">
        <f t="shared" si="71"/>
        <v>755.81706071148517</v>
      </c>
      <c r="DT72" s="59">
        <f ca="1">AVERAGE(OFFSET($DS$3,0,0,'Données projet'!$E$14+1,1))-AVERAGE(OFFSET($H$3,0,0,'Données projet'!$E$14+1,1))</f>
        <v>602.02351907077332</v>
      </c>
      <c r="DU72" s="59">
        <f t="shared" si="98"/>
        <v>278.08067690827272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23.216760642391815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23.216760642391815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66.711619242007984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66.711619242007984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66.711619242007984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66.711619242007984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2.2000000000000002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8.0666666666666682</v>
      </c>
      <c r="H73" s="67">
        <f t="shared" si="56"/>
        <v>224.4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66.768665296441142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490.06</v>
      </c>
      <c r="L73" s="12">
        <f>VLOOKUP(A73,'Données projet'!$A$35:$I$55,9,0)</f>
        <v>11.896999999999997</v>
      </c>
      <c r="M73" s="12">
        <f t="array" ref="M73">INDEX(L:L,MIN(IF(ISNUMBER(L73:L269),ROW(L73:L269),"")))</f>
        <v>11.896999999999997</v>
      </c>
      <c r="N73" s="13">
        <f>IF('Données projet'!$A$36&gt;35,N72+M73-V72,IF(A73&lt;'Données projet'!$A$36,$K$205^A73,IF(A73='Données projet'!$A$36,'Données projet'!$B$36,N72+M73-V72)))</f>
        <v>490.06000000000012</v>
      </c>
      <c r="O73" s="13">
        <f>N73*VLOOKUP('Données projet'!$B$9,Paramètres!$A$1:$I$89,3,0)*VLOOKUP('Données projet'!$B$9,Paramètres!$A$1:$I$89,5,0)</f>
        <v>293.05588000000012</v>
      </c>
      <c r="P73" s="13">
        <f t="shared" si="87"/>
        <v>69.718730961493122</v>
      </c>
      <c r="Q73" s="20">
        <f t="shared" si="54"/>
        <v>631.83244742460067</v>
      </c>
      <c r="R73" s="59">
        <f t="shared" si="55"/>
        <v>913.31755351155152</v>
      </c>
      <c r="S73" s="59">
        <f ca="1">AVERAGE(OFFSET($R$3,0,0,'Données projet'!$E$9+1,1))-AVERAGE(OFFSET($H$3,0,0,'Données projet'!$E$9+1,1))</f>
        <v>360.09035401555587</v>
      </c>
      <c r="T73" s="59">
        <f t="shared" si="88"/>
        <v>266.54879627869821</v>
      </c>
      <c r="U73" s="15">
        <f>IF(ISNA(VLOOKUP(A73,'Données projet'!$A$35:$I$55,3,0)),0,VLOOKUP(A73,'Données projet'!$A$35:$I$55,3,0))</f>
        <v>7</v>
      </c>
      <c r="V73" s="15">
        <f>IF(ISNA(VLOOKUP(A73,'Données projet'!$A$35:$I$55,4,0)),0,VLOOKUP(A73,'Données projet'!$A$35:$I$55,4,0))</f>
        <v>67.88</v>
      </c>
      <c r="W73" s="16">
        <f>IF(ISNA(VLOOKUP(A73,'Données projet'!$A$35:$I$55,5,0)),0%,VLOOKUP(A73,'Données projet'!$A$35:$I$55,5,0)*VLOOKUP('Données projet'!$B$9,Paramètres!$A$1:$I$89,7,0))</f>
        <v>0.315</v>
      </c>
      <c r="X73" s="16">
        <f>IF(ISNA(VLOOKUP(A73,'Données projet'!$A$35:$I$55,6,0)),0%,VLOOKUP(A73,'Données projet'!$A$35:$I$55,6,0)*VLOOKUP('Données projet'!$B$9,Paramètres!$A$1:$I$89,7,0))</f>
        <v>0.13500000000000001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51.329232042457562</v>
      </c>
      <c r="AA73" s="21">
        <f>EXP(-LN(2)/25)*AA72+(1-EXP(-LN(2)/25))/(LN(2)/25)*Calculateur!V73*Calculateur!X73*VLOOKUP('Données projet'!$B$9,Paramètres!$A$1:$I$89,3,0)*0.475*44/12</f>
        <v>33.347284674976294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84.676516717433856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66.768665296441142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8.4087499999999977</v>
      </c>
      <c r="AI73" s="13">
        <f>IF('Données projet'!$A$62&gt;35,AI72+AH73-AQ72,IF(A73&lt;'Données projet'!$A$62,$AF$205^A73,IF(A73='Données projet'!$A$62,'Données projet'!$B$62,AI72+AH73-AQ72)))</f>
        <v>199.85625000000016</v>
      </c>
      <c r="AJ73" s="13">
        <f>AI73*VLOOKUP('Données projet'!$B$10,Paramètres!$A$1:$I$89,3,0)*VLOOKUP('Données projet'!$B$10,Paramètres!$A$1:$I$89,5,0)</f>
        <v>168.35890500000014</v>
      </c>
      <c r="AK73" s="13">
        <f t="shared" si="89"/>
        <v>42.722265649387637</v>
      </c>
      <c r="AL73" s="20">
        <f t="shared" si="58"/>
        <v>367.633038881017</v>
      </c>
      <c r="AM73" s="59">
        <f t="shared" si="59"/>
        <v>649.11814496796785</v>
      </c>
      <c r="AN73" s="59">
        <f ca="1">AVERAGE(OFFSET($AM$3,0,0,'Données projet'!$E$10+1,1))-AVERAGE(OFFSET($H$3,0,0,'Données projet'!$E$10+1,1))</f>
        <v>377.26246345103175</v>
      </c>
      <c r="AO73" s="59">
        <f t="shared" si="90"/>
        <v>258.25890564000258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18.642798655866557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18.642798655866557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66.768665296441142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2.2737367544323206E-13</v>
      </c>
      <c r="BE73" s="13">
        <f>BD73*VLOOKUP('Données projet'!$B$11,Paramètres!$A$1:$I$89,3,0)*VLOOKUP('Données projet'!$B$11,Paramètres!$A$1:$I$89,5,0)</f>
        <v>1.0049916454590858E-13</v>
      </c>
      <c r="BF73" s="13">
        <f t="shared" si="91"/>
        <v>1.5089081593838289E-12</v>
      </c>
      <c r="BG73" s="20">
        <f t="shared" si="61"/>
        <v>2.8030510891776262E-12</v>
      </c>
      <c r="BH73" s="59">
        <f t="shared" si="62"/>
        <v>281.48510608695364</v>
      </c>
      <c r="BI73" s="59">
        <f ca="1">AVERAGE(OFFSET($BH$3,0,0,'Données projet'!$E$11+1,1))-AVERAGE(OFFSET($H$3,0,0,'Données projet'!$E$11+1,1))</f>
        <v>333.23043896066253</v>
      </c>
      <c r="BJ73" s="59">
        <f t="shared" si="92"/>
        <v>440.63438368668983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135.39974666057313</v>
      </c>
      <c r="BQ73" s="21">
        <f>EXP(-LN(2)/25)*BQ72+(1-EXP(-LN(2)/25))/(LN(2)/25)*Calculateur!BL73*Calculateur!BN73*VLOOKUP('Données projet'!$B$11,Paramètres!$A$1:$I$89,3,0)*0.475*44/12</f>
        <v>88.975389404221872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224.37513606479502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66.768665296441142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285.90822000000003</v>
      </c>
      <c r="BW73" s="12">
        <f>VLOOKUP(A73,'Données projet'!$A$113:$I$133,9,0)</f>
        <v>6.9223680000000005</v>
      </c>
      <c r="BX73" s="12">
        <f t="array" ref="BX73">INDEX(BW:BW,MIN(IF(ISNUMBER(BW73:BW269),ROW(BW73:BW269),"")))</f>
        <v>6.9223680000000005</v>
      </c>
      <c r="BY73" s="12">
        <f>IF('Données projet'!$A$114&gt;35,BY72+BX73-CG72,IF(A73&lt;'Données projet'!$A$114,$BV$205^A73,IF(A73='Données projet'!$A$114,'Données projet'!$B$114,BY72+BX73-CG72)))</f>
        <v>285.90822000000014</v>
      </c>
      <c r="BZ73" s="13">
        <f>BY73*VLOOKUP('Données projet'!$B$12,Paramètres!$A$1:$I$89,3,0)*VLOOKUP('Données projet'!$B$12,Paramètres!$A$1:$I$89,5,0)</f>
        <v>115.22101266000006</v>
      </c>
      <c r="CA73" s="13">
        <f t="shared" si="93"/>
        <v>30.557756385174883</v>
      </c>
      <c r="CB73" s="20">
        <f t="shared" si="64"/>
        <v>253.8980227536797</v>
      </c>
      <c r="CC73" s="59">
        <f t="shared" si="65"/>
        <v>535.38312884063055</v>
      </c>
      <c r="CD73" s="59">
        <f ca="1">AVERAGE(OFFSET($CC$3,0,0,'Données projet'!$E$12+1,1))-AVERAGE(OFFSET($H$3,0,0,'Données projet'!$E$12+1,1))</f>
        <v>177.34129362526608</v>
      </c>
      <c r="CE73" s="59">
        <f t="shared" si="94"/>
        <v>156.93407673501022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18.207270000000001</v>
      </c>
      <c r="CH73" s="16">
        <f>IF(ISNA(VLOOKUP(A73,'Données projet'!$A$113:$I$133,5,0)),0%,VLOOKUP(A73,'Données projet'!$A$113:$I$133,5,0)*VLOOKUP('Données projet'!$B$12,Paramètres!$A$1:$I$89,7,0))</f>
        <v>0.38500000000000001</v>
      </c>
      <c r="CI73" s="16">
        <f>IF(ISNA(VLOOKUP(A73,'Données projet'!$A$113:$I$133,6,0)),0%,VLOOKUP(A73,'Données projet'!$A$113:$I$133,6,0)*VLOOKUP('Données projet'!$B$12,Paramètres!$A$1:$I$89,7,0))</f>
        <v>0.16500000000000001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22.43446687105186</v>
      </c>
      <c r="CL73" s="21">
        <f>EXP(-LN(2)/25)*CL72+(1-EXP(-LN(2)/25))/(LN(2)/25)*Calculateur!CG73*Calculateur!CI73*VLOOKUP('Données projet'!$B$12,Paramètres!$A$1:$I$89,3,0)*0.475*44/12</f>
        <v>18.08940268742559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40.52386955847745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66.768665296441142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237</v>
      </c>
      <c r="CR73" s="12">
        <f>VLOOKUP(A73,'Données projet'!$A$139:$I$159,9,0)</f>
        <v>4.8</v>
      </c>
      <c r="CS73" s="12">
        <f t="array" ref="CS73">INDEX(CR:CR,MIN(IF(ISNUMBER(CR73:CR269),ROW(CR73:CR269),"")))</f>
        <v>4.8</v>
      </c>
      <c r="CT73" s="12">
        <f>IF('Données projet'!$A$140&gt;35,CT72+CS73-DB72,IF(A73&lt;'Données projet'!$A$140,$CQ$205^A73,IF(A73='Données projet'!$A$140,'Données projet'!$B$140,CT72+CS73-DB72)))</f>
        <v>237.00000000000014</v>
      </c>
      <c r="CU73" s="17">
        <f>CT73*VLOOKUP('Données projet'!$B$13,Paramètres!$A$1:$I$89,3,0)*VLOOKUP('Données projet'!$B$13,Paramètres!$A$1:$I$89,5,0)</f>
        <v>155.28240000000011</v>
      </c>
      <c r="CV73" s="13">
        <f t="shared" si="95"/>
        <v>39.776601235546444</v>
      </c>
      <c r="CW73" s="20">
        <f t="shared" si="67"/>
        <v>339.72776048524355</v>
      </c>
      <c r="CX73" s="59">
        <f t="shared" si="68"/>
        <v>621.21286657219434</v>
      </c>
      <c r="CY73" s="59">
        <f ca="1">AVERAGE(OFFSET($CX$3,0,0,'Données projet'!$E$13+1,1))-AVERAGE(OFFSET($H$3,0,0,'Données projet'!$E$13+1,1))</f>
        <v>267.49254683294629</v>
      </c>
      <c r="CZ73" s="59">
        <f t="shared" si="96"/>
        <v>278.02595256967254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19</v>
      </c>
      <c r="DC73" s="16">
        <f>IF(ISNA(VLOOKUP(A73,'Données projet'!$A$139:$I$159,5,0)),0%,VLOOKUP(A73,'Données projet'!$A$139:$I$159,5,0)*VLOOKUP('Données projet'!$B$13,Paramètres!$A$1:$I$89,7,0))</f>
        <v>0.25800000000000001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13.151358824132227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13.151358824132227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66.768665296441142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8.8662500000000044</v>
      </c>
      <c r="DO73" s="12">
        <f>IF('Données projet'!$A$166&gt;35,DO72+DN73-DW72,IF(A73&lt;'Données projet'!$A$166,$DL$205^A73,IF(A73='Données projet'!$A$166,'Données projet'!$B$166,DO72+DN73-DW72)))</f>
        <v>250.51500000000016</v>
      </c>
      <c r="DP73" s="17">
        <f>DO73*VLOOKUP('Données projet'!$B$14,Paramètres!$A$1:$I$89,3,0)*VLOOKUP('Données projet'!$B$14,Paramètres!$A$1:$I$89,5,0)</f>
        <v>226.66597200000012</v>
      </c>
      <c r="DQ73" s="13">
        <f t="shared" si="97"/>
        <v>55.561175235972904</v>
      </c>
      <c r="DR73" s="20">
        <f t="shared" si="70"/>
        <v>491.54561476931968</v>
      </c>
      <c r="DS73" s="59">
        <f t="shared" si="71"/>
        <v>773.03072085627059</v>
      </c>
      <c r="DT73" s="59">
        <f ca="1">AVERAGE(OFFSET($DS$3,0,0,'Données projet'!$E$14+1,1))-AVERAGE(OFFSET($H$3,0,0,'Données projet'!$E$14+1,1))</f>
        <v>602.02351907077332</v>
      </c>
      <c r="DU73" s="59">
        <f t="shared" si="98"/>
        <v>278.08067690827272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22.761494127020239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22.761494127020239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66.768665296441142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66.768665296441142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66.768665296441142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66.768665296441142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2.2000000000000002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8.0666666666666682</v>
      </c>
      <c r="H74" s="67">
        <f t="shared" si="56"/>
        <v>224.4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66.824721729365763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9.782</v>
      </c>
      <c r="N74" s="13">
        <f>IF('Données projet'!$A$36&gt;35,N73+M74-V73,IF(A74&lt;'Données projet'!$A$36,$K$205^A74,IF(A74='Données projet'!$A$36,'Données projet'!$B$36,N73+M74-V73)))</f>
        <v>431.9620000000001</v>
      </c>
      <c r="O74" s="13">
        <f>N74*VLOOKUP('Données projet'!$B$9,Paramètres!$A$1:$I$89,3,0)*VLOOKUP('Données projet'!$B$9,Paramètres!$A$1:$I$89,5,0)</f>
        <v>258.31327600000009</v>
      </c>
      <c r="P74" s="13">
        <f t="shared" si="87"/>
        <v>62.362700481716175</v>
      </c>
      <c r="Q74" s="20">
        <f t="shared" si="54"/>
        <v>558.51065903898916</v>
      </c>
      <c r="R74" s="59">
        <f t="shared" si="55"/>
        <v>840.20130537999694</v>
      </c>
      <c r="S74" s="59">
        <f ca="1">AVERAGE(OFFSET($R$3,0,0,'Données projet'!$E$9+1,1))-AVERAGE(OFFSET($H$3,0,0,'Données projet'!$E$9+1,1))</f>
        <v>360.09035401555587</v>
      </c>
      <c r="T74" s="59">
        <f t="shared" si="88"/>
        <v>266.54879627869821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50.32269710984513</v>
      </c>
      <c r="AA74" s="21">
        <f>EXP(-LN(2)/25)*AA73+(1-EXP(-LN(2)/25))/(LN(2)/25)*Calculateur!V74*Calculateur!X74*VLOOKUP('Données projet'!$B$9,Paramètres!$A$1:$I$89,3,0)*0.475*44/12</f>
        <v>32.435401421881579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82.758098531726716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66.824721729365763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8.4087499999999977</v>
      </c>
      <c r="AI74" s="13">
        <f>IF('Données projet'!$A$62&gt;35,AI73+AH74-AQ73,IF(A74&lt;'Données projet'!$A$62,$AF$205^A74,IF(A74='Données projet'!$A$62,'Données projet'!$B$62,AI73+AH74-AQ73)))</f>
        <v>208.26500000000016</v>
      </c>
      <c r="AJ74" s="13">
        <f>AI74*VLOOKUP('Données projet'!$B$10,Paramètres!$A$1:$I$89,3,0)*VLOOKUP('Données projet'!$B$10,Paramètres!$A$1:$I$89,5,0)</f>
        <v>175.44243600000016</v>
      </c>
      <c r="AK74" s="13">
        <f t="shared" si="89"/>
        <v>44.306703669500294</v>
      </c>
      <c r="AL74" s="20">
        <f t="shared" si="58"/>
        <v>382.72975159104658</v>
      </c>
      <c r="AM74" s="59">
        <f t="shared" si="59"/>
        <v>664.42039793205436</v>
      </c>
      <c r="AN74" s="59">
        <f ca="1">AVERAGE(OFFSET($AM$3,0,0,'Données projet'!$E$10+1,1))-AVERAGE(OFFSET($H$3,0,0,'Données projet'!$E$10+1,1))</f>
        <v>377.26246345103175</v>
      </c>
      <c r="AO74" s="59">
        <f t="shared" si="90"/>
        <v>258.25890564000258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18.277224745209402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18.277224745209402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66.824721729365763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2.2737367544323206E-13</v>
      </c>
      <c r="BE74" s="13">
        <f>BD74*VLOOKUP('Données projet'!$B$11,Paramètres!$A$1:$I$89,3,0)*VLOOKUP('Données projet'!$B$11,Paramètres!$A$1:$I$89,5,0)</f>
        <v>1.0049916454590858E-13</v>
      </c>
      <c r="BF74" s="13">
        <f t="shared" si="91"/>
        <v>1.5089081593838289E-12</v>
      </c>
      <c r="BG74" s="20">
        <f t="shared" si="61"/>
        <v>2.8030510891776262E-12</v>
      </c>
      <c r="BH74" s="59">
        <f t="shared" si="62"/>
        <v>281.69064634101056</v>
      </c>
      <c r="BI74" s="59">
        <f ca="1">AVERAGE(OFFSET($BH$3,0,0,'Données projet'!$E$11+1,1))-AVERAGE(OFFSET($H$3,0,0,'Données projet'!$E$11+1,1))</f>
        <v>333.23043896066253</v>
      </c>
      <c r="BJ74" s="59">
        <f t="shared" si="92"/>
        <v>440.63438368668983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132.7446402142501</v>
      </c>
      <c r="BQ74" s="21">
        <f>EXP(-LN(2)/25)*BQ73+(1-EXP(-LN(2)/25))/(LN(2)/25)*Calculateur!BL74*Calculateur!BN74*VLOOKUP('Données projet'!$B$11,Paramètres!$A$1:$I$89,3,0)*0.475*44/12</f>
        <v>86.542352701951046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219.28699291620114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66.824721729365763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6.3815579999999956</v>
      </c>
      <c r="BY74" s="12">
        <f>IF('Données projet'!$A$114&gt;35,BY73+BX74-CG73,IF(A74&lt;'Données projet'!$A$114,$BV$205^A74,IF(A74='Données projet'!$A$114,'Données projet'!$B$114,BY73+BX74-CG73)))</f>
        <v>274.08250800000013</v>
      </c>
      <c r="BZ74" s="13">
        <f>BY74*VLOOKUP('Données projet'!$B$12,Paramètres!$A$1:$I$89,3,0)*VLOOKUP('Données projet'!$B$12,Paramètres!$A$1:$I$89,5,0)</f>
        <v>110.45525072400005</v>
      </c>
      <c r="CA74" s="13">
        <f t="shared" si="93"/>
        <v>29.438219397900699</v>
      </c>
      <c r="CB74" s="20">
        <f t="shared" si="64"/>
        <v>243.64779379564379</v>
      </c>
      <c r="CC74" s="59">
        <f t="shared" si="65"/>
        <v>525.33844013665157</v>
      </c>
      <c r="CD74" s="59">
        <f ca="1">AVERAGE(OFFSET($CC$3,0,0,'Données projet'!$E$12+1,1))-AVERAGE(OFFSET($H$3,0,0,'Données projet'!$E$12+1,1))</f>
        <v>177.34129362526608</v>
      </c>
      <c r="CE74" s="59">
        <f t="shared" si="94"/>
        <v>156.93407673501022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21.994540659384175</v>
      </c>
      <c r="CL74" s="21">
        <f>EXP(-LN(2)/25)*CL73+(1-EXP(-LN(2)/25))/(LN(2)/25)*Calculateur!CG74*Calculateur!CI74*VLOOKUP('Données projet'!$B$12,Paramètres!$A$1:$I$89,3,0)*0.475*44/12</f>
        <v>17.594747019657593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39.589287679041767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66.824721729365763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4.5999999999999996</v>
      </c>
      <c r="CT74" s="12">
        <f>IF('Données projet'!$A$140&gt;35,CT73+CS74-DB73,IF(A74&lt;'Données projet'!$A$140,$CQ$205^A74,IF(A74='Données projet'!$A$140,'Données projet'!$B$140,CT73+CS74-DB73)))</f>
        <v>222.60000000000014</v>
      </c>
      <c r="CU74" s="17">
        <f>CT74*VLOOKUP('Données projet'!$B$13,Paramètres!$A$1:$I$89,3,0)*VLOOKUP('Données projet'!$B$13,Paramètres!$A$1:$I$89,5,0)</f>
        <v>145.84752000000009</v>
      </c>
      <c r="CV74" s="13">
        <f t="shared" si="95"/>
        <v>37.633383344887093</v>
      </c>
      <c r="CW74" s="20">
        <f t="shared" si="67"/>
        <v>319.56257332567844</v>
      </c>
      <c r="CX74" s="59">
        <f t="shared" si="68"/>
        <v>601.25321966668616</v>
      </c>
      <c r="CY74" s="59">
        <f ca="1">AVERAGE(OFFSET($CX$3,0,0,'Données projet'!$E$13+1,1))-AVERAGE(OFFSET($H$3,0,0,'Données projet'!$E$13+1,1))</f>
        <v>267.49254683294629</v>
      </c>
      <c r="CZ74" s="59">
        <f t="shared" si="96"/>
        <v>278.02595256967254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12.893468699127816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12.893468699127816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66.824721729365763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8.8662500000000044</v>
      </c>
      <c r="DO74" s="12">
        <f>IF('Données projet'!$A$166&gt;35,DO73+DN74-DW73,IF(A74&lt;'Données projet'!$A$166,$DL$205^A74,IF(A74='Données projet'!$A$166,'Données projet'!$B$166,DO73+DN74-DW73)))</f>
        <v>259.38125000000014</v>
      </c>
      <c r="DP74" s="17">
        <f>DO74*VLOOKUP('Données projet'!$B$14,Paramètres!$A$1:$I$89,3,0)*VLOOKUP('Données projet'!$B$14,Paramètres!$A$1:$I$89,5,0)</f>
        <v>234.68815500000011</v>
      </c>
      <c r="DQ74" s="13">
        <f t="shared" si="97"/>
        <v>57.295176729679312</v>
      </c>
      <c r="DR74" s="20">
        <f t="shared" si="70"/>
        <v>508.53763609585832</v>
      </c>
      <c r="DS74" s="59">
        <f t="shared" si="71"/>
        <v>790.22828243686604</v>
      </c>
      <c r="DT74" s="59">
        <f ca="1">AVERAGE(OFFSET($DS$3,0,0,'Données projet'!$E$14+1,1))-AVERAGE(OFFSET($H$3,0,0,'Données projet'!$E$14+1,1))</f>
        <v>602.02351907077332</v>
      </c>
      <c r="DU74" s="59">
        <f t="shared" si="98"/>
        <v>278.08067690827272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22.315155110329943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22.315155110329943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66.824721729365763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66.824721729365763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66.824721729365763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66.824721729365763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2.2000000000000002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8.0666666666666682</v>
      </c>
      <c r="H75" s="67">
        <f t="shared" si="56"/>
        <v>224.4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66.879805708502531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9.782</v>
      </c>
      <c r="N75" s="13">
        <f>IF('Données projet'!$A$36&gt;35,N74+M75-V74,IF(A75&lt;'Données projet'!$A$36,$K$205^A75,IF(A75='Données projet'!$A$36,'Données projet'!$B$36,N74+M75-V74)))</f>
        <v>441.74400000000009</v>
      </c>
      <c r="O75" s="13">
        <f>N75*VLOOKUP('Données projet'!$B$9,Paramètres!$A$1:$I$89,3,0)*VLOOKUP('Données projet'!$B$9,Paramètres!$A$1:$I$89,5,0)</f>
        <v>264.16291200000006</v>
      </c>
      <c r="P75" s="13">
        <f t="shared" si="87"/>
        <v>63.608920560680907</v>
      </c>
      <c r="Q75" s="20">
        <f t="shared" si="54"/>
        <v>570.86927504318601</v>
      </c>
      <c r="R75" s="59">
        <f t="shared" si="55"/>
        <v>852.76189597436201</v>
      </c>
      <c r="S75" s="59">
        <f ca="1">AVERAGE(OFFSET($R$3,0,0,'Données projet'!$E$9+1,1))-AVERAGE(OFFSET($H$3,0,0,'Données projet'!$E$9+1,1))</f>
        <v>360.09035401555587</v>
      </c>
      <c r="T75" s="59">
        <f t="shared" si="88"/>
        <v>266.54879627869821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49.335899713335543</v>
      </c>
      <c r="AA75" s="21">
        <f>EXP(-LN(2)/25)*AA74+(1-EXP(-LN(2)/25))/(LN(2)/25)*Calculateur!V75*Calculateur!X75*VLOOKUP('Données projet'!$B$9,Paramètres!$A$1:$I$89,3,0)*0.475*44/12</f>
        <v>31.548453664296598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80.884353377632138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66.879805708502531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8.4087499999999977</v>
      </c>
      <c r="AI75" s="13">
        <f>IF('Données projet'!$A$62&gt;35,AI74+AH75-AQ74,IF(A75&lt;'Données projet'!$A$62,$AF$205^A75,IF(A75='Données projet'!$A$62,'Données projet'!$B$62,AI74+AH75-AQ74)))</f>
        <v>216.67375000000015</v>
      </c>
      <c r="AJ75" s="13">
        <f>AI75*VLOOKUP('Données projet'!$B$10,Paramètres!$A$1:$I$89,3,0)*VLOOKUP('Données projet'!$B$10,Paramètres!$A$1:$I$89,5,0)</f>
        <v>182.52596700000015</v>
      </c>
      <c r="AK75" s="13">
        <f t="shared" si="89"/>
        <v>45.883710678698044</v>
      </c>
      <c r="AL75" s="20">
        <f t="shared" si="58"/>
        <v>397.81352195706603</v>
      </c>
      <c r="AM75" s="59">
        <f t="shared" si="59"/>
        <v>679.70614288824197</v>
      </c>
      <c r="AN75" s="59">
        <f ca="1">AVERAGE(OFFSET($AM$3,0,0,'Données projet'!$E$10+1,1))-AVERAGE(OFFSET($H$3,0,0,'Données projet'!$E$10+1,1))</f>
        <v>377.26246345103175</v>
      </c>
      <c r="AO75" s="59">
        <f t="shared" si="90"/>
        <v>258.25890564000258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17.918819515962166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17.918819515962166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66.879805708502531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2.2737367544323206E-13</v>
      </c>
      <c r="BE75" s="13">
        <f>BD75*VLOOKUP('Données projet'!$B$11,Paramètres!$A$1:$I$89,3,0)*VLOOKUP('Données projet'!$B$11,Paramètres!$A$1:$I$89,5,0)</f>
        <v>1.0049916454590858E-13</v>
      </c>
      <c r="BF75" s="13">
        <f t="shared" si="91"/>
        <v>1.5089081593838289E-12</v>
      </c>
      <c r="BG75" s="20">
        <f t="shared" si="61"/>
        <v>2.8030510891776262E-12</v>
      </c>
      <c r="BH75" s="59">
        <f t="shared" si="62"/>
        <v>281.89262093117873</v>
      </c>
      <c r="BI75" s="59">
        <f ca="1">AVERAGE(OFFSET($BH$3,0,0,'Données projet'!$E$11+1,1))-AVERAGE(OFFSET($H$3,0,0,'Données projet'!$E$11+1,1))</f>
        <v>333.23043896066253</v>
      </c>
      <c r="BJ75" s="59">
        <f t="shared" si="92"/>
        <v>440.63438368668983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130.14159878588444</v>
      </c>
      <c r="BQ75" s="21">
        <f>EXP(-LN(2)/25)*BQ74+(1-EXP(-LN(2)/25))/(LN(2)/25)*Calculateur!BL75*Calculateur!BN75*VLOOKUP('Données projet'!$B$11,Paramètres!$A$1:$I$89,3,0)*0.475*44/12</f>
        <v>84.175847516251665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214.31744630213609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66.879805708502531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6.3815579999999956</v>
      </c>
      <c r="BY75" s="12">
        <f>IF('Données projet'!$A$114&gt;35,BY74+BX75-CG74,IF(A75&lt;'Données projet'!$A$114,$BV$205^A75,IF(A75='Données projet'!$A$114,'Données projet'!$B$114,BY74+BX75-CG74)))</f>
        <v>280.46406600000012</v>
      </c>
      <c r="BZ75" s="13">
        <f>BY75*VLOOKUP('Données projet'!$B$12,Paramètres!$A$1:$I$89,3,0)*VLOOKUP('Données projet'!$B$12,Paramètres!$A$1:$I$89,5,0)</f>
        <v>113.02701859800005</v>
      </c>
      <c r="CA75" s="13">
        <f t="shared" si="93"/>
        <v>30.043043072587853</v>
      </c>
      <c r="CB75" s="20">
        <f t="shared" si="64"/>
        <v>249.18035740960724</v>
      </c>
      <c r="CC75" s="59">
        <f t="shared" si="65"/>
        <v>531.07297834078315</v>
      </c>
      <c r="CD75" s="59">
        <f ca="1">AVERAGE(OFFSET($CC$3,0,0,'Données projet'!$E$12+1,1))-AVERAGE(OFFSET($H$3,0,0,'Données projet'!$E$12+1,1))</f>
        <v>177.34129362526608</v>
      </c>
      <c r="CE75" s="59">
        <f t="shared" si="94"/>
        <v>156.93407673501022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21.563241132398797</v>
      </c>
      <c r="CL75" s="21">
        <f>EXP(-LN(2)/25)*CL74+(1-EXP(-LN(2)/25))/(LN(2)/25)*Calculateur!CG75*Calculateur!CI75*VLOOKUP('Données projet'!$B$12,Paramètres!$A$1:$I$89,3,0)*0.475*44/12</f>
        <v>17.113617737137524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38.676858869536318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66.879805708502531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4.5999999999999996</v>
      </c>
      <c r="CT75" s="12">
        <f>IF('Données projet'!$A$140&gt;35,CT74+CS75-DB74,IF(A75&lt;'Données projet'!$A$140,$CQ$205^A75,IF(A75='Données projet'!$A$140,'Données projet'!$B$140,CT74+CS75-DB74)))</f>
        <v>227.20000000000013</v>
      </c>
      <c r="CU75" s="17">
        <f>CT75*VLOOKUP('Données projet'!$B$13,Paramètres!$A$1:$I$89,3,0)*VLOOKUP('Données projet'!$B$13,Paramètres!$A$1:$I$89,5,0)</f>
        <v>148.86144000000007</v>
      </c>
      <c r="CV75" s="13">
        <f t="shared" si="95"/>
        <v>38.319729148991954</v>
      </c>
      <c r="CW75" s="20">
        <f t="shared" si="67"/>
        <v>326.00720293449439</v>
      </c>
      <c r="CX75" s="59">
        <f t="shared" si="68"/>
        <v>607.89982386567033</v>
      </c>
      <c r="CY75" s="59">
        <f ca="1">AVERAGE(OFFSET($CX$3,0,0,'Données projet'!$E$13+1,1))-AVERAGE(OFFSET($H$3,0,0,'Données projet'!$E$13+1,1))</f>
        <v>267.49254683294629</v>
      </c>
      <c r="CZ75" s="59">
        <f t="shared" si="96"/>
        <v>278.02595256967254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12.640635642177296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12.640635642177296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66.879805708502531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8.8662500000000044</v>
      </c>
      <c r="DO75" s="12">
        <f>IF('Données projet'!$A$166&gt;35,DO74+DN75-DW74,IF(A75&lt;'Données projet'!$A$166,$DL$205^A75,IF(A75='Données projet'!$A$166,'Données projet'!$B$166,DO74+DN75-DW74)))</f>
        <v>268.24750000000012</v>
      </c>
      <c r="DP75" s="17">
        <f>DO75*VLOOKUP('Données projet'!$B$14,Paramètres!$A$1:$I$89,3,0)*VLOOKUP('Données projet'!$B$14,Paramètres!$A$1:$I$89,5,0)</f>
        <v>242.71033800000009</v>
      </c>
      <c r="DQ75" s="13">
        <f t="shared" si="97"/>
        <v>59.022291232778812</v>
      </c>
      <c r="DR75" s="20">
        <f t="shared" si="70"/>
        <v>525.51766258042323</v>
      </c>
      <c r="DS75" s="59">
        <f t="shared" si="71"/>
        <v>807.41028351159912</v>
      </c>
      <c r="DT75" s="59">
        <f ca="1">AVERAGE(OFFSET($DS$3,0,0,'Données projet'!$E$14+1,1))-AVERAGE(OFFSET($H$3,0,0,'Données projet'!$E$14+1,1))</f>
        <v>602.02351907077332</v>
      </c>
      <c r="DU75" s="59">
        <f t="shared" si="98"/>
        <v>278.08067690827272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21.877568529517024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21.877568529517024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66.879805708502531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66.879805708502531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66.879805708502531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66.879805708502531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2.2000000000000002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8.0666666666666682</v>
      </c>
      <c r="H76" s="67">
        <f t="shared" si="56"/>
        <v>224.4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66.933934103750616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9.782</v>
      </c>
      <c r="N76" s="13">
        <f>IF('Données projet'!$A$36&gt;35,N75+M76-V75,IF(A76&lt;'Données projet'!$A$36,$K$205^A76,IF(A76='Données projet'!$A$36,'Données projet'!$B$36,N75+M76-V75)))</f>
        <v>451.52600000000007</v>
      </c>
      <c r="O76" s="13">
        <f>N76*VLOOKUP('Données projet'!$B$9,Paramètres!$A$1:$I$89,3,0)*VLOOKUP('Données projet'!$B$9,Paramètres!$A$1:$I$89,5,0)</f>
        <v>270.01254800000004</v>
      </c>
      <c r="P76" s="13">
        <f t="shared" si="87"/>
        <v>64.851932282926271</v>
      </c>
      <c r="Q76" s="20">
        <f t="shared" si="54"/>
        <v>583.22230315943</v>
      </c>
      <c r="R76" s="59">
        <f t="shared" si="55"/>
        <v>865.31339487318223</v>
      </c>
      <c r="S76" s="59">
        <f ca="1">AVERAGE(OFFSET($R$3,0,0,'Données projet'!$E$9+1,1))-AVERAGE(OFFSET($H$3,0,0,'Données projet'!$E$9+1,1))</f>
        <v>360.09035401555587</v>
      </c>
      <c r="T76" s="59">
        <f t="shared" si="88"/>
        <v>266.54879627869821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48.368452811884524</v>
      </c>
      <c r="AA76" s="21">
        <f>EXP(-LN(2)/25)*AA75+(1-EXP(-LN(2)/25))/(LN(2)/25)*Calculateur!V76*Calculateur!X76*VLOOKUP('Données projet'!$B$9,Paramètres!$A$1:$I$89,3,0)*0.475*44/12</f>
        <v>30.685759539785334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79.054212351669861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66.933934103750616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8.4087499999999977</v>
      </c>
      <c r="AI76" s="13">
        <f>IF('Données projet'!$A$62&gt;35,AI75+AH76-AQ75,IF(A76&lt;'Données projet'!$A$62,$AF$205^A76,IF(A76='Données projet'!$A$62,'Données projet'!$B$62,AI75+AH76-AQ75)))</f>
        <v>225.08250000000015</v>
      </c>
      <c r="AJ76" s="13">
        <f>AI76*VLOOKUP('Données projet'!$B$10,Paramètres!$A$1:$I$89,3,0)*VLOOKUP('Données projet'!$B$10,Paramètres!$A$1:$I$89,5,0)</f>
        <v>189.60949800000014</v>
      </c>
      <c r="AK76" s="13">
        <f t="shared" si="89"/>
        <v>47.453608068490468</v>
      </c>
      <c r="AL76" s="20">
        <f t="shared" si="58"/>
        <v>412.88490973595452</v>
      </c>
      <c r="AM76" s="59">
        <f t="shared" si="59"/>
        <v>694.97600144970681</v>
      </c>
      <c r="AN76" s="59">
        <f ca="1">AVERAGE(OFFSET($AM$3,0,0,'Données projet'!$E$10+1,1))-AVERAGE(OFFSET($H$3,0,0,'Données projet'!$E$10+1,1))</f>
        <v>377.26246345103175</v>
      </c>
      <c r="AO76" s="59">
        <f t="shared" si="90"/>
        <v>258.25890564000258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17.567442394654865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17.567442394654865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66.933934103750616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2.2737367544323206E-13</v>
      </c>
      <c r="BE76" s="13">
        <f>BD76*VLOOKUP('Données projet'!$B$11,Paramètres!$A$1:$I$89,3,0)*VLOOKUP('Données projet'!$B$11,Paramètres!$A$1:$I$89,5,0)</f>
        <v>1.0049916454590858E-13</v>
      </c>
      <c r="BF76" s="13">
        <f t="shared" si="91"/>
        <v>1.5089081593838289E-12</v>
      </c>
      <c r="BG76" s="20">
        <f t="shared" si="61"/>
        <v>2.8030510891776262E-12</v>
      </c>
      <c r="BH76" s="59">
        <f t="shared" si="62"/>
        <v>282.09109171375508</v>
      </c>
      <c r="BI76" s="59">
        <f ca="1">AVERAGE(OFFSET($BH$3,0,0,'Données projet'!$E$11+1,1))-AVERAGE(OFFSET($H$3,0,0,'Données projet'!$E$11+1,1))</f>
        <v>333.23043896066253</v>
      </c>
      <c r="BJ76" s="59">
        <f t="shared" si="92"/>
        <v>440.63438368668983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127.58960141223052</v>
      </c>
      <c r="BQ76" s="21">
        <f>EXP(-LN(2)/25)*BQ75+(1-EXP(-LN(2)/25))/(LN(2)/25)*Calculateur!BL76*Calculateur!BN76*VLOOKUP('Données projet'!$B$11,Paramètres!$A$1:$I$89,3,0)*0.475*44/12</f>
        <v>81.874054539304325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209.46365595153486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66.933934103750616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6.3815579999999956</v>
      </c>
      <c r="BY76" s="12">
        <f>IF('Données projet'!$A$114&gt;35,BY75+BX76-CG75,IF(A76&lt;'Données projet'!$A$114,$BV$205^A76,IF(A76='Données projet'!$A$114,'Données projet'!$B$114,BY75+BX76-CG75)))</f>
        <v>286.8456240000001</v>
      </c>
      <c r="BZ76" s="13">
        <f>BY76*VLOOKUP('Données projet'!$B$12,Paramètres!$A$1:$I$89,3,0)*VLOOKUP('Données projet'!$B$12,Paramètres!$A$1:$I$89,5,0)</f>
        <v>115.59878647200004</v>
      </c>
      <c r="CA76" s="13">
        <f t="shared" si="93"/>
        <v>30.646266836083775</v>
      </c>
      <c r="CB76" s="20">
        <f t="shared" si="64"/>
        <v>254.7101345115793</v>
      </c>
      <c r="CC76" s="59">
        <f t="shared" si="65"/>
        <v>536.80122622533156</v>
      </c>
      <c r="CD76" s="59">
        <f ca="1">AVERAGE(OFFSET($CC$3,0,0,'Données projet'!$E$12+1,1))-AVERAGE(OFFSET($H$3,0,0,'Données projet'!$E$12+1,1))</f>
        <v>177.34129362526608</v>
      </c>
      <c r="CE76" s="59">
        <f t="shared" si="94"/>
        <v>156.93407673501022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21.140399126070868</v>
      </c>
      <c r="CL76" s="21">
        <f>EXP(-LN(2)/25)*CL75+(1-EXP(-LN(2)/25))/(LN(2)/25)*Calculateur!CG76*Calculateur!CI76*VLOOKUP('Données projet'!$B$12,Paramètres!$A$1:$I$89,3,0)*0.475*44/12</f>
        <v>16.645644960149454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37.786044086220322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66.933934103750616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4.5999999999999996</v>
      </c>
      <c r="CT76" s="12">
        <f>IF('Données projet'!$A$140&gt;35,CT75+CS76-DB75,IF(A76&lt;'Données projet'!$A$140,$CQ$205^A76,IF(A76='Données projet'!$A$140,'Données projet'!$B$140,CT75+CS76-DB75)))</f>
        <v>231.80000000000013</v>
      </c>
      <c r="CU76" s="17">
        <f>CT76*VLOOKUP('Données projet'!$B$13,Paramètres!$A$1:$I$89,3,0)*VLOOKUP('Données projet'!$B$13,Paramètres!$A$1:$I$89,5,0)</f>
        <v>151.87536000000009</v>
      </c>
      <c r="CV76" s="13">
        <f t="shared" si="95"/>
        <v>39.004459236504758</v>
      </c>
      <c r="CW76" s="20">
        <f t="shared" si="67"/>
        <v>332.44901850357923</v>
      </c>
      <c r="CX76" s="59">
        <f t="shared" si="68"/>
        <v>614.54011021733152</v>
      </c>
      <c r="CY76" s="59">
        <f ca="1">AVERAGE(OFFSET($CX$3,0,0,'Données projet'!$E$13+1,1))-AVERAGE(OFFSET($H$3,0,0,'Données projet'!$E$13+1,1))</f>
        <v>267.49254683294629</v>
      </c>
      <c r="CZ76" s="59">
        <f t="shared" si="96"/>
        <v>278.02595256967254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12.392760487260638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12.392760487260638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66.933934103750616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8.8662500000000044</v>
      </c>
      <c r="DO76" s="12">
        <f>IF('Données projet'!$A$166&gt;35,DO75+DN76-DW75,IF(A76&lt;'Données projet'!$A$166,$DL$205^A76,IF(A76='Données projet'!$A$166,'Données projet'!$B$166,DO75+DN76-DW75)))</f>
        <v>277.1137500000001</v>
      </c>
      <c r="DP76" s="17">
        <f>DO76*VLOOKUP('Données projet'!$B$14,Paramètres!$A$1:$I$89,3,0)*VLOOKUP('Données projet'!$B$14,Paramètres!$A$1:$I$89,5,0)</f>
        <v>250.73252100000005</v>
      </c>
      <c r="DQ76" s="13">
        <f t="shared" si="97"/>
        <v>60.74277247950485</v>
      </c>
      <c r="DR76" s="20">
        <f t="shared" si="70"/>
        <v>542.48613614347107</v>
      </c>
      <c r="DS76" s="59">
        <f t="shared" si="71"/>
        <v>824.57722785722331</v>
      </c>
      <c r="DT76" s="59">
        <f ca="1">AVERAGE(OFFSET($DS$3,0,0,'Données projet'!$E$14+1,1))-AVERAGE(OFFSET($H$3,0,0,'Données projet'!$E$14+1,1))</f>
        <v>602.02351907077332</v>
      </c>
      <c r="DU76" s="59">
        <f t="shared" si="98"/>
        <v>278.08067690827272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21.448562754652389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21.448562754652389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66.933934103750616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66.933934103750616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66.933934103750616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66.933934103750616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2.2000000000000002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8.0666666666666682</v>
      </c>
      <c r="H77" s="67">
        <f t="shared" si="56"/>
        <v>224.4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66.987123492354101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9.782</v>
      </c>
      <c r="N77" s="13">
        <f>IF('Données projet'!$A$36&gt;35,N76+M77-V76,IF(A77&lt;'Données projet'!$A$36,$K$205^A77,IF(A77='Données projet'!$A$36,'Données projet'!$B$36,N76+M77-V76)))</f>
        <v>461.30800000000005</v>
      </c>
      <c r="O77" s="13">
        <f>N77*VLOOKUP('Données projet'!$B$9,Paramètres!$A$1:$I$89,3,0)*VLOOKUP('Données projet'!$B$9,Paramètres!$A$1:$I$89,5,0)</f>
        <v>275.86218400000007</v>
      </c>
      <c r="P77" s="13">
        <f t="shared" si="87"/>
        <v>66.091813160377626</v>
      </c>
      <c r="Q77" s="20">
        <f t="shared" si="54"/>
        <v>595.5698783876577</v>
      </c>
      <c r="R77" s="59">
        <f t="shared" si="55"/>
        <v>877.85599785962268</v>
      </c>
      <c r="S77" s="59">
        <f ca="1">AVERAGE(OFFSET($R$3,0,0,'Données projet'!$E$9+1,1))-AVERAGE(OFFSET($H$3,0,0,'Données projet'!$E$9+1,1))</f>
        <v>360.09035401555587</v>
      </c>
      <c r="T77" s="59">
        <f t="shared" si="88"/>
        <v>266.54879627869821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47.419976954086621</v>
      </c>
      <c r="AA77" s="21">
        <f>EXP(-LN(2)/25)*AA76+(1-EXP(-LN(2)/25))/(LN(2)/25)*Calculateur!V77*Calculateur!X77*VLOOKUP('Données projet'!$B$9,Paramètres!$A$1:$I$89,3,0)*0.475*44/12</f>
        <v>29.846655831475942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77.266632785562564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66.987123492354101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8.4087499999999977</v>
      </c>
      <c r="AI77" s="13">
        <f>IF('Données projet'!$A$62&gt;35,AI76+AH77-AQ76,IF(A77&lt;'Données projet'!$A$62,$AF$205^A77,IF(A77='Données projet'!$A$62,'Données projet'!$B$62,AI76+AH77-AQ76)))</f>
        <v>233.49125000000015</v>
      </c>
      <c r="AJ77" s="13">
        <f>AI77*VLOOKUP('Données projet'!$B$10,Paramètres!$A$1:$I$89,3,0)*VLOOKUP('Données projet'!$B$10,Paramètres!$A$1:$I$89,5,0)</f>
        <v>196.69302900000017</v>
      </c>
      <c r="AK77" s="13">
        <f t="shared" si="89"/>
        <v>49.016691856527288</v>
      </c>
      <c r="AL77" s="20">
        <f t="shared" si="58"/>
        <v>427.94443049178523</v>
      </c>
      <c r="AM77" s="59">
        <f t="shared" si="59"/>
        <v>710.23054996375026</v>
      </c>
      <c r="AN77" s="59">
        <f ca="1">AVERAGE(OFFSET($AM$3,0,0,'Données projet'!$E$10+1,1))-AVERAGE(OFFSET($H$3,0,0,'Données projet'!$E$10+1,1))</f>
        <v>377.26246345103175</v>
      </c>
      <c r="AO77" s="59">
        <f t="shared" si="90"/>
        <v>258.25890564000258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17.222955564377518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17.222955564377518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66.987123492354101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2.2737367544323206E-13</v>
      </c>
      <c r="BE77" s="13">
        <f>BD77*VLOOKUP('Données projet'!$B$11,Paramètres!$A$1:$I$89,3,0)*VLOOKUP('Données projet'!$B$11,Paramètres!$A$1:$I$89,5,0)</f>
        <v>1.0049916454590858E-13</v>
      </c>
      <c r="BF77" s="13">
        <f t="shared" si="91"/>
        <v>1.5089081593838289E-12</v>
      </c>
      <c r="BG77" s="20">
        <f t="shared" si="61"/>
        <v>2.8030510891776262E-12</v>
      </c>
      <c r="BH77" s="59">
        <f t="shared" si="62"/>
        <v>282.28611947196782</v>
      </c>
      <c r="BI77" s="59">
        <f ca="1">AVERAGE(OFFSET($BH$3,0,0,'Données projet'!$E$11+1,1))-AVERAGE(OFFSET($H$3,0,0,'Données projet'!$E$11+1,1))</f>
        <v>333.23043896066253</v>
      </c>
      <c r="BJ77" s="59">
        <f t="shared" si="92"/>
        <v>440.63438368668983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125.08764715050926</v>
      </c>
      <c r="BQ77" s="21">
        <f>EXP(-LN(2)/25)*BQ76+(1-EXP(-LN(2)/25))/(LN(2)/25)*Calculateur!BL77*Calculateur!BN77*VLOOKUP('Données projet'!$B$11,Paramètres!$A$1:$I$89,3,0)*0.475*44/12</f>
        <v>79.63520421235765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204.72285136286689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66.987123492354101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6.3815579999999956</v>
      </c>
      <c r="BY77" s="12">
        <f>IF('Données projet'!$A$114&gt;35,BY76+BX77-CG76,IF(A77&lt;'Données projet'!$A$114,$BV$205^A77,IF(A77='Données projet'!$A$114,'Données projet'!$B$114,BY76+BX77-CG76)))</f>
        <v>293.22718200000008</v>
      </c>
      <c r="BZ77" s="13">
        <f>BY77*VLOOKUP('Données projet'!$B$12,Paramètres!$A$1:$I$89,3,0)*VLOOKUP('Données projet'!$B$12,Paramètres!$A$1:$I$89,5,0)</f>
        <v>118.17055434600005</v>
      </c>
      <c r="CA77" s="13">
        <f t="shared" si="93"/>
        <v>31.247930380516262</v>
      </c>
      <c r="CB77" s="20">
        <f t="shared" si="64"/>
        <v>260.2371942320159</v>
      </c>
      <c r="CC77" s="59">
        <f t="shared" si="65"/>
        <v>542.52331370398088</v>
      </c>
      <c r="CD77" s="59">
        <f ca="1">AVERAGE(OFFSET($CC$3,0,0,'Données projet'!$E$12+1,1))-AVERAGE(OFFSET($H$3,0,0,'Données projet'!$E$12+1,1))</f>
        <v>177.34129362526608</v>
      </c>
      <c r="CE77" s="59">
        <f t="shared" si="94"/>
        <v>156.93407673501022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20.725848793578873</v>
      </c>
      <c r="CL77" s="21">
        <f>EXP(-LN(2)/25)*CL76+(1-EXP(-LN(2)/25))/(LN(2)/25)*Calculateur!CG77*Calculateur!CI77*VLOOKUP('Données projet'!$B$12,Paramètres!$A$1:$I$89,3,0)*0.475*44/12</f>
        <v>16.190468923357741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36.916317716936618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66.987123492354101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4.5999999999999996</v>
      </c>
      <c r="CT77" s="12">
        <f>IF('Données projet'!$A$140&gt;35,CT76+CS77-DB76,IF(A77&lt;'Données projet'!$A$140,$CQ$205^A77,IF(A77='Données projet'!$A$140,'Données projet'!$B$140,CT76+CS77-DB76)))</f>
        <v>236.40000000000012</v>
      </c>
      <c r="CU77" s="17">
        <f>CT77*VLOOKUP('Données projet'!$B$13,Paramètres!$A$1:$I$89,3,0)*VLOOKUP('Données projet'!$B$13,Paramètres!$A$1:$I$89,5,0)</f>
        <v>154.8892800000001</v>
      </c>
      <c r="CV77" s="13">
        <f t="shared" si="95"/>
        <v>39.687609366432291</v>
      </c>
      <c r="CW77" s="20">
        <f t="shared" si="67"/>
        <v>338.88808231320309</v>
      </c>
      <c r="CX77" s="59">
        <f t="shared" si="68"/>
        <v>621.17420178516818</v>
      </c>
      <c r="CY77" s="59">
        <f ca="1">AVERAGE(OFFSET($CX$3,0,0,'Données projet'!$E$13+1,1))-AVERAGE(OFFSET($H$3,0,0,'Données projet'!$E$13+1,1))</f>
        <v>267.49254683294629</v>
      </c>
      <c r="CZ77" s="59">
        <f t="shared" si="96"/>
        <v>278.02595256967254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12.14974601294298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12.14974601294298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66.987123492354101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>
        <f>VLOOKUP(A77,'Données projet'!$A$165:$I$185,2,0)</f>
        <v>285.98</v>
      </c>
      <c r="DM77" s="12">
        <f>VLOOKUP(A77,'Données projet'!$A$165:$I$185,9,0)</f>
        <v>8.8662500000000044</v>
      </c>
      <c r="DN77" s="12">
        <f t="array" ref="DN77">INDEX(DM:DM,MIN(IF(ISNUMBER(DM77:DM273),ROW(DM77:DM273),"")))</f>
        <v>8.8662500000000044</v>
      </c>
      <c r="DO77" s="12">
        <f>IF('Données projet'!$A$166&gt;35,DO76+DN77-DW76,IF(A77&lt;'Données projet'!$A$166,$DL$205^A77,IF(A77='Données projet'!$A$166,'Données projet'!$B$166,DO76+DN77-DW76)))</f>
        <v>285.98000000000008</v>
      </c>
      <c r="DP77" s="17">
        <f>DO77*VLOOKUP('Données projet'!$B$14,Paramètres!$A$1:$I$89,3,0)*VLOOKUP('Données projet'!$B$14,Paramètres!$A$1:$I$89,5,0)</f>
        <v>258.75470400000006</v>
      </c>
      <c r="DQ77" s="13">
        <f t="shared" si="97"/>
        <v>62.456857045748947</v>
      </c>
      <c r="DR77" s="20">
        <f t="shared" si="70"/>
        <v>559.4434688213463</v>
      </c>
      <c r="DS77" s="59">
        <f t="shared" si="71"/>
        <v>841.72958829331128</v>
      </c>
      <c r="DT77" s="59">
        <f ca="1">AVERAGE(OFFSET($DS$3,0,0,'Données projet'!$E$14+1,1))-AVERAGE(OFFSET($H$3,0,0,'Données projet'!$E$14+1,1))</f>
        <v>602.02351907077332</v>
      </c>
      <c r="DU77" s="59">
        <f t="shared" si="98"/>
        <v>278.08067690827272</v>
      </c>
      <c r="DV77" s="15">
        <f>IF(ISNA(VLOOKUP(A77,'Données projet'!$A$165:$I$185,3,0)),0,VLOOKUP(A77,'Données projet'!$A$165:$I$185,3,0))</f>
        <v>5</v>
      </c>
      <c r="DW77" s="15">
        <f>IF(ISNA(VLOOKUP(A77,'Données projet'!$A$165:$I$185,4,0)),0,VLOOKUP(A77,'Données projet'!$A$165:$I$185,4,0))</f>
        <v>47.4</v>
      </c>
      <c r="DX77" s="16">
        <f>IF(ISNA(VLOOKUP(A77,'Données projet'!$A$165:$I$185,5,0)),0%,VLOOKUP(A77,'Données projet'!$A$165:$I$185,5,0)*VLOOKUP('Données projet'!$B$14,Paramètres!$A$1:$I$89,7,0))</f>
        <v>0.25800000000000001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33.259977338364926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33.259977338364926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66.987123492354101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66.987123492354101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66.987123492354101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66.987123492354101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2.2000000000000002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8.0666666666666682</v>
      </c>
      <c r="H78" s="67">
        <f t="shared" si="56"/>
        <v>224.4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67.039390163978979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9.782</v>
      </c>
      <c r="N78" s="13">
        <f>IF('Données projet'!$A$36&gt;35,N77+M78-V77,IF(A78&lt;'Données projet'!$A$36,$K$205^A78,IF(A78='Données projet'!$A$36,'Données projet'!$B$36,N77+M78-V77)))</f>
        <v>471.09000000000003</v>
      </c>
      <c r="O78" s="13">
        <f>N78*VLOOKUP('Données projet'!$B$9,Paramètres!$A$1:$I$89,3,0)*VLOOKUP('Données projet'!$B$9,Paramètres!$A$1:$I$89,5,0)</f>
        <v>281.71182000000005</v>
      </c>
      <c r="P78" s="13">
        <f t="shared" si="87"/>
        <v>67.328637229880215</v>
      </c>
      <c r="Q78" s="20">
        <f t="shared" si="54"/>
        <v>607.91212967537479</v>
      </c>
      <c r="R78" s="59">
        <f t="shared" si="55"/>
        <v>890.38989360996436</v>
      </c>
      <c r="S78" s="59">
        <f ca="1">AVERAGE(OFFSET($R$3,0,0,'Données projet'!$E$9+1,1))-AVERAGE(OFFSET($H$3,0,0,'Données projet'!$E$9+1,1))</f>
        <v>360.09035401555587</v>
      </c>
      <c r="T78" s="59">
        <f t="shared" si="88"/>
        <v>266.54879627869821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46.490100129346985</v>
      </c>
      <c r="AA78" s="21">
        <f>EXP(-LN(2)/25)*AA77+(1-EXP(-LN(2)/25))/(LN(2)/25)*Calculateur!V78*Calculateur!X78*VLOOKUP('Données projet'!$B$9,Paramètres!$A$1:$I$89,3,0)*0.475*44/12</f>
        <v>29.03049745819682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75.520597587543804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67.039390163978979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241.9</v>
      </c>
      <c r="AG78" s="12">
        <f>VLOOKUP(A78,'Données projet'!$A$61:$I$81,9,0)</f>
        <v>8.4087499999999977</v>
      </c>
      <c r="AH78" s="12">
        <f t="array" ref="AH78">INDEX(AG:AG,MIN(IF(ISNUMBER(AG78:AG274),ROW(AG78:AG274),"")))</f>
        <v>8.4087499999999977</v>
      </c>
      <c r="AI78" s="13">
        <f>IF('Données projet'!$A$62&gt;35,AI77+AH78-AQ77,IF(A78&lt;'Données projet'!$A$62,$AF$205^A78,IF(A78='Données projet'!$A$62,'Données projet'!$B$62,AI77+AH78-AQ77)))</f>
        <v>241.90000000000015</v>
      </c>
      <c r="AJ78" s="13">
        <f>AI78*VLOOKUP('Données projet'!$B$10,Paramètres!$A$1:$I$89,3,0)*VLOOKUP('Données projet'!$B$10,Paramètres!$A$1:$I$89,5,0)</f>
        <v>203.77656000000016</v>
      </c>
      <c r="AK78" s="13">
        <f t="shared" si="89"/>
        <v>50.573235530903794</v>
      </c>
      <c r="AL78" s="20">
        <f t="shared" si="58"/>
        <v>442.99256054965764</v>
      </c>
      <c r="AM78" s="59">
        <f t="shared" si="59"/>
        <v>725.47032448424716</v>
      </c>
      <c r="AN78" s="59">
        <f ca="1">AVERAGE(OFFSET($AM$3,0,0,'Données projet'!$E$10+1,1))-AVERAGE(OFFSET($H$3,0,0,'Données projet'!$E$10+1,1))</f>
        <v>377.26246345103175</v>
      </c>
      <c r="AO78" s="59">
        <f t="shared" si="90"/>
        <v>258.25890564000258</v>
      </c>
      <c r="AP78" s="15">
        <f>IF(ISNA(VLOOKUP(A78,'Données projet'!$A$61:$I$81,3,0)),0,VLOOKUP(A78,'Données projet'!$A$61:$I$81,3,0))</f>
        <v>6</v>
      </c>
      <c r="AQ78" s="15">
        <f>IF(ISNA(VLOOKUP(A78,'Données projet'!$A$61:$I$81,4,0)),0,VLOOKUP(A78,'Données projet'!$A$61:$I$81,4,0))</f>
        <v>38.909999999999997</v>
      </c>
      <c r="AR78" s="16">
        <f>IF(ISNA(VLOOKUP(A78,'Données projet'!$A$61:$I$81,5,0)),0%,VLOOKUP(A78,'Données projet'!$A$61:$I$81,5,0)*VLOOKUP('Données projet'!$B$10,Paramètres!$A$1:$I$89,7,0))</f>
        <v>0.25800000000000001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26.233820194957786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26.233820194957786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67.039390163978979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2.2737367544323206E-13</v>
      </c>
      <c r="BE78" s="13">
        <f>BD78*VLOOKUP('Données projet'!$B$11,Paramètres!$A$1:$I$89,3,0)*VLOOKUP('Données projet'!$B$11,Paramètres!$A$1:$I$89,5,0)</f>
        <v>1.0049916454590858E-13</v>
      </c>
      <c r="BF78" s="13">
        <f t="shared" si="91"/>
        <v>1.5089081593838289E-12</v>
      </c>
      <c r="BG78" s="20">
        <f t="shared" si="61"/>
        <v>2.8030510891776262E-12</v>
      </c>
      <c r="BH78" s="59">
        <f t="shared" si="62"/>
        <v>282.47776393459236</v>
      </c>
      <c r="BI78" s="59">
        <f ca="1">AVERAGE(OFFSET($BH$3,0,0,'Données projet'!$E$11+1,1))-AVERAGE(OFFSET($H$3,0,0,'Données projet'!$E$11+1,1))</f>
        <v>333.23043896066253</v>
      </c>
      <c r="BJ78" s="59">
        <f t="shared" si="92"/>
        <v>440.63438368668983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122.63475468581893</v>
      </c>
      <c r="BQ78" s="21">
        <f>EXP(-LN(2)/25)*BQ77+(1-EXP(-LN(2)/25))/(LN(2)/25)*Calculateur!BL78*Calculateur!BN78*VLOOKUP('Données projet'!$B$11,Paramètres!$A$1:$I$89,3,0)*0.475*44/12</f>
        <v>77.457575365337348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200.0923300511563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67.039390163978979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299.60874000000001</v>
      </c>
      <c r="BW78" s="12">
        <f>VLOOKUP(A78,'Données projet'!$A$113:$I$133,9,0)</f>
        <v>6.3815579999999956</v>
      </c>
      <c r="BX78" s="12">
        <f t="array" ref="BX78">INDEX(BW:BW,MIN(IF(ISNUMBER(BW78:BW274),ROW(BW78:BW274),"")))</f>
        <v>6.3815579999999956</v>
      </c>
      <c r="BY78" s="12">
        <f>IF('Données projet'!$A$114&gt;35,BY77+BX78-CG77,IF(A78&lt;'Données projet'!$A$114,$BV$205^A78,IF(A78='Données projet'!$A$114,'Données projet'!$B$114,BY77+BX78-CG77)))</f>
        <v>299.60874000000007</v>
      </c>
      <c r="BZ78" s="13">
        <f>BY78*VLOOKUP('Données projet'!$B$12,Paramètres!$A$1:$I$89,3,0)*VLOOKUP('Données projet'!$B$12,Paramètres!$A$1:$I$89,5,0)</f>
        <v>120.74232222000003</v>
      </c>
      <c r="CA78" s="13">
        <f t="shared" si="93"/>
        <v>31.848071571689712</v>
      </c>
      <c r="CB78" s="20">
        <f t="shared" si="64"/>
        <v>265.76160252052625</v>
      </c>
      <c r="CC78" s="59">
        <f t="shared" si="65"/>
        <v>548.23936645511583</v>
      </c>
      <c r="CD78" s="59">
        <f ca="1">AVERAGE(OFFSET($CC$3,0,0,'Données projet'!$E$12+1,1))-AVERAGE(OFFSET($H$3,0,0,'Données projet'!$E$12+1,1))</f>
        <v>177.34129362526608</v>
      </c>
      <c r="CE78" s="59">
        <f t="shared" si="94"/>
        <v>156.93407673501022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17.12565</v>
      </c>
      <c r="CH78" s="16">
        <f>IF(ISNA(VLOOKUP(A78,'Données projet'!$A$113:$I$133,5,0)),0%,VLOOKUP(A78,'Données projet'!$A$113:$I$133,5,0)*VLOOKUP('Données projet'!$B$12,Paramètres!$A$1:$I$89,7,0))</f>
        <v>0.38500000000000001</v>
      </c>
      <c r="CI78" s="16">
        <f>IF(ISNA(VLOOKUP(A78,'Données projet'!$A$113:$I$133,6,0)),0%,VLOOKUP(A78,'Données projet'!$A$113:$I$133,6,0)*VLOOKUP('Données projet'!$B$12,Paramètres!$A$1:$I$89,7,0))</f>
        <v>0.16500000000000001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23.8442820512103</v>
      </c>
      <c r="CL78" s="21">
        <f>EXP(-LN(2)/25)*CL77+(1-EXP(-LN(2)/25))/(LN(2)/25)*Calculateur!CG78*Calculateur!CI78*VLOOKUP('Données projet'!$B$12,Paramètres!$A$1:$I$89,3,0)*0.475*44/12</f>
        <v>17.252443620229982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41.096725671440282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67.039390163978979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241</v>
      </c>
      <c r="CR78" s="12">
        <f>VLOOKUP(A78,'Données projet'!$A$139:$I$159,9,0)</f>
        <v>4.5999999999999996</v>
      </c>
      <c r="CS78" s="12">
        <f t="array" ref="CS78">INDEX(CR:CR,MIN(IF(ISNUMBER(CR78:CR274),ROW(CR78:CR274),"")))</f>
        <v>4.5999999999999996</v>
      </c>
      <c r="CT78" s="12">
        <f>IF('Données projet'!$A$140&gt;35,CT77+CS78-DB77,IF(A78&lt;'Données projet'!$A$140,$CQ$205^A78,IF(A78='Données projet'!$A$140,'Données projet'!$B$140,CT77+CS78-DB77)))</f>
        <v>241.00000000000011</v>
      </c>
      <c r="CU78" s="17">
        <f>CT78*VLOOKUP('Données projet'!$B$13,Paramètres!$A$1:$I$89,3,0)*VLOOKUP('Données projet'!$B$13,Paramètres!$A$1:$I$89,5,0)</f>
        <v>157.90320000000008</v>
      </c>
      <c r="CV78" s="13">
        <f t="shared" si="95"/>
        <v>40.369213826539486</v>
      </c>
      <c r="CW78" s="20">
        <f t="shared" si="67"/>
        <v>345.32445408122311</v>
      </c>
      <c r="CX78" s="59">
        <f t="shared" si="68"/>
        <v>627.80221801581274</v>
      </c>
      <c r="CY78" s="59">
        <f ca="1">AVERAGE(OFFSET($CX$3,0,0,'Données projet'!$E$13+1,1))-AVERAGE(OFFSET($H$3,0,0,'Données projet'!$E$13+1,1))</f>
        <v>267.49254683294629</v>
      </c>
      <c r="CZ78" s="59">
        <f t="shared" si="96"/>
        <v>278.02595256967254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18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15.275165575001928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15.275165575001928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67.039390163978979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8.6770000000000014</v>
      </c>
      <c r="DO78" s="12">
        <f>IF('Données projet'!$A$166&gt;35,DO77+DN78-DW77,IF(A78&lt;'Données projet'!$A$166,$DL$205^A78,IF(A78='Données projet'!$A$166,'Données projet'!$B$166,DO77+DN78-DW77)))</f>
        <v>247.25700000000009</v>
      </c>
      <c r="DP78" s="17">
        <f>DO78*VLOOKUP('Données projet'!$B$14,Paramètres!$A$1:$I$89,3,0)*VLOOKUP('Données projet'!$B$14,Paramètres!$A$1:$I$89,5,0)</f>
        <v>223.71813360000007</v>
      </c>
      <c r="DQ78" s="13">
        <f t="shared" si="97"/>
        <v>54.92221376571495</v>
      </c>
      <c r="DR78" s="20">
        <f t="shared" si="70"/>
        <v>485.29860499528695</v>
      </c>
      <c r="DS78" s="59">
        <f t="shared" si="71"/>
        <v>767.77636892987653</v>
      </c>
      <c r="DT78" s="59">
        <f ca="1">AVERAGE(OFFSET($DS$3,0,0,'Données projet'!$E$14+1,1))-AVERAGE(OFFSET($H$3,0,0,'Données projet'!$E$14+1,1))</f>
        <v>602.02351907077332</v>
      </c>
      <c r="DU78" s="59">
        <f t="shared" si="98"/>
        <v>278.08067690827272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32.607769469342635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32.607769469342635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67.039390163978979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67.039390163978979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67.039390163978979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67.039390163978979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2.2000000000000002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8.0666666666666682</v>
      </c>
      <c r="H79" s="67">
        <f t="shared" si="56"/>
        <v>224.4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67.090750125701931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9.782</v>
      </c>
      <c r="N79" s="13">
        <f>IF('Données projet'!$A$36&gt;35,N78+M79-V78,IF(A79&lt;'Données projet'!$A$36,$K$205^A79,IF(A79='Données projet'!$A$36,'Données projet'!$B$36,N78+M79-V78)))</f>
        <v>480.87200000000001</v>
      </c>
      <c r="O79" s="13">
        <f>N79*VLOOKUP('Données projet'!$B$9,Paramètres!$A$1:$I$89,3,0)*VLOOKUP('Données projet'!$B$9,Paramètres!$A$1:$I$89,5,0)</f>
        <v>287.56145600000002</v>
      </c>
      <c r="P79" s="13">
        <f t="shared" si="87"/>
        <v>68.562475277867222</v>
      </c>
      <c r="Q79" s="20">
        <f t="shared" si="54"/>
        <v>620.24918030895208</v>
      </c>
      <c r="R79" s="59">
        <f t="shared" si="55"/>
        <v>902.9152641031925</v>
      </c>
      <c r="S79" s="59">
        <f ca="1">AVERAGE(OFFSET($R$3,0,0,'Données projet'!$E$9+1,1))-AVERAGE(OFFSET($H$3,0,0,'Données projet'!$E$9+1,1))</f>
        <v>360.09035401555587</v>
      </c>
      <c r="T79" s="59">
        <f t="shared" si="88"/>
        <v>266.54879627869821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45.57845762197163</v>
      </c>
      <c r="AA79" s="21">
        <f>EXP(-LN(2)/25)*AA78+(1-EXP(-LN(2)/25))/(LN(2)/25)*Calculateur!V79*Calculateur!X79*VLOOKUP('Données projet'!$B$9,Paramètres!$A$1:$I$89,3,0)*0.475*44/12</f>
        <v>28.236656978554915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73.815114600526542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67.090750125701931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8.2100000000000009</v>
      </c>
      <c r="AI79" s="13">
        <f>IF('Données projet'!$A$62&gt;35,AI78+AH79-AQ78,IF(A79&lt;'Données projet'!$A$62,$AF$205^A79,IF(A79='Données projet'!$A$62,'Données projet'!$B$62,AI78+AH79-AQ78)))</f>
        <v>211.20000000000016</v>
      </c>
      <c r="AJ79" s="13">
        <f>AI79*VLOOKUP('Données projet'!$B$10,Paramètres!$A$1:$I$89,3,0)*VLOOKUP('Données projet'!$B$10,Paramètres!$A$1:$I$89,5,0)</f>
        <v>177.91488000000015</v>
      </c>
      <c r="AK79" s="13">
        <f t="shared" si="89"/>
        <v>44.857971269354906</v>
      </c>
      <c r="AL79" s="20">
        <f t="shared" si="58"/>
        <v>387.99604929412675</v>
      </c>
      <c r="AM79" s="59">
        <f t="shared" si="59"/>
        <v>670.66213308836723</v>
      </c>
      <c r="AN79" s="59">
        <f ca="1">AVERAGE(OFFSET($AM$3,0,0,'Données projet'!$E$10+1,1))-AVERAGE(OFFSET($H$3,0,0,'Données projet'!$E$10+1,1))</f>
        <v>377.26246345103175</v>
      </c>
      <c r="AO79" s="59">
        <f t="shared" si="90"/>
        <v>258.25890564000258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25.719390981985011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25.719390981985011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67.090750125701931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2.2737367544323206E-13</v>
      </c>
      <c r="BE79" s="13">
        <f>BD79*VLOOKUP('Données projet'!$B$11,Paramètres!$A$1:$I$89,3,0)*VLOOKUP('Données projet'!$B$11,Paramètres!$A$1:$I$89,5,0)</f>
        <v>1.0049916454590858E-13</v>
      </c>
      <c r="BF79" s="13">
        <f t="shared" si="91"/>
        <v>1.5089081593838289E-12</v>
      </c>
      <c r="BG79" s="20">
        <f t="shared" si="61"/>
        <v>2.8030510891776262E-12</v>
      </c>
      <c r="BH79" s="59">
        <f t="shared" si="62"/>
        <v>282.66608379424321</v>
      </c>
      <c r="BI79" s="59">
        <f ca="1">AVERAGE(OFFSET($BH$3,0,0,'Données projet'!$E$11+1,1))-AVERAGE(OFFSET($H$3,0,0,'Données projet'!$E$11+1,1))</f>
        <v>333.23043896066253</v>
      </c>
      <c r="BJ79" s="59">
        <f t="shared" si="92"/>
        <v>440.63438368668983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120.22996194624452</v>
      </c>
      <c r="BQ79" s="21">
        <f>EXP(-LN(2)/25)*BQ78+(1-EXP(-LN(2)/25))/(LN(2)/25)*Calculateur!BL79*Calculateur!BN79*VLOOKUP('Données projet'!$B$11,Paramètres!$A$1:$I$89,3,0)*0.475*44/12</f>
        <v>75.339493893655344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195.56945583989986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67.090750125701931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5.8407480000000076</v>
      </c>
      <c r="BY79" s="12">
        <f>IF('Données projet'!$A$114&gt;35,BY78+BX79-CG78,IF(A79&lt;'Données projet'!$A$114,$BV$205^A79,IF(A79='Données projet'!$A$114,'Données projet'!$B$114,BY78+BX79-CG78)))</f>
        <v>288.32383800000008</v>
      </c>
      <c r="BZ79" s="13">
        <f>BY79*VLOOKUP('Données projet'!$B$12,Paramètres!$A$1:$I$89,3,0)*VLOOKUP('Données projet'!$B$12,Paramètres!$A$1:$I$89,5,0)</f>
        <v>116.19450671400004</v>
      </c>
      <c r="CA79" s="13">
        <f t="shared" si="93"/>
        <v>30.785772661221667</v>
      </c>
      <c r="CB79" s="20">
        <f t="shared" si="64"/>
        <v>255.99065324517778</v>
      </c>
      <c r="CC79" s="59">
        <f t="shared" si="65"/>
        <v>538.6567370394182</v>
      </c>
      <c r="CD79" s="59">
        <f ca="1">AVERAGE(OFFSET($CC$3,0,0,'Données projet'!$E$12+1,1))-AVERAGE(OFFSET($H$3,0,0,'Données projet'!$E$12+1,1))</f>
        <v>177.34129362526608</v>
      </c>
      <c r="CE79" s="59">
        <f t="shared" si="94"/>
        <v>156.93407673501022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23.376710223762057</v>
      </c>
      <c r="CL79" s="21">
        <f>EXP(-LN(2)/25)*CL78+(1-EXP(-LN(2)/25))/(LN(2)/25)*Calculateur!CG79*Calculateur!CI79*VLOOKUP('Données projet'!$B$12,Paramètres!$A$1:$I$89,3,0)*0.475*44/12</f>
        <v>16.780674642168215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40.157384865930268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67.090750125701931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4.2</v>
      </c>
      <c r="CT79" s="12">
        <f>IF('Données projet'!$A$140&gt;35,CT78+CS79-DB78,IF(A79&lt;'Données projet'!$A$140,$CQ$205^A79,IF(A79='Données projet'!$A$140,'Données projet'!$B$140,CT78+CS79-DB78)))</f>
        <v>227.2000000000001</v>
      </c>
      <c r="CU79" s="17">
        <f>CT79*VLOOKUP('Données projet'!$B$13,Paramètres!$A$1:$I$89,3,0)*VLOOKUP('Données projet'!$B$13,Paramètres!$A$1:$I$89,5,0)</f>
        <v>148.86144000000007</v>
      </c>
      <c r="CV79" s="13">
        <f t="shared" si="95"/>
        <v>38.319729148991954</v>
      </c>
      <c r="CW79" s="20">
        <f t="shared" si="67"/>
        <v>326.00720293449439</v>
      </c>
      <c r="CX79" s="59">
        <f t="shared" si="68"/>
        <v>608.67328672873487</v>
      </c>
      <c r="CY79" s="59">
        <f ca="1">AVERAGE(OFFSET($CX$3,0,0,'Données projet'!$E$13+1,1))-AVERAGE(OFFSET($H$3,0,0,'Données projet'!$E$13+1,1))</f>
        <v>267.49254683294629</v>
      </c>
      <c r="CZ79" s="59">
        <f t="shared" si="96"/>
        <v>278.02595256967254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14.975628895007171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14.975628895007171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67.090750125701931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8.6770000000000014</v>
      </c>
      <c r="DO79" s="12">
        <f>IF('Données projet'!$A$166&gt;35,DO78+DN79-DW78,IF(A79&lt;'Données projet'!$A$166,$DL$205^A79,IF(A79='Données projet'!$A$166,'Données projet'!$B$166,DO78+DN79-DW78)))</f>
        <v>255.93400000000008</v>
      </c>
      <c r="DP79" s="17">
        <f>DO79*VLOOKUP('Données projet'!$B$14,Paramètres!$A$1:$I$89,3,0)*VLOOKUP('Données projet'!$B$14,Paramètres!$A$1:$I$89,5,0)</f>
        <v>231.56908320000005</v>
      </c>
      <c r="DQ79" s="13">
        <f t="shared" si="97"/>
        <v>56.621819638037671</v>
      </c>
      <c r="DR79" s="20">
        <f t="shared" si="70"/>
        <v>501.93248910958238</v>
      </c>
      <c r="DS79" s="59">
        <f t="shared" si="71"/>
        <v>784.59857290382274</v>
      </c>
      <c r="DT79" s="59">
        <f ca="1">AVERAGE(OFFSET($DS$3,0,0,'Données projet'!$E$14+1,1))-AVERAGE(OFFSET($H$3,0,0,'Données projet'!$E$14+1,1))</f>
        <v>602.02351907077332</v>
      </c>
      <c r="DU79" s="59">
        <f t="shared" si="98"/>
        <v>278.08067690827272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31.968350998824349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31.968350998824349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67.090750125701931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67.090750125701931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67.090750125701931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67.090750125701931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2.2000000000000002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8.0666666666666682</v>
      </c>
      <c r="H80" s="67">
        <f t="shared" si="56"/>
        <v>224.4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67.141219106912672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9.782</v>
      </c>
      <c r="N80" s="13">
        <f>IF('Données projet'!$A$36&gt;35,N79+M80-V79,IF(A80&lt;'Données projet'!$A$36,$K$205^A80,IF(A80='Données projet'!$A$36,'Données projet'!$B$36,N79+M80-V79)))</f>
        <v>490.654</v>
      </c>
      <c r="O80" s="13">
        <f>N80*VLOOKUP('Données projet'!$B$9,Paramètres!$A$1:$I$89,3,0)*VLOOKUP('Données projet'!$B$9,Paramètres!$A$1:$I$89,5,0)</f>
        <v>293.411092</v>
      </c>
      <c r="P80" s="13">
        <f t="shared" si="87"/>
        <v>69.79339504623151</v>
      </c>
      <c r="Q80" s="20">
        <f t="shared" si="54"/>
        <v>632.58114827218651</v>
      </c>
      <c r="R80" s="59">
        <f t="shared" si="55"/>
        <v>915.43228499753297</v>
      </c>
      <c r="S80" s="59">
        <f ca="1">AVERAGE(OFFSET($R$3,0,0,'Données projet'!$E$9+1,1))-AVERAGE(OFFSET($H$3,0,0,'Données projet'!$E$9+1,1))</f>
        <v>360.09035401555587</v>
      </c>
      <c r="T80" s="59">
        <f t="shared" si="88"/>
        <v>266.54879627869821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44.684691868118882</v>
      </c>
      <c r="AA80" s="21">
        <f>EXP(-LN(2)/25)*AA79+(1-EXP(-LN(2)/25))/(LN(2)/25)*Calculateur!V80*Calculateur!X80*VLOOKUP('Données projet'!$B$9,Paramètres!$A$1:$I$89,3,0)*0.475*44/12</f>
        <v>27.464524108575077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72.149215976693966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67.141219106912672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8.2100000000000009</v>
      </c>
      <c r="AI80" s="13">
        <f>IF('Données projet'!$A$62&gt;35,AI79+AH80-AQ79,IF(A80&lt;'Données projet'!$A$62,$AF$205^A80,IF(A80='Données projet'!$A$62,'Données projet'!$B$62,AI79+AH80-AQ79)))</f>
        <v>219.41000000000017</v>
      </c>
      <c r="AJ80" s="13">
        <f>AI80*VLOOKUP('Données projet'!$B$10,Paramètres!$A$1:$I$89,3,0)*VLOOKUP('Données projet'!$B$10,Paramètres!$A$1:$I$89,5,0)</f>
        <v>184.83098400000014</v>
      </c>
      <c r="AK80" s="13">
        <f t="shared" si="89"/>
        <v>46.395328769790581</v>
      </c>
      <c r="AL80" s="20">
        <f t="shared" si="58"/>
        <v>402.71916140738546</v>
      </c>
      <c r="AM80" s="59">
        <f t="shared" si="59"/>
        <v>685.57029813273198</v>
      </c>
      <c r="AN80" s="59">
        <f ca="1">AVERAGE(OFFSET($AM$3,0,0,'Données projet'!$E$10+1,1))-AVERAGE(OFFSET($H$3,0,0,'Données projet'!$E$10+1,1))</f>
        <v>377.26246345103175</v>
      </c>
      <c r="AO80" s="59">
        <f t="shared" si="90"/>
        <v>258.25890564000258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25.215049412107795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25.215049412107795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67.141219106912672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2.2737367544323206E-13</v>
      </c>
      <c r="BE80" s="13">
        <f>BD80*VLOOKUP('Données projet'!$B$11,Paramètres!$A$1:$I$89,3,0)*VLOOKUP('Données projet'!$B$11,Paramètres!$A$1:$I$89,5,0)</f>
        <v>1.0049916454590858E-13</v>
      </c>
      <c r="BF80" s="13">
        <f t="shared" si="91"/>
        <v>1.5089081593838289E-12</v>
      </c>
      <c r="BG80" s="20">
        <f t="shared" si="61"/>
        <v>2.8030510891776262E-12</v>
      </c>
      <c r="BH80" s="59">
        <f t="shared" si="62"/>
        <v>282.85113672534925</v>
      </c>
      <c r="BI80" s="59">
        <f ca="1">AVERAGE(OFFSET($BH$3,0,0,'Données projet'!$E$11+1,1))-AVERAGE(OFFSET($H$3,0,0,'Données projet'!$E$11+1,1))</f>
        <v>333.23043896066253</v>
      </c>
      <c r="BJ80" s="59">
        <f t="shared" si="92"/>
        <v>440.63438368668983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117.87232572551441</v>
      </c>
      <c r="BQ80" s="21">
        <f>EXP(-LN(2)/25)*BQ79+(1-EXP(-LN(2)/25))/(LN(2)/25)*Calculateur!BL80*Calculateur!BN80*VLOOKUP('Données projet'!$B$11,Paramètres!$A$1:$I$89,3,0)*0.475*44/12</f>
        <v>73.279331471201544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191.15165719671597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67.141219106912672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5.8407480000000076</v>
      </c>
      <c r="BY80" s="12">
        <f>IF('Données projet'!$A$114&gt;35,BY79+BX80-CG79,IF(A80&lt;'Données projet'!$A$114,$BV$205^A80,IF(A80='Données projet'!$A$114,'Données projet'!$B$114,BY79+BX80-CG79)))</f>
        <v>294.1645860000001</v>
      </c>
      <c r="BZ80" s="13">
        <f>BY80*VLOOKUP('Données projet'!$B$12,Paramètres!$A$1:$I$89,3,0)*VLOOKUP('Données projet'!$B$12,Paramètres!$A$1:$I$89,5,0)</f>
        <v>118.54832815800005</v>
      </c>
      <c r="CA80" s="13">
        <f t="shared" si="93"/>
        <v>31.336181216128356</v>
      </c>
      <c r="CB80" s="20">
        <f t="shared" si="64"/>
        <v>261.048853826607</v>
      </c>
      <c r="CC80" s="59">
        <f t="shared" si="65"/>
        <v>543.89999055195347</v>
      </c>
      <c r="CD80" s="59">
        <f ca="1">AVERAGE(OFFSET($CC$3,0,0,'Données projet'!$E$12+1,1))-AVERAGE(OFFSET($H$3,0,0,'Données projet'!$E$12+1,1))</f>
        <v>177.34129362526608</v>
      </c>
      <c r="CE80" s="59">
        <f t="shared" si="94"/>
        <v>156.93407673501022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22.91830719465942</v>
      </c>
      <c r="CL80" s="21">
        <f>EXP(-LN(2)/25)*CL79+(1-EXP(-LN(2)/25))/(LN(2)/25)*Calculateur!CG80*Calculateur!CI80*VLOOKUP('Données projet'!$B$12,Paramètres!$A$1:$I$89,3,0)*0.475*44/12</f>
        <v>16.3218062116208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39.240113406280216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67.141219106912672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4.2</v>
      </c>
      <c r="CT80" s="12">
        <f>IF('Données projet'!$A$140&gt;35,CT79+CS80-DB79,IF(A80&lt;'Données projet'!$A$140,$CQ$205^A80,IF(A80='Données projet'!$A$140,'Données projet'!$B$140,CT79+CS80-DB79)))</f>
        <v>231.40000000000009</v>
      </c>
      <c r="CU80" s="17">
        <f>CT80*VLOOKUP('Données projet'!$B$13,Paramètres!$A$1:$I$89,3,0)*VLOOKUP('Données projet'!$B$13,Paramètres!$A$1:$I$89,5,0)</f>
        <v>151.61328000000006</v>
      </c>
      <c r="CV80" s="13">
        <f t="shared" si="95"/>
        <v>38.944980714143632</v>
      </c>
      <c r="CW80" s="20">
        <f t="shared" si="67"/>
        <v>331.88897074380026</v>
      </c>
      <c r="CX80" s="59">
        <f t="shared" si="68"/>
        <v>614.74010746914678</v>
      </c>
      <c r="CY80" s="59">
        <f ca="1">AVERAGE(OFFSET($CX$3,0,0,'Données projet'!$E$13+1,1))-AVERAGE(OFFSET($H$3,0,0,'Données projet'!$E$13+1,1))</f>
        <v>267.49254683294629</v>
      </c>
      <c r="CZ80" s="59">
        <f t="shared" si="96"/>
        <v>278.02595256967254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14.681965946607775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14.681965946607775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67.141219106912672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8.6770000000000014</v>
      </c>
      <c r="DO80" s="12">
        <f>IF('Données projet'!$A$166&gt;35,DO79+DN80-DW79,IF(A80&lt;'Données projet'!$A$166,$DL$205^A80,IF(A80='Données projet'!$A$166,'Données projet'!$B$166,DO79+DN80-DW79)))</f>
        <v>264.6110000000001</v>
      </c>
      <c r="DP80" s="17">
        <f>DO80*VLOOKUP('Données projet'!$B$14,Paramètres!$A$1:$I$89,3,0)*VLOOKUP('Données projet'!$B$14,Paramètres!$A$1:$I$89,5,0)</f>
        <v>239.42003280000009</v>
      </c>
      <c r="DQ80" s="13">
        <f t="shared" si="97"/>
        <v>58.314730148380967</v>
      </c>
      <c r="DR80" s="20">
        <f t="shared" si="70"/>
        <v>518.55471213509702</v>
      </c>
      <c r="DS80" s="59">
        <f t="shared" si="71"/>
        <v>801.40584886044348</v>
      </c>
      <c r="DT80" s="59">
        <f ca="1">AVERAGE(OFFSET($DS$3,0,0,'Données projet'!$E$14+1,1))-AVERAGE(OFFSET($H$3,0,0,'Données projet'!$E$14+1,1))</f>
        <v>602.02351907077332</v>
      </c>
      <c r="DU80" s="59">
        <f t="shared" si="98"/>
        <v>278.08067690827272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31.341471134506168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31.341471134506168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67.141219106912672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67.141219106912672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67.141219106912672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67.141219106912672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2.2000000000000002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8.0666666666666682</v>
      </c>
      <c r="H81" s="67">
        <f t="shared" si="56"/>
        <v>224.4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67.19081256413115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9.782</v>
      </c>
      <c r="N81" s="13">
        <f>IF('Données projet'!$A$36&gt;35,N80+M81-V80,IF(A81&lt;'Données projet'!$A$36,$K$205^A81,IF(A81='Données projet'!$A$36,'Données projet'!$B$36,N80+M81-V80)))</f>
        <v>500.43599999999998</v>
      </c>
      <c r="O81" s="13">
        <f>N81*VLOOKUP('Données projet'!$B$9,Paramètres!$A$1:$I$89,3,0)*VLOOKUP('Données projet'!$B$9,Paramètres!$A$1:$I$89,5,0)</f>
        <v>299.26072800000003</v>
      </c>
      <c r="P81" s="13">
        <f t="shared" si="87"/>
        <v>71.021461421315166</v>
      </c>
      <c r="Q81" s="20">
        <f t="shared" si="54"/>
        <v>644.90814657545729</v>
      </c>
      <c r="R81" s="59">
        <f t="shared" si="55"/>
        <v>927.94112597727144</v>
      </c>
      <c r="S81" s="59">
        <f ca="1">AVERAGE(OFFSET($R$3,0,0,'Données projet'!$E$9+1,1))-AVERAGE(OFFSET($H$3,0,0,'Données projet'!$E$9+1,1))</f>
        <v>360.09035401555587</v>
      </c>
      <c r="T81" s="59">
        <f t="shared" si="88"/>
        <v>266.54879627869821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43.808452315555904</v>
      </c>
      <c r="AA81" s="21">
        <f>EXP(-LN(2)/25)*AA80+(1-EXP(-LN(2)/25))/(LN(2)/25)*Calculateur!V81*Calculateur!X81*VLOOKUP('Données projet'!$B$9,Paramètres!$A$1:$I$89,3,0)*0.475*44/12</f>
        <v>26.71350525252954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70.52195756808544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67.19081256413115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8.2100000000000009</v>
      </c>
      <c r="AI81" s="13">
        <f>IF('Données projet'!$A$62&gt;35,AI80+AH81-AQ80,IF(A81&lt;'Données projet'!$A$62,$AF$205^A81,IF(A81='Données projet'!$A$62,'Données projet'!$B$62,AI80+AH81-AQ80)))</f>
        <v>227.62000000000018</v>
      </c>
      <c r="AJ81" s="13">
        <f>AI81*VLOOKUP('Données projet'!$B$10,Paramètres!$A$1:$I$89,3,0)*VLOOKUP('Données projet'!$B$10,Paramètres!$A$1:$I$89,5,0)</f>
        <v>191.74708800000016</v>
      </c>
      <c r="AK81" s="13">
        <f t="shared" si="89"/>
        <v>47.926003197206867</v>
      </c>
      <c r="AL81" s="20">
        <f t="shared" si="58"/>
        <v>417.43063383513555</v>
      </c>
      <c r="AM81" s="59">
        <f t="shared" si="59"/>
        <v>700.46361323694975</v>
      </c>
      <c r="AN81" s="59">
        <f ca="1">AVERAGE(OFFSET($AM$3,0,0,'Données projet'!$E$10+1,1))-AVERAGE(OFFSET($H$3,0,0,'Données projet'!$E$10+1,1))</f>
        <v>377.26246345103175</v>
      </c>
      <c r="AO81" s="59">
        <f t="shared" si="90"/>
        <v>258.25890564000258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24.720597672797886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24.720597672797886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67.19081256413115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2.2737367544323206E-13</v>
      </c>
      <c r="BE81" s="13">
        <f>BD81*VLOOKUP('Données projet'!$B$11,Paramètres!$A$1:$I$89,3,0)*VLOOKUP('Données projet'!$B$11,Paramètres!$A$1:$I$89,5,0)</f>
        <v>1.0049916454590858E-13</v>
      </c>
      <c r="BF81" s="13">
        <f t="shared" si="91"/>
        <v>1.5089081593838289E-12</v>
      </c>
      <c r="BG81" s="20">
        <f t="shared" si="61"/>
        <v>2.8030510891776262E-12</v>
      </c>
      <c r="BH81" s="59">
        <f t="shared" si="62"/>
        <v>283.03297940181699</v>
      </c>
      <c r="BI81" s="59">
        <f ca="1">AVERAGE(OFFSET($BH$3,0,0,'Données projet'!$E$11+1,1))-AVERAGE(OFFSET($H$3,0,0,'Données projet'!$E$11+1,1))</f>
        <v>333.23043896066253</v>
      </c>
      <c r="BJ81" s="59">
        <f t="shared" si="92"/>
        <v>440.63438368668983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115.56092131305672</v>
      </c>
      <c r="BQ81" s="21">
        <f>EXP(-LN(2)/25)*BQ80+(1-EXP(-LN(2)/25))/(LN(2)/25)*Calculateur!BL81*Calculateur!BN81*VLOOKUP('Données projet'!$B$11,Paramètres!$A$1:$I$89,3,0)*0.475*44/12</f>
        <v>71.275504298528972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186.8364256115857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67.19081256413115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5.8407480000000076</v>
      </c>
      <c r="BY81" s="12">
        <f>IF('Données projet'!$A$114&gt;35,BY80+BX81-CG80,IF(A81&lt;'Données projet'!$A$114,$BV$205^A81,IF(A81='Données projet'!$A$114,'Données projet'!$B$114,BY80+BX81-CG80)))</f>
        <v>300.00533400000012</v>
      </c>
      <c r="BZ81" s="13">
        <f>BY81*VLOOKUP('Données projet'!$B$12,Paramètres!$A$1:$I$89,3,0)*VLOOKUP('Données projet'!$B$12,Paramètres!$A$1:$I$89,5,0)</f>
        <v>120.90214960200005</v>
      </c>
      <c r="CA81" s="13">
        <f t="shared" si="93"/>
        <v>31.885319066335285</v>
      </c>
      <c r="CB81" s="20">
        <f t="shared" si="64"/>
        <v>266.10484126401735</v>
      </c>
      <c r="CC81" s="59">
        <f t="shared" si="65"/>
        <v>549.13782066583155</v>
      </c>
      <c r="CD81" s="59">
        <f ca="1">AVERAGE(OFFSET($CC$3,0,0,'Données projet'!$E$12+1,1))-AVERAGE(OFFSET($H$3,0,0,'Données projet'!$E$12+1,1))</f>
        <v>177.34129362526608</v>
      </c>
      <c r="CE81" s="59">
        <f t="shared" si="94"/>
        <v>156.93407673501022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22.468893169359248</v>
      </c>
      <c r="CL81" s="21">
        <f>EXP(-LN(2)/25)*CL80+(1-EXP(-LN(2)/25))/(LN(2)/25)*Calculateur!CG81*Calculateur!CI81*VLOOKUP('Données projet'!$B$12,Paramètres!$A$1:$I$89,3,0)*0.475*44/12</f>
        <v>15.875485562437545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38.344378731796795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67.19081256413115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4.2</v>
      </c>
      <c r="CT81" s="12">
        <f>IF('Données projet'!$A$140&gt;35,CT80+CS81-DB80,IF(A81&lt;'Données projet'!$A$140,$CQ$205^A81,IF(A81='Données projet'!$A$140,'Données projet'!$B$140,CT80+CS81-DB80)))</f>
        <v>235.60000000000008</v>
      </c>
      <c r="CU81" s="17">
        <f>CT81*VLOOKUP('Données projet'!$B$13,Paramètres!$A$1:$I$89,3,0)*VLOOKUP('Données projet'!$B$13,Paramètres!$A$1:$I$89,5,0)</f>
        <v>154.36512000000005</v>
      </c>
      <c r="CV81" s="13">
        <f t="shared" si="95"/>
        <v>39.568912624848309</v>
      </c>
      <c r="CW81" s="20">
        <f t="shared" si="67"/>
        <v>337.76844015494419</v>
      </c>
      <c r="CX81" s="59">
        <f t="shared" si="68"/>
        <v>620.80141955675845</v>
      </c>
      <c r="CY81" s="59">
        <f ca="1">AVERAGE(OFFSET($CX$3,0,0,'Données projet'!$E$13+1,1))-AVERAGE(OFFSET($H$3,0,0,'Données projet'!$E$13+1,1))</f>
        <v>267.49254683294629</v>
      </c>
      <c r="CZ81" s="59">
        <f t="shared" si="96"/>
        <v>278.02595256967254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14.394061549509781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14.394061549509781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67.19081256413115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8.6770000000000014</v>
      </c>
      <c r="DO81" s="12">
        <f>IF('Données projet'!$A$166&gt;35,DO80+DN81-DW80,IF(A81&lt;'Données projet'!$A$166,$DL$205^A81,IF(A81='Données projet'!$A$166,'Données projet'!$B$166,DO80+DN81-DW80)))</f>
        <v>273.28800000000012</v>
      </c>
      <c r="DP81" s="17">
        <f>DO81*VLOOKUP('Données projet'!$B$14,Paramètres!$A$1:$I$89,3,0)*VLOOKUP('Données projet'!$B$14,Paramètres!$A$1:$I$89,5,0)</f>
        <v>247.27098240000012</v>
      </c>
      <c r="DQ81" s="13">
        <f t="shared" si="97"/>
        <v>60.001190025553029</v>
      </c>
      <c r="DR81" s="20">
        <f t="shared" si="70"/>
        <v>535.16570030783839</v>
      </c>
      <c r="DS81" s="59">
        <f t="shared" si="71"/>
        <v>818.19867970965265</v>
      </c>
      <c r="DT81" s="59">
        <f ca="1">AVERAGE(OFFSET($DS$3,0,0,'Données projet'!$E$14+1,1))-AVERAGE(OFFSET($H$3,0,0,'Données projet'!$E$14+1,1))</f>
        <v>602.02351907077332</v>
      </c>
      <c r="DU81" s="59">
        <f t="shared" si="98"/>
        <v>278.08067690827272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30.726884001968305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30.726884001968305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67.19081256413115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67.19081256413115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67.19081256413115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67.19081256413115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2.2000000000000002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8.0666666666666682</v>
      </c>
      <c r="H82" s="67">
        <f t="shared" si="56"/>
        <v>224.4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67.239545685741234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9.782</v>
      </c>
      <c r="N82" s="13">
        <f>IF('Données projet'!$A$36&gt;35,N81+M82-V81,IF(A82&lt;'Données projet'!$A$36,$K$205^A82,IF(A82='Données projet'!$A$36,'Données projet'!$B$36,N81+M82-V81)))</f>
        <v>510.21799999999996</v>
      </c>
      <c r="O82" s="13">
        <f>N82*VLOOKUP('Données projet'!$B$9,Paramètres!$A$1:$I$89,3,0)*VLOOKUP('Données projet'!$B$9,Paramètres!$A$1:$I$89,5,0)</f>
        <v>305.110364</v>
      </c>
      <c r="P82" s="13">
        <f t="shared" si="87"/>
        <v>72.246736607705117</v>
      </c>
      <c r="Q82" s="20">
        <f t="shared" si="54"/>
        <v>657.23028355841973</v>
      </c>
      <c r="R82" s="59">
        <f t="shared" si="55"/>
        <v>940.44195107280427</v>
      </c>
      <c r="S82" s="59">
        <f ca="1">AVERAGE(OFFSET($R$3,0,0,'Données projet'!$E$9+1,1))-AVERAGE(OFFSET($H$3,0,0,'Données projet'!$E$9+1,1))</f>
        <v>360.09035401555587</v>
      </c>
      <c r="T82" s="59">
        <f t="shared" si="88"/>
        <v>266.54879627869821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42.949395286165334</v>
      </c>
      <c r="AA82" s="21">
        <f>EXP(-LN(2)/25)*AA81+(1-EXP(-LN(2)/25))/(LN(2)/25)*Calculateur!V82*Calculateur!X82*VLOOKUP('Données projet'!$B$9,Paramètres!$A$1:$I$89,3,0)*0.475*44/12</f>
        <v>25.983023046596934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68.932418332762268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67.239545685741234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8.2100000000000009</v>
      </c>
      <c r="AI82" s="13">
        <f>IF('Données projet'!$A$62&gt;35,AI81+AH82-AQ81,IF(A82&lt;'Données projet'!$A$62,$AF$205^A82,IF(A82='Données projet'!$A$62,'Données projet'!$B$62,AI81+AH82-AQ81)))</f>
        <v>235.83000000000018</v>
      </c>
      <c r="AJ82" s="13">
        <f>AI82*VLOOKUP('Données projet'!$B$10,Paramètres!$A$1:$I$89,3,0)*VLOOKUP('Données projet'!$B$10,Paramètres!$A$1:$I$89,5,0)</f>
        <v>198.66319200000018</v>
      </c>
      <c r="AK82" s="13">
        <f t="shared" si="89"/>
        <v>49.450263215298527</v>
      </c>
      <c r="AL82" s="20">
        <f t="shared" si="58"/>
        <v>432.13093449997854</v>
      </c>
      <c r="AM82" s="59">
        <f t="shared" si="59"/>
        <v>715.34260201436314</v>
      </c>
      <c r="AN82" s="59">
        <f ca="1">AVERAGE(OFFSET($AM$3,0,0,'Données projet'!$E$10+1,1))-AVERAGE(OFFSET($H$3,0,0,'Données projet'!$E$10+1,1))</f>
        <v>377.26246345103175</v>
      </c>
      <c r="AO82" s="59">
        <f t="shared" si="90"/>
        <v>258.25890564000258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24.235841830510065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24.235841830510065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67.239545685741234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2.2737367544323206E-13</v>
      </c>
      <c r="BE82" s="13">
        <f>BD82*VLOOKUP('Données projet'!$B$11,Paramètres!$A$1:$I$89,3,0)*VLOOKUP('Données projet'!$B$11,Paramètres!$A$1:$I$89,5,0)</f>
        <v>1.0049916454590858E-13</v>
      </c>
      <c r="BF82" s="13">
        <f t="shared" si="91"/>
        <v>1.5089081593838289E-12</v>
      </c>
      <c r="BG82" s="20">
        <f t="shared" si="61"/>
        <v>2.8030510891776262E-12</v>
      </c>
      <c r="BH82" s="59">
        <f t="shared" si="62"/>
        <v>283.21166751438733</v>
      </c>
      <c r="BI82" s="59">
        <f ca="1">AVERAGE(OFFSET($BH$3,0,0,'Données projet'!$E$11+1,1))-AVERAGE(OFFSET($H$3,0,0,'Données projet'!$E$11+1,1))</f>
        <v>333.23043896066253</v>
      </c>
      <c r="BJ82" s="59">
        <f t="shared" si="92"/>
        <v>440.63438368668983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113.29484213130985</v>
      </c>
      <c r="BQ82" s="21">
        <f>EXP(-LN(2)/25)*BQ81+(1-EXP(-LN(2)/25))/(LN(2)/25)*Calculateur!BL82*Calculateur!BN82*VLOOKUP('Données projet'!$B$11,Paramètres!$A$1:$I$89,3,0)*0.475*44/12</f>
        <v>69.326471885269825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182.62131401657967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67.239545685741234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5.8407480000000076</v>
      </c>
      <c r="BY82" s="12">
        <f>IF('Données projet'!$A$114&gt;35,BY81+BX82-CG81,IF(A82&lt;'Données projet'!$A$114,$BV$205^A82,IF(A82='Données projet'!$A$114,'Données projet'!$B$114,BY81+BX82-CG81)))</f>
        <v>305.84608200000014</v>
      </c>
      <c r="BZ82" s="13">
        <f>BY82*VLOOKUP('Données projet'!$B$12,Paramètres!$A$1:$I$89,3,0)*VLOOKUP('Données projet'!$B$12,Paramètres!$A$1:$I$89,5,0)</f>
        <v>123.25597104600006</v>
      </c>
      <c r="CA82" s="13">
        <f t="shared" si="93"/>
        <v>32.433213802834679</v>
      </c>
      <c r="CB82" s="20">
        <f t="shared" si="64"/>
        <v>271.15866361172044</v>
      </c>
      <c r="CC82" s="59">
        <f t="shared" si="65"/>
        <v>554.37033112610493</v>
      </c>
      <c r="CD82" s="59">
        <f ca="1">AVERAGE(OFFSET($CC$3,0,0,'Données projet'!$E$12+1,1))-AVERAGE(OFFSET($H$3,0,0,'Données projet'!$E$12+1,1))</f>
        <v>177.34129362526608</v>
      </c>
      <c r="CE82" s="59">
        <f t="shared" si="94"/>
        <v>156.93407673501022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22.028291878979722</v>
      </c>
      <c r="CL82" s="21">
        <f>EXP(-LN(2)/25)*CL81+(1-EXP(-LN(2)/25))/(LN(2)/25)*Calculateur!CG82*Calculateur!CI82*VLOOKUP('Données projet'!$B$12,Paramètres!$A$1:$I$89,3,0)*0.475*44/12</f>
        <v>15.441369574877188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37.469661453856908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67.239545685741234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4.2</v>
      </c>
      <c r="CT82" s="12">
        <f>IF('Données projet'!$A$140&gt;35,CT81+CS82-DB81,IF(A82&lt;'Données projet'!$A$140,$CQ$205^A82,IF(A82='Données projet'!$A$140,'Données projet'!$B$140,CT81+CS82-DB81)))</f>
        <v>239.80000000000007</v>
      </c>
      <c r="CU82" s="17">
        <f>CT82*VLOOKUP('Données projet'!$B$13,Paramètres!$A$1:$I$89,3,0)*VLOOKUP('Données projet'!$B$13,Paramètres!$A$1:$I$89,5,0)</f>
        <v>157.11696000000003</v>
      </c>
      <c r="CV82" s="13">
        <f t="shared" si="95"/>
        <v>40.191551120265856</v>
      </c>
      <c r="CW82" s="20">
        <f t="shared" si="67"/>
        <v>343.6456568677965</v>
      </c>
      <c r="CX82" s="59">
        <f t="shared" si="68"/>
        <v>626.8573243821811</v>
      </c>
      <c r="CY82" s="59">
        <f ca="1">AVERAGE(OFFSET($CX$3,0,0,'Données projet'!$E$13+1,1))-AVERAGE(OFFSET($H$3,0,0,'Données projet'!$E$13+1,1))</f>
        <v>267.49254683294629</v>
      </c>
      <c r="CZ82" s="59">
        <f t="shared" si="96"/>
        <v>278.02595256967254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14.111802782034534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14.111802782034534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67.239545685741234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8.6770000000000014</v>
      </c>
      <c r="DO82" s="12">
        <f>IF('Données projet'!$A$166&gt;35,DO81+DN82-DW81,IF(A82&lt;'Données projet'!$A$166,$DL$205^A82,IF(A82='Données projet'!$A$166,'Données projet'!$B$166,DO81+DN82-DW81)))</f>
        <v>281.96500000000015</v>
      </c>
      <c r="DP82" s="17">
        <f>DO82*VLOOKUP('Données projet'!$B$14,Paramètres!$A$1:$I$89,3,0)*VLOOKUP('Données projet'!$B$14,Paramètres!$A$1:$I$89,5,0)</f>
        <v>255.1219320000001</v>
      </c>
      <c r="DQ82" s="13">
        <f t="shared" si="97"/>
        <v>61.681427575411924</v>
      </c>
      <c r="DR82" s="20">
        <f t="shared" si="70"/>
        <v>551.76585126050918</v>
      </c>
      <c r="DS82" s="59">
        <f t="shared" si="71"/>
        <v>834.97751877489372</v>
      </c>
      <c r="DT82" s="59">
        <f ca="1">AVERAGE(OFFSET($DS$3,0,0,'Données projet'!$E$14+1,1))-AVERAGE(OFFSET($H$3,0,0,'Données projet'!$E$14+1,1))</f>
        <v>602.02351907077332</v>
      </c>
      <c r="DU82" s="59">
        <f t="shared" si="98"/>
        <v>278.08067690827272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30.124348548238373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30.124348548238373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67.239545685741234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67.239545685741234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67.239545685741234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67.239545685741234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2.2000000000000002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8.0666666666666682</v>
      </c>
      <c r="H83" s="67">
        <f t="shared" si="56"/>
        <v>224.4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67.287433396642328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520</v>
      </c>
      <c r="L83" s="12">
        <f>VLOOKUP(A83,'Données projet'!$A$35:$I$55,9,0)</f>
        <v>9.782</v>
      </c>
      <c r="M83" s="12">
        <f t="array" ref="M83">INDEX(L:L,MIN(IF(ISNUMBER(L83:L279),ROW(L83:L279),"")))</f>
        <v>9.782</v>
      </c>
      <c r="N83" s="13">
        <f>IF('Données projet'!$A$36&gt;35,N82+M83-V82,IF(A83&lt;'Données projet'!$A$36,$K$205^A83,IF(A83='Données projet'!$A$36,'Données projet'!$B$36,N82+M83-V82)))</f>
        <v>520</v>
      </c>
      <c r="O83" s="13">
        <f>N83*VLOOKUP('Données projet'!$B$9,Paramètres!$A$1:$I$89,3,0)*VLOOKUP('Données projet'!$B$9,Paramètres!$A$1:$I$89,5,0)</f>
        <v>310.96000000000004</v>
      </c>
      <c r="P83" s="13">
        <f t="shared" si="87"/>
        <v>73.469280288324128</v>
      </c>
      <c r="Q83" s="20">
        <f t="shared" si="54"/>
        <v>669.54766316883126</v>
      </c>
      <c r="R83" s="59">
        <f t="shared" si="55"/>
        <v>952.93491895651982</v>
      </c>
      <c r="S83" s="59">
        <f ca="1">AVERAGE(OFFSET($R$3,0,0,'Données projet'!$E$9+1,1))-AVERAGE(OFFSET($H$3,0,0,'Données projet'!$E$9+1,1))</f>
        <v>360.09035401555587</v>
      </c>
      <c r="T83" s="59">
        <f t="shared" si="88"/>
        <v>266.54879627869821</v>
      </c>
      <c r="U83" s="15">
        <f>IF(ISNA(VLOOKUP(A83,'Données projet'!$A$35:$I$55,3,0)),0,VLOOKUP(A83,'Données projet'!$A$35:$I$55,3,0))</f>
        <v>8</v>
      </c>
      <c r="V83" s="15">
        <f>IF(ISNA(VLOOKUP(A83,'Données projet'!$A$35:$I$55,4,0)),0,VLOOKUP(A83,'Données projet'!$A$35:$I$55,4,0))</f>
        <v>520</v>
      </c>
      <c r="W83" s="16">
        <f>IF(ISNA(VLOOKUP(A83,'Données projet'!$A$35:$I$55,5,0)),0%,VLOOKUP(A83,'Données projet'!$A$35:$I$55,5,0)*VLOOKUP('Données projet'!$B$9,Paramètres!$A$1:$I$89,7,0))</f>
        <v>0.315</v>
      </c>
      <c r="X83" s="16">
        <f>IF(ISNA(VLOOKUP(A83,'Données projet'!$A$35:$I$55,6,0)),0%,VLOOKUP(A83,'Données projet'!$A$35:$I$55,6,0)*VLOOKUP('Données projet'!$B$9,Paramètres!$A$1:$I$89,7,0))</f>
        <v>0.13500000000000001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172.04735600614413</v>
      </c>
      <c r="AA83" s="21">
        <f>EXP(-LN(2)/25)*AA82+(1-EXP(-LN(2)/25))/(LN(2)/25)*Calculateur!V83*Calculateur!X83*VLOOKUP('Données projet'!$B$9,Paramètres!$A$1:$I$89,3,0)*0.475*44/12</f>
        <v>80.741893713326476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252.7892497194706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67.287433396642328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8.2100000000000009</v>
      </c>
      <c r="AI83" s="13">
        <f>IF('Données projet'!$A$62&gt;35,AI82+AH83-AQ82,IF(A83&lt;'Données projet'!$A$62,$AF$205^A83,IF(A83='Données projet'!$A$62,'Données projet'!$B$62,AI82+AH83-AQ82)))</f>
        <v>244.04000000000019</v>
      </c>
      <c r="AJ83" s="13">
        <f>AI83*VLOOKUP('Données projet'!$B$10,Paramètres!$A$1:$I$89,3,0)*VLOOKUP('Données projet'!$B$10,Paramètres!$A$1:$I$89,5,0)</f>
        <v>205.57929600000017</v>
      </c>
      <c r="AK83" s="13">
        <f t="shared" si="89"/>
        <v>50.968357720865512</v>
      </c>
      <c r="AL83" s="20">
        <f t="shared" si="58"/>
        <v>446.82049689717434</v>
      </c>
      <c r="AM83" s="59">
        <f t="shared" si="59"/>
        <v>730.20775268486284</v>
      </c>
      <c r="AN83" s="59">
        <f ca="1">AVERAGE(OFFSET($AM$3,0,0,'Données projet'!$E$10+1,1))-AVERAGE(OFFSET($H$3,0,0,'Données projet'!$E$10+1,1))</f>
        <v>377.26246345103175</v>
      </c>
      <c r="AO83" s="59">
        <f t="shared" si="90"/>
        <v>258.25890564000258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23.760591754617639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23.760591754617639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67.287433396642328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2.2737367544323206E-13</v>
      </c>
      <c r="BE83" s="13">
        <f>BD83*VLOOKUP('Données projet'!$B$11,Paramètres!$A$1:$I$89,3,0)*VLOOKUP('Données projet'!$B$11,Paramètres!$A$1:$I$89,5,0)</f>
        <v>1.0049916454590858E-13</v>
      </c>
      <c r="BF83" s="13">
        <f t="shared" si="91"/>
        <v>1.5089081593838289E-12</v>
      </c>
      <c r="BG83" s="20">
        <f t="shared" si="61"/>
        <v>2.8030510891776262E-12</v>
      </c>
      <c r="BH83" s="59">
        <f t="shared" si="62"/>
        <v>283.38725578769129</v>
      </c>
      <c r="BI83" s="59">
        <f ca="1">AVERAGE(OFFSET($BH$3,0,0,'Données projet'!$E$11+1,1))-AVERAGE(OFFSET($H$3,0,0,'Données projet'!$E$11+1,1))</f>
        <v>333.23043896066253</v>
      </c>
      <c r="BJ83" s="59">
        <f t="shared" si="92"/>
        <v>440.63438368668983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111.07319938014521</v>
      </c>
      <c r="BQ83" s="21">
        <f>EXP(-LN(2)/25)*BQ82+(1-EXP(-LN(2)/25))/(LN(2)/25)*Calculateur!BL83*Calculateur!BN83*VLOOKUP('Données projet'!$B$11,Paramètres!$A$1:$I$89,3,0)*0.475*44/12</f>
        <v>67.430735865846415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178.50393524599161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67.287433396642328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311.68683000000004</v>
      </c>
      <c r="BW83" s="12">
        <f>VLOOKUP(A83,'Données projet'!$A$113:$I$133,9,0)</f>
        <v>5.8407480000000076</v>
      </c>
      <c r="BX83" s="12">
        <f t="array" ref="BX83">INDEX(BW:BW,MIN(IF(ISNUMBER(BW83:BW279),ROW(BW83:BW279),"")))</f>
        <v>5.8407480000000076</v>
      </c>
      <c r="BY83" s="12">
        <f>IF('Données projet'!$A$114&gt;35,BY82+BX83-CG82,IF(A83&lt;'Données projet'!$A$114,$BV$205^A83,IF(A83='Données projet'!$A$114,'Données projet'!$B$114,BY82+BX83-CG82)))</f>
        <v>311.68683000000016</v>
      </c>
      <c r="BZ83" s="13">
        <f>BY83*VLOOKUP('Données projet'!$B$12,Paramètres!$A$1:$I$89,3,0)*VLOOKUP('Données projet'!$B$12,Paramètres!$A$1:$I$89,5,0)</f>
        <v>125.60979249000007</v>
      </c>
      <c r="CA83" s="13">
        <f t="shared" si="93"/>
        <v>32.979891902511156</v>
      </c>
      <c r="CB83" s="20">
        <f t="shared" si="64"/>
        <v>276.21036698362371</v>
      </c>
      <c r="CC83" s="59">
        <f t="shared" si="65"/>
        <v>559.59762277131222</v>
      </c>
      <c r="CD83" s="59">
        <f ca="1">AVERAGE(OFFSET($CC$3,0,0,'Données projet'!$E$12+1,1))-AVERAGE(OFFSET($H$3,0,0,'Données projet'!$E$12+1,1))</f>
        <v>177.34129362526608</v>
      </c>
      <c r="CE83" s="59">
        <f t="shared" si="94"/>
        <v>156.93407673501022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311.68683000000004</v>
      </c>
      <c r="CH83" s="16">
        <f>IF(ISNA(VLOOKUP(A83,'Données projet'!$A$113:$I$133,5,0)),0%,VLOOKUP(A83,'Données projet'!$A$113:$I$133,5,0)*VLOOKUP('Données projet'!$B$12,Paramètres!$A$1:$I$89,7,0))</f>
        <v>0.38500000000000001</v>
      </c>
      <c r="CI83" s="16">
        <f>IF(ISNA(VLOOKUP(A83,'Données projet'!$A$113:$I$133,6,0)),0%,VLOOKUP(A83,'Données projet'!$A$113:$I$133,6,0)*VLOOKUP('Données projet'!$B$12,Paramètres!$A$1:$I$89,7,0))</f>
        <v>0.16500000000000001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85.748682610526942</v>
      </c>
      <c r="CL83" s="21">
        <f>EXP(-LN(2)/25)*CL82+(1-EXP(-LN(2)/25))/(LN(2)/25)*Calculateur!CG83*Calculateur!CI83*VLOOKUP('Données projet'!$B$12,Paramètres!$A$1:$I$89,3,0)*0.475*44/12</f>
        <v>42.404735874047944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128.1534184845749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67.287433396642328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244</v>
      </c>
      <c r="CR83" s="12">
        <f>VLOOKUP(A83,'Données projet'!$A$139:$I$159,9,0)</f>
        <v>4.2</v>
      </c>
      <c r="CS83" s="12">
        <f t="array" ref="CS83">INDEX(CR:CR,MIN(IF(ISNUMBER(CR83:CR279),ROW(CR83:CR279),"")))</f>
        <v>4.2</v>
      </c>
      <c r="CT83" s="12">
        <f>IF('Données projet'!$A$140&gt;35,CT82+CS83-DB82,IF(A83&lt;'Données projet'!$A$140,$CQ$205^A83,IF(A83='Données projet'!$A$140,'Données projet'!$B$140,CT82+CS83-DB82)))</f>
        <v>244.00000000000006</v>
      </c>
      <c r="CU83" s="17">
        <f>CT83*VLOOKUP('Données projet'!$B$13,Paramètres!$A$1:$I$89,3,0)*VLOOKUP('Données projet'!$B$13,Paramètres!$A$1:$I$89,5,0)</f>
        <v>159.86880000000002</v>
      </c>
      <c r="CV83" s="13">
        <f t="shared" si="95"/>
        <v>40.812921467768035</v>
      </c>
      <c r="CW83" s="20">
        <f t="shared" si="67"/>
        <v>349.52066488969604</v>
      </c>
      <c r="CX83" s="59">
        <f t="shared" si="68"/>
        <v>632.90792067738448</v>
      </c>
      <c r="CY83" s="59">
        <f ca="1">AVERAGE(OFFSET($CX$3,0,0,'Données projet'!$E$13+1,1))-AVERAGE(OFFSET($H$3,0,0,'Données projet'!$E$13+1,1))</f>
        <v>267.49254683294629</v>
      </c>
      <c r="CZ83" s="59">
        <f t="shared" si="96"/>
        <v>278.02595256967254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16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16.825006644170344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16.825006644170344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67.287433396642328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8.6770000000000014</v>
      </c>
      <c r="DO83" s="12">
        <f>IF('Données projet'!$A$166&gt;35,DO82+DN83-DW82,IF(A83&lt;'Données projet'!$A$166,$DL$205^A83,IF(A83='Données projet'!$A$166,'Données projet'!$B$166,DO82+DN83-DW82)))</f>
        <v>290.64200000000017</v>
      </c>
      <c r="DP83" s="17">
        <f>DO83*VLOOKUP('Données projet'!$B$14,Paramètres!$A$1:$I$89,3,0)*VLOOKUP('Données projet'!$B$14,Paramètres!$A$1:$I$89,5,0)</f>
        <v>262.97288160000016</v>
      </c>
      <c r="DQ83" s="13">
        <f t="shared" si="97"/>
        <v>63.355656254051972</v>
      </c>
      <c r="DR83" s="20">
        <f t="shared" si="70"/>
        <v>568.35553676247412</v>
      </c>
      <c r="DS83" s="59">
        <f t="shared" si="71"/>
        <v>851.74279255016268</v>
      </c>
      <c r="DT83" s="59">
        <f ca="1">AVERAGE(OFFSET($DS$3,0,0,'Données projet'!$E$14+1,1))-AVERAGE(OFFSET($H$3,0,0,'Données projet'!$E$14+1,1))</f>
        <v>602.02351907077332</v>
      </c>
      <c r="DU83" s="59">
        <f t="shared" si="98"/>
        <v>278.08067690827272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29.533628447245746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29.533628447245746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67.287433396642328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67.287433396642328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67.287433396642328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67.287433396642328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2.2000000000000002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8.0666666666666682</v>
      </c>
      <c r="H84" s="67">
        <f t="shared" si="56"/>
        <v>224.4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67.334490362820176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360.09035401555587</v>
      </c>
      <c r="T84" s="59">
        <f t="shared" si="88"/>
        <v>266.54879627869821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168.673612293389</v>
      </c>
      <c r="AA84" s="21">
        <f>EXP(-LN(2)/25)*AA83+(1-EXP(-LN(2)/25))/(LN(2)/25)*Calculateur!V84*Calculateur!X84*VLOOKUP('Données projet'!$B$9,Paramètres!$A$1:$I$89,3,0)*0.475*44/12</f>
        <v>78.534002383703907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247.20761467709292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67.334490362820176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8.2100000000000009</v>
      </c>
      <c r="AI84" s="13">
        <f>IF('Données projet'!$A$62&gt;35,AI83+AH84-AQ83,IF(A84&lt;'Données projet'!$A$62,$AF$205^A84,IF(A84='Données projet'!$A$62,'Données projet'!$B$62,AI83+AH84-AQ83)))</f>
        <v>252.2500000000002</v>
      </c>
      <c r="AJ84" s="13">
        <f>AI84*VLOOKUP('Données projet'!$B$10,Paramètres!$A$1:$I$89,3,0)*VLOOKUP('Données projet'!$B$10,Paramètres!$A$1:$I$89,5,0)</f>
        <v>212.49540000000019</v>
      </c>
      <c r="AK84" s="13">
        <f t="shared" si="89"/>
        <v>52.480517913758362</v>
      </c>
      <c r="AL84" s="20">
        <f t="shared" si="58"/>
        <v>461.49972369979611</v>
      </c>
      <c r="AM84" s="59">
        <f t="shared" si="59"/>
        <v>745.05952169680336</v>
      </c>
      <c r="AN84" s="59">
        <f ca="1">AVERAGE(OFFSET($AM$3,0,0,'Données projet'!$E$10+1,1))-AVERAGE(OFFSET($H$3,0,0,'Données projet'!$E$10+1,1))</f>
        <v>377.26246345103175</v>
      </c>
      <c r="AO84" s="59">
        <f t="shared" si="90"/>
        <v>258.25890564000258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23.29466104283954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23.29466104283954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67.334490362820176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2.2737367544323206E-13</v>
      </c>
      <c r="BE84" s="13">
        <f>BD84*VLOOKUP('Données projet'!$B$11,Paramètres!$A$1:$I$89,3,0)*VLOOKUP('Données projet'!$B$11,Paramètres!$A$1:$I$89,5,0)</f>
        <v>1.0049916454590858E-13</v>
      </c>
      <c r="BF84" s="13">
        <f t="shared" si="91"/>
        <v>1.5089081593838289E-12</v>
      </c>
      <c r="BG84" s="20">
        <f t="shared" si="61"/>
        <v>2.8030510891776262E-12</v>
      </c>
      <c r="BH84" s="59">
        <f t="shared" si="62"/>
        <v>283.55979799701009</v>
      </c>
      <c r="BI84" s="59">
        <f ca="1">AVERAGE(OFFSET($BH$3,0,0,'Données projet'!$E$11+1,1))-AVERAGE(OFFSET($H$3,0,0,'Données projet'!$E$11+1,1))</f>
        <v>333.23043896066253</v>
      </c>
      <c r="BJ84" s="59">
        <f t="shared" si="92"/>
        <v>440.63438368668983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108.89512168826263</v>
      </c>
      <c r="BQ84" s="21">
        <f>EXP(-LN(2)/25)*BQ83+(1-EXP(-LN(2)/25))/(LN(2)/25)*Calculateur!BL84*Calculateur!BN84*VLOOKUP('Données projet'!$B$11,Paramètres!$A$1:$I$89,3,0)*0.475*44/12</f>
        <v>65.586838847566554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174.48196053582919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67.334490362820176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1.1368683772161603E-13</v>
      </c>
      <c r="BZ84" s="13">
        <f>BY84*VLOOKUP('Données projet'!$B$12,Paramètres!$A$1:$I$89,3,0)*VLOOKUP('Données projet'!$B$12,Paramètres!$A$1:$I$89,5,0)</f>
        <v>4.5815795601811263E-14</v>
      </c>
      <c r="CA84" s="13">
        <f t="shared" si="93"/>
        <v>7.5374618042508364E-13</v>
      </c>
      <c r="CB84" s="20">
        <f t="shared" si="64"/>
        <v>1.392570441580175E-12</v>
      </c>
      <c r="CC84" s="59">
        <f t="shared" si="65"/>
        <v>283.55979799700867</v>
      </c>
      <c r="CD84" s="59">
        <f ca="1">AVERAGE(OFFSET($CC$3,0,0,'Données projet'!$E$12+1,1))-AVERAGE(OFFSET($H$3,0,0,'Données projet'!$E$12+1,1))</f>
        <v>177.34129362526608</v>
      </c>
      <c r="CE84" s="59">
        <f t="shared" si="94"/>
        <v>156.93407673501022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84.067203246066555</v>
      </c>
      <c r="CL84" s="21">
        <f>EXP(-LN(2)/25)*CL83+(1-EXP(-LN(2)/25))/(LN(2)/25)*Calculateur!CG84*Calculateur!CI84*VLOOKUP('Données projet'!$B$12,Paramètres!$A$1:$I$89,3,0)*0.475*44/12</f>
        <v>41.245176141603963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125.31237938767052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67.334490362820176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3.8</v>
      </c>
      <c r="CT84" s="12">
        <f>IF('Données projet'!$A$140&gt;35,CT83+CS84-DB83,IF(A84&lt;'Données projet'!$A$140,$CQ$205^A84,IF(A84='Données projet'!$A$140,'Données projet'!$B$140,CT83+CS84-DB83)))</f>
        <v>231.80000000000007</v>
      </c>
      <c r="CU84" s="17">
        <f>CT84*VLOOKUP('Données projet'!$B$13,Paramètres!$A$1:$I$89,3,0)*VLOOKUP('Données projet'!$B$13,Paramètres!$A$1:$I$89,5,0)</f>
        <v>151.87536000000003</v>
      </c>
      <c r="CV84" s="13">
        <f t="shared" si="95"/>
        <v>39.004459236504758</v>
      </c>
      <c r="CW84" s="20">
        <f t="shared" si="67"/>
        <v>332.44901850357911</v>
      </c>
      <c r="CX84" s="59">
        <f t="shared" si="68"/>
        <v>616.00881650058636</v>
      </c>
      <c r="CY84" s="59">
        <f ca="1">AVERAGE(OFFSET($CX$3,0,0,'Données projet'!$E$13+1,1))-AVERAGE(OFFSET($H$3,0,0,'Données projet'!$E$13+1,1))</f>
        <v>267.49254683294629</v>
      </c>
      <c r="CZ84" s="59">
        <f t="shared" si="96"/>
        <v>278.02595256967254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16.495078526118903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16.495078526118903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67.334490362820176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8.6770000000000014</v>
      </c>
      <c r="DO84" s="12">
        <f>IF('Données projet'!$A$166&gt;35,DO83+DN84-DW83,IF(A84&lt;'Données projet'!$A$166,$DL$205^A84,IF(A84='Données projet'!$A$166,'Données projet'!$B$166,DO83+DN84-DW83)))</f>
        <v>299.31900000000019</v>
      </c>
      <c r="DP84" s="17">
        <f>DO84*VLOOKUP('Données projet'!$B$14,Paramètres!$A$1:$I$89,3,0)*VLOOKUP('Données projet'!$B$14,Paramètres!$A$1:$I$89,5,0)</f>
        <v>270.8238312000002</v>
      </c>
      <c r="DQ84" s="13">
        <f t="shared" si="97"/>
        <v>65.024076047844915</v>
      </c>
      <c r="DR84" s="20">
        <f t="shared" si="70"/>
        <v>584.93510512333023</v>
      </c>
      <c r="DS84" s="59">
        <f t="shared" si="71"/>
        <v>868.49490312033754</v>
      </c>
      <c r="DT84" s="59">
        <f ca="1">AVERAGE(OFFSET($DS$3,0,0,'Données projet'!$E$14+1,1))-AVERAGE(OFFSET($H$3,0,0,'Données projet'!$E$14+1,1))</f>
        <v>602.02351907077332</v>
      </c>
      <c r="DU84" s="59">
        <f t="shared" si="98"/>
        <v>278.08067690827272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28.9544920071299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28.9544920071299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67.334490362820176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67.334490362820176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67.334490362820176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67.334490362820176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2.2000000000000002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8.0666666666666682</v>
      </c>
      <c r="H85" s="67">
        <f t="shared" si="56"/>
        <v>224.4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67.380730995838448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360.09035401555587</v>
      </c>
      <c r="T85" s="59">
        <f t="shared" si="88"/>
        <v>266.54879627869821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165.36602563706052</v>
      </c>
      <c r="AA85" s="21">
        <f>EXP(-LN(2)/25)*AA84+(1-EXP(-LN(2)/25))/(LN(2)/25)*Calculateur!V85*Calculateur!X85*VLOOKUP('Données projet'!$B$9,Paramètres!$A$1:$I$89,3,0)*0.475*44/12</f>
        <v>76.386485958597831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241.75251159565835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67.380730995838448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8.2100000000000009</v>
      </c>
      <c r="AI85" s="13">
        <f>IF('Données projet'!$A$62&gt;35,AI84+AH85-AQ84,IF(A85&lt;'Données projet'!$A$62,$AF$205^A85,IF(A85='Données projet'!$A$62,'Données projet'!$B$62,AI84+AH85-AQ84)))</f>
        <v>260.46000000000021</v>
      </c>
      <c r="AJ85" s="13">
        <f>AI85*VLOOKUP('Données projet'!$B$10,Paramètres!$A$1:$I$89,3,0)*VLOOKUP('Données projet'!$B$10,Paramètres!$A$1:$I$89,5,0)</f>
        <v>219.41150400000021</v>
      </c>
      <c r="AK85" s="13">
        <f t="shared" si="89"/>
        <v>53.986959089771062</v>
      </c>
      <c r="AL85" s="20">
        <f t="shared" si="58"/>
        <v>476.16898988135159</v>
      </c>
      <c r="AM85" s="59">
        <f t="shared" si="59"/>
        <v>759.89833686609256</v>
      </c>
      <c r="AN85" s="59">
        <f ca="1">AVERAGE(OFFSET($AM$3,0,0,'Données projet'!$E$10+1,1))-AVERAGE(OFFSET($H$3,0,0,'Données projet'!$E$10+1,1))</f>
        <v>377.26246345103175</v>
      </c>
      <c r="AO85" s="59">
        <f t="shared" si="90"/>
        <v>258.25890564000258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22.837866948129736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22.837866948129736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67.380730995838448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2.2737367544323206E-13</v>
      </c>
      <c r="BE85" s="13">
        <f>BD85*VLOOKUP('Données projet'!$B$11,Paramètres!$A$1:$I$89,3,0)*VLOOKUP('Données projet'!$B$11,Paramètres!$A$1:$I$89,5,0)</f>
        <v>1.0049916454590858E-13</v>
      </c>
      <c r="BF85" s="13">
        <f t="shared" si="91"/>
        <v>1.5089081593838289E-12</v>
      </c>
      <c r="BG85" s="20">
        <f t="shared" si="61"/>
        <v>2.8030510891776262E-12</v>
      </c>
      <c r="BH85" s="59">
        <f t="shared" si="62"/>
        <v>283.72934698474376</v>
      </c>
      <c r="BI85" s="59">
        <f ca="1">AVERAGE(OFFSET($BH$3,0,0,'Données projet'!$E$11+1,1))-AVERAGE(OFFSET($H$3,0,0,'Données projet'!$E$11+1,1))</f>
        <v>333.23043896066253</v>
      </c>
      <c r="BJ85" s="59">
        <f t="shared" si="92"/>
        <v>440.63438368668983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106.75975477142165</v>
      </c>
      <c r="BQ85" s="21">
        <f>EXP(-LN(2)/25)*BQ84+(1-EXP(-LN(2)/25))/(LN(2)/25)*Calculateur!BL85*Calculateur!BN85*VLOOKUP('Données projet'!$B$11,Paramètres!$A$1:$I$89,3,0)*0.475*44/12</f>
        <v>63.79336329021789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170.55311806163954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67.380730995838448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1.1368683772161603E-13</v>
      </c>
      <c r="BZ85" s="13">
        <f>BY85*VLOOKUP('Données projet'!$B$12,Paramètres!$A$1:$I$89,3,0)*VLOOKUP('Données projet'!$B$12,Paramètres!$A$1:$I$89,5,0)</f>
        <v>4.5815795601811263E-14</v>
      </c>
      <c r="CA85" s="13">
        <f t="shared" si="93"/>
        <v>7.5374618042508364E-13</v>
      </c>
      <c r="CB85" s="20">
        <f t="shared" si="64"/>
        <v>1.392570441580175E-12</v>
      </c>
      <c r="CC85" s="59">
        <f t="shared" si="65"/>
        <v>283.72934698474234</v>
      </c>
      <c r="CD85" s="59">
        <f ca="1">AVERAGE(OFFSET($CC$3,0,0,'Données projet'!$E$12+1,1))-AVERAGE(OFFSET($H$3,0,0,'Données projet'!$E$12+1,1))</f>
        <v>177.34129362526608</v>
      </c>
      <c r="CE85" s="59">
        <f t="shared" si="94"/>
        <v>156.93407673501022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82.418696666342086</v>
      </c>
      <c r="CL85" s="21">
        <f>EXP(-LN(2)/25)*CL84+(1-EXP(-LN(2)/25))/(LN(2)/25)*Calculateur!CG85*Calculateur!CI85*VLOOKUP('Données projet'!$B$12,Paramètres!$A$1:$I$89,3,0)*0.475*44/12</f>
        <v>40.117324631022257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122.53602129736434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67.380730995838448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3.8</v>
      </c>
      <c r="CT85" s="12">
        <f>IF('Données projet'!$A$140&gt;35,CT84+CS85-DB84,IF(A85&lt;'Données projet'!$A$140,$CQ$205^A85,IF(A85='Données projet'!$A$140,'Données projet'!$B$140,CT84+CS85-DB84)))</f>
        <v>235.60000000000008</v>
      </c>
      <c r="CU85" s="17">
        <f>CT85*VLOOKUP('Données projet'!$B$13,Paramètres!$A$1:$I$89,3,0)*VLOOKUP('Données projet'!$B$13,Paramètres!$A$1:$I$89,5,0)</f>
        <v>154.36512000000005</v>
      </c>
      <c r="CV85" s="13">
        <f t="shared" si="95"/>
        <v>39.568912624848309</v>
      </c>
      <c r="CW85" s="20">
        <f t="shared" si="67"/>
        <v>337.76844015494419</v>
      </c>
      <c r="CX85" s="59">
        <f t="shared" si="68"/>
        <v>621.49778713968522</v>
      </c>
      <c r="CY85" s="59">
        <f ca="1">AVERAGE(OFFSET($CX$3,0,0,'Données projet'!$E$13+1,1))-AVERAGE(OFFSET($H$3,0,0,'Données projet'!$E$13+1,1))</f>
        <v>267.49254683294629</v>
      </c>
      <c r="CZ85" s="59">
        <f t="shared" si="96"/>
        <v>278.02595256967254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16.171620097226171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16.171620097226171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67.380730995838448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8.6770000000000014</v>
      </c>
      <c r="DO85" s="12">
        <f>IF('Données projet'!$A$166&gt;35,DO84+DN85-DW84,IF(A85&lt;'Données projet'!$A$166,$DL$205^A85,IF(A85='Données projet'!$A$166,'Données projet'!$B$166,DO84+DN85-DW84)))</f>
        <v>307.99600000000021</v>
      </c>
      <c r="DP85" s="17">
        <f>DO85*VLOOKUP('Données projet'!$B$14,Paramètres!$A$1:$I$89,3,0)*VLOOKUP('Données projet'!$B$14,Paramètres!$A$1:$I$89,5,0)</f>
        <v>278.67478080000018</v>
      </c>
      <c r="DQ85" s="13">
        <f t="shared" si="97"/>
        <v>66.686874688958113</v>
      </c>
      <c r="DR85" s="20">
        <f t="shared" si="70"/>
        <v>601.50488330993562</v>
      </c>
      <c r="DS85" s="59">
        <f t="shared" si="71"/>
        <v>885.23423029467654</v>
      </c>
      <c r="DT85" s="59">
        <f ca="1">AVERAGE(OFFSET($DS$3,0,0,'Données projet'!$E$14+1,1))-AVERAGE(OFFSET($H$3,0,0,'Données projet'!$E$14+1,1))</f>
        <v>602.02351907077332</v>
      </c>
      <c r="DU85" s="59">
        <f t="shared" si="98"/>
        <v>278.08067690827272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28.386712079366379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28.386712079366379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67.380730995838448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67.380730995838448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67.380730995838448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67.380730995838448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2.2000000000000002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8.0666666666666682</v>
      </c>
      <c r="H86" s="67">
        <f t="shared" si="56"/>
        <v>224.4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67.426169457252428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360.09035401555587</v>
      </c>
      <c r="T86" s="59">
        <f t="shared" si="88"/>
        <v>266.54879627869821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162.12329873763397</v>
      </c>
      <c r="AA86" s="21">
        <f>EXP(-LN(2)/25)*AA85+(1-EXP(-LN(2)/25))/(LN(2)/25)*Calculateur!V86*Calculateur!X86*VLOOKUP('Données projet'!$B$9,Paramètres!$A$1:$I$89,3,0)*0.475*44/12</f>
        <v>74.297693483069267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236.42099222070323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67.426169457252428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268.67</v>
      </c>
      <c r="AG86" s="12">
        <f>VLOOKUP(A86,'Données projet'!$A$61:$I$81,9,0)</f>
        <v>8.2100000000000009</v>
      </c>
      <c r="AH86" s="12">
        <f t="array" ref="AH86">INDEX(AG:AG,MIN(IF(ISNUMBER(AG86:AG282),ROW(AG86:AG282),"")))</f>
        <v>8.2100000000000009</v>
      </c>
      <c r="AI86" s="13">
        <f>IF('Données projet'!$A$62&gt;35,AI85+AH86-AQ85,IF(A86&lt;'Données projet'!$A$62,$AF$205^A86,IF(A86='Données projet'!$A$62,'Données projet'!$B$62,AI85+AH86-AQ85)))</f>
        <v>268.67000000000019</v>
      </c>
      <c r="AJ86" s="13">
        <f>AI86*VLOOKUP('Données projet'!$B$10,Paramètres!$A$1:$I$89,3,0)*VLOOKUP('Données projet'!$B$10,Paramètres!$A$1:$I$89,5,0)</f>
        <v>226.32760800000017</v>
      </c>
      <c r="AK86" s="13">
        <f t="shared" si="89"/>
        <v>55.487882201127306</v>
      </c>
      <c r="AL86" s="20">
        <f t="shared" si="58"/>
        <v>490.8286454336303</v>
      </c>
      <c r="AM86" s="59">
        <f t="shared" si="59"/>
        <v>774.72460011022258</v>
      </c>
      <c r="AN86" s="59">
        <f ca="1">AVERAGE(OFFSET($AM$3,0,0,'Données projet'!$E$10+1,1))-AVERAGE(OFFSET($H$3,0,0,'Données projet'!$E$10+1,1))</f>
        <v>377.26246345103175</v>
      </c>
      <c r="AO86" s="59">
        <f t="shared" si="90"/>
        <v>258.25890564000258</v>
      </c>
      <c r="AP86" s="15">
        <f>IF(ISNA(VLOOKUP(A86,'Données projet'!$A$61:$I$81,3,0)),0,VLOOKUP(A86,'Données projet'!$A$61:$I$81,3,0))</f>
        <v>7</v>
      </c>
      <c r="AQ86" s="15">
        <f>IF(ISNA(VLOOKUP(A86,'Données projet'!$A$61:$I$81,4,0)),0,VLOOKUP(A86,'Données projet'!$A$61:$I$81,4,0))</f>
        <v>44.22</v>
      </c>
      <c r="AR86" s="16">
        <f>IF(ISNA(VLOOKUP(A86,'Données projet'!$A$61:$I$81,5,0)),0%,VLOOKUP(A86,'Données projet'!$A$61:$I$81,5,0)*VLOOKUP('Données projet'!$B$10,Paramètres!$A$1:$I$89,7,0))</f>
        <v>0.25800000000000001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33.014418065641877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33.014418065641877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67.426169457252428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2.2737367544323206E-13</v>
      </c>
      <c r="BE86" s="13">
        <f>BD86*VLOOKUP('Données projet'!$B$11,Paramètres!$A$1:$I$89,3,0)*VLOOKUP('Données projet'!$B$11,Paramètres!$A$1:$I$89,5,0)</f>
        <v>1.0049916454590858E-13</v>
      </c>
      <c r="BF86" s="13">
        <f t="shared" si="91"/>
        <v>1.5089081593838289E-12</v>
      </c>
      <c r="BG86" s="20">
        <f t="shared" si="61"/>
        <v>2.8030510891776262E-12</v>
      </c>
      <c r="BH86" s="59">
        <f t="shared" si="62"/>
        <v>283.89595467659501</v>
      </c>
      <c r="BI86" s="59">
        <f ca="1">AVERAGE(OFFSET($BH$3,0,0,'Données projet'!$E$11+1,1))-AVERAGE(OFFSET($H$3,0,0,'Données projet'!$E$11+1,1))</f>
        <v>333.23043896066253</v>
      </c>
      <c r="BJ86" s="59">
        <f t="shared" si="92"/>
        <v>440.63438368668983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104.66626109737471</v>
      </c>
      <c r="BQ86" s="21">
        <f>EXP(-LN(2)/25)*BQ85+(1-EXP(-LN(2)/25))/(LN(2)/25)*Calculateur!BL86*Calculateur!BN86*VLOOKUP('Données projet'!$B$11,Paramètres!$A$1:$I$89,3,0)*0.475*44/12</f>
        <v>62.048930416299712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166.71519151367443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67.426169457252428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1.1368683772161603E-13</v>
      </c>
      <c r="BZ86" s="13">
        <f>BY86*VLOOKUP('Données projet'!$B$12,Paramètres!$A$1:$I$89,3,0)*VLOOKUP('Données projet'!$B$12,Paramètres!$A$1:$I$89,5,0)</f>
        <v>4.5815795601811263E-14</v>
      </c>
      <c r="CA86" s="13">
        <f t="shared" si="93"/>
        <v>7.5374618042508364E-13</v>
      </c>
      <c r="CB86" s="20">
        <f t="shared" si="64"/>
        <v>1.392570441580175E-12</v>
      </c>
      <c r="CC86" s="59">
        <f t="shared" si="65"/>
        <v>283.89595467659359</v>
      </c>
      <c r="CD86" s="59">
        <f ca="1">AVERAGE(OFFSET($CC$3,0,0,'Données projet'!$E$12+1,1))-AVERAGE(OFFSET($H$3,0,0,'Données projet'!$E$12+1,1))</f>
        <v>177.34129362526608</v>
      </c>
      <c r="CE86" s="59">
        <f t="shared" si="94"/>
        <v>156.93407673501022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80.802516295156295</v>
      </c>
      <c r="CL86" s="21">
        <f>EXP(-LN(2)/25)*CL85+(1-EXP(-LN(2)/25))/(LN(2)/25)*Calculateur!CG86*Calculateur!CI86*VLOOKUP('Données projet'!$B$12,Paramètres!$A$1:$I$89,3,0)*0.475*44/12</f>
        <v>39.020314279308543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119.82283057446483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67.426169457252428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3.8</v>
      </c>
      <c r="CT86" s="12">
        <f>IF('Données projet'!$A$140&gt;35,CT85+CS86-DB85,IF(A86&lt;'Données projet'!$A$140,$CQ$205^A86,IF(A86='Données projet'!$A$140,'Données projet'!$B$140,CT85+CS86-DB85)))</f>
        <v>239.40000000000009</v>
      </c>
      <c r="CU86" s="17">
        <f>CT86*VLOOKUP('Données projet'!$B$13,Paramètres!$A$1:$I$89,3,0)*VLOOKUP('Données projet'!$B$13,Paramètres!$A$1:$I$89,5,0)</f>
        <v>156.85488000000007</v>
      </c>
      <c r="CV86" s="13">
        <f t="shared" si="95"/>
        <v>40.132307243083858</v>
      </c>
      <c r="CW86" s="20">
        <f t="shared" si="67"/>
        <v>343.08601778170447</v>
      </c>
      <c r="CX86" s="59">
        <f t="shared" si="68"/>
        <v>626.9819724582967</v>
      </c>
      <c r="CY86" s="59">
        <f ca="1">AVERAGE(OFFSET($CX$3,0,0,'Données projet'!$E$13+1,1))-AVERAGE(OFFSET($H$3,0,0,'Données projet'!$E$13+1,1))</f>
        <v>267.49254683294629</v>
      </c>
      <c r="CZ86" s="59">
        <f t="shared" si="96"/>
        <v>278.02595256967254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15.854504490833865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15.854504490833865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67.426169457252428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8.6770000000000014</v>
      </c>
      <c r="DO86" s="12">
        <f>IF('Données projet'!$A$166&gt;35,DO85+DN86-DW85,IF(A86&lt;'Données projet'!$A$166,$DL$205^A86,IF(A86='Données projet'!$A$166,'Données projet'!$B$166,DO85+DN86-DW85)))</f>
        <v>316.67300000000023</v>
      </c>
      <c r="DP86" s="17">
        <f>DO86*VLOOKUP('Données projet'!$B$14,Paramètres!$A$1:$I$89,3,0)*VLOOKUP('Données projet'!$B$14,Paramètres!$A$1:$I$89,5,0)</f>
        <v>286.52573040000021</v>
      </c>
      <c r="DQ86" s="13">
        <f t="shared" si="97"/>
        <v>68.344228730046424</v>
      </c>
      <c r="DR86" s="20">
        <f t="shared" si="70"/>
        <v>618.06517881816455</v>
      </c>
      <c r="DS86" s="59">
        <f t="shared" si="71"/>
        <v>901.96113349475672</v>
      </c>
      <c r="DT86" s="59">
        <f ca="1">AVERAGE(OFFSET($DS$3,0,0,'Données projet'!$E$14+1,1))-AVERAGE(OFFSET($H$3,0,0,'Données projet'!$E$14+1,1))</f>
        <v>602.02351907077332</v>
      </c>
      <c r="DU86" s="59">
        <f t="shared" si="98"/>
        <v>278.08067690827272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27.830065969674738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27.830065969674738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67.426169457252428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67.426169457252428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67.426169457252428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67.426169457252428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2.2000000000000002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8.0666666666666682</v>
      </c>
      <c r="H87" s="67">
        <f t="shared" si="56"/>
        <v>224.4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67.470819662946042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360.09035401555587</v>
      </c>
      <c r="T87" s="59">
        <f t="shared" si="88"/>
        <v>266.54879627869821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158.94415973483709</v>
      </c>
      <c r="AA87" s="21">
        <f>EXP(-LN(2)/25)*AA86+(1-EXP(-LN(2)/25))/(LN(2)/25)*Calculateur!V87*Calculateur!X87*VLOOKUP('Données projet'!$B$9,Paramètres!$A$1:$I$89,3,0)*0.475*44/12</f>
        <v>72.266019147628853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231.21017888246593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67.470819662946042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7.9879999999999969</v>
      </c>
      <c r="AI87" s="13">
        <f>IF('Données projet'!$A$62&gt;35,AI86+AH87-AQ86,IF(A87&lt;'Données projet'!$A$62,$AF$205^A87,IF(A87='Données projet'!$A$62,'Données projet'!$B$62,AI86+AH87-AQ86)))</f>
        <v>232.43800000000019</v>
      </c>
      <c r="AJ87" s="13">
        <f>AI87*VLOOKUP('Données projet'!$B$10,Paramètres!$A$1:$I$89,3,0)*VLOOKUP('Données projet'!$B$10,Paramètres!$A$1:$I$89,5,0)</f>
        <v>195.80577120000018</v>
      </c>
      <c r="AK87" s="13">
        <f t="shared" si="89"/>
        <v>48.821269270689932</v>
      </c>
      <c r="AL87" s="20">
        <f t="shared" si="58"/>
        <v>426.05876215311855</v>
      </c>
      <c r="AM87" s="59">
        <f t="shared" si="59"/>
        <v>710.11843425058737</v>
      </c>
      <c r="AN87" s="59">
        <f ca="1">AVERAGE(OFFSET($AM$3,0,0,'Données projet'!$E$10+1,1))-AVERAGE(OFFSET($H$3,0,0,'Données projet'!$E$10+1,1))</f>
        <v>377.26246345103175</v>
      </c>
      <c r="AO87" s="59">
        <f t="shared" si="90"/>
        <v>258.25890564000258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32.367025464181317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32.367025464181317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67.470819662946042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2.2737367544323206E-13</v>
      </c>
      <c r="BE87" s="13">
        <f>BD87*VLOOKUP('Données projet'!$B$11,Paramètres!$A$1:$I$89,3,0)*VLOOKUP('Données projet'!$B$11,Paramètres!$A$1:$I$89,5,0)</f>
        <v>1.0049916454590858E-13</v>
      </c>
      <c r="BF87" s="13">
        <f t="shared" si="91"/>
        <v>1.5089081593838289E-12</v>
      </c>
      <c r="BG87" s="20">
        <f t="shared" si="61"/>
        <v>2.8030510891776262E-12</v>
      </c>
      <c r="BH87" s="59">
        <f t="shared" si="62"/>
        <v>284.0596720974716</v>
      </c>
      <c r="BI87" s="59">
        <f ca="1">AVERAGE(OFFSET($BH$3,0,0,'Données projet'!$E$11+1,1))-AVERAGE(OFFSET($H$3,0,0,'Données projet'!$E$11+1,1))</f>
        <v>333.23043896066253</v>
      </c>
      <c r="BJ87" s="59">
        <f t="shared" si="92"/>
        <v>440.63438368668983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102.61381955737077</v>
      </c>
      <c r="BQ87" s="21">
        <f>EXP(-LN(2)/25)*BQ86+(1-EXP(-LN(2)/25))/(LN(2)/25)*Calculateur!BL87*Calculateur!BN87*VLOOKUP('Données projet'!$B$11,Paramètres!$A$1:$I$89,3,0)*0.475*44/12</f>
        <v>60.352199151054563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162.96601870842534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67.470819662946042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1.1368683772161603E-13</v>
      </c>
      <c r="BZ87" s="13">
        <f>BY87*VLOOKUP('Données projet'!$B$12,Paramètres!$A$1:$I$89,3,0)*VLOOKUP('Données projet'!$B$12,Paramètres!$A$1:$I$89,5,0)</f>
        <v>4.5815795601811263E-14</v>
      </c>
      <c r="CA87" s="13">
        <f t="shared" si="93"/>
        <v>7.5374618042508364E-13</v>
      </c>
      <c r="CB87" s="20">
        <f t="shared" si="64"/>
        <v>1.392570441580175E-12</v>
      </c>
      <c r="CC87" s="59">
        <f t="shared" si="65"/>
        <v>284.05967209747018</v>
      </c>
      <c r="CD87" s="59">
        <f ca="1">AVERAGE(OFFSET($CC$3,0,0,'Données projet'!$E$12+1,1))-AVERAGE(OFFSET($H$3,0,0,'Données projet'!$E$12+1,1))</f>
        <v>177.34129362526608</v>
      </c>
      <c r="CE87" s="59">
        <f t="shared" si="94"/>
        <v>156.93407673501022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79.218028235276762</v>
      </c>
      <c r="CL87" s="21">
        <f>EXP(-LN(2)/25)*CL86+(1-EXP(-LN(2)/25))/(LN(2)/25)*Calculateur!CG87*Calculateur!CI87*VLOOKUP('Données projet'!$B$12,Paramètres!$A$1:$I$89,3,0)*0.475*44/12</f>
        <v>37.953301733351708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117.17132996862847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67.470819662946042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3.8</v>
      </c>
      <c r="CT87" s="12">
        <f>IF('Données projet'!$A$140&gt;35,CT86+CS87-DB86,IF(A87&lt;'Données projet'!$A$140,$CQ$205^A87,IF(A87='Données projet'!$A$140,'Données projet'!$B$140,CT86+CS87-DB86)))</f>
        <v>243.2000000000001</v>
      </c>
      <c r="CU87" s="17">
        <f>CT87*VLOOKUP('Données projet'!$B$13,Paramètres!$A$1:$I$89,3,0)*VLOOKUP('Données projet'!$B$13,Paramètres!$A$1:$I$89,5,0)</f>
        <v>159.34464000000006</v>
      </c>
      <c r="CV87" s="13">
        <f t="shared" si="95"/>
        <v>40.694661837553809</v>
      </c>
      <c r="CW87" s="20">
        <f t="shared" si="67"/>
        <v>348.40178403373966</v>
      </c>
      <c r="CX87" s="59">
        <f t="shared" si="68"/>
        <v>632.46145613120848</v>
      </c>
      <c r="CY87" s="59">
        <f ca="1">AVERAGE(OFFSET($CX$3,0,0,'Données projet'!$E$13+1,1))-AVERAGE(OFFSET($H$3,0,0,'Données projet'!$E$13+1,1))</f>
        <v>267.49254683294629</v>
      </c>
      <c r="CZ87" s="59">
        <f t="shared" si="96"/>
        <v>278.02595256967254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15.543607328061491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15.543607328061491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67.470819662946042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325.35000000000002</v>
      </c>
      <c r="DM87" s="12">
        <f>VLOOKUP(A87,'Données projet'!$A$165:$I$185,9,0)</f>
        <v>8.6770000000000014</v>
      </c>
      <c r="DN87" s="12">
        <f t="array" ref="DN87">INDEX(DM:DM,MIN(IF(ISNUMBER(DM87:DM283),ROW(DM87:DM283),"")))</f>
        <v>8.6770000000000014</v>
      </c>
      <c r="DO87" s="12">
        <f>IF('Données projet'!$A$166&gt;35,DO86+DN87-DW86,IF(A87&lt;'Données projet'!$A$166,$DL$205^A87,IF(A87='Données projet'!$A$166,'Données projet'!$B$166,DO86+DN87-DW86)))</f>
        <v>325.35000000000025</v>
      </c>
      <c r="DP87" s="17">
        <f>DO87*VLOOKUP('Données projet'!$B$14,Paramètres!$A$1:$I$89,3,0)*VLOOKUP('Données projet'!$B$14,Paramètres!$A$1:$I$89,5,0)</f>
        <v>294.37668000000025</v>
      </c>
      <c r="DQ87" s="13">
        <f t="shared" si="97"/>
        <v>69.99630449784344</v>
      </c>
      <c r="DR87" s="20">
        <f t="shared" si="70"/>
        <v>634.61628133374438</v>
      </c>
      <c r="DS87" s="59">
        <f t="shared" si="71"/>
        <v>918.6759534312132</v>
      </c>
      <c r="DT87" s="59">
        <f ca="1">AVERAGE(OFFSET($DS$3,0,0,'Données projet'!$E$14+1,1))-AVERAGE(OFFSET($H$3,0,0,'Données projet'!$E$14+1,1))</f>
        <v>602.02351907077332</v>
      </c>
      <c r="DU87" s="59">
        <f t="shared" si="98"/>
        <v>278.08067690827272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61.47</v>
      </c>
      <c r="DX87" s="16">
        <f>IF(ISNA(VLOOKUP(A87,'Données projet'!$A$165:$I$185,5,0)),0%,VLOOKUP(A87,'Données projet'!$A$165:$I$185,5,0)*VLOOKUP('Données projet'!$B$14,Paramètres!$A$1:$I$89,7,0))</f>
        <v>0.25800000000000001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43.147236627276406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43.147236627276406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67.470819662946042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67.470819662946042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67.470819662946042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67.470819662946042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2.2000000000000002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8.0666666666666682</v>
      </c>
      <c r="H88" s="67">
        <f t="shared" si="56"/>
        <v>224.4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67.514695287393778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360.09035401555587</v>
      </c>
      <c r="T88" s="59">
        <f t="shared" si="88"/>
        <v>266.54879627869821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155.8273617088017</v>
      </c>
      <c r="AA88" s="21">
        <f>EXP(-LN(2)/25)*AA87+(1-EXP(-LN(2)/25))/(LN(2)/25)*Calculateur!V88*Calculateur!X88*VLOOKUP('Données projet'!$B$9,Paramètres!$A$1:$I$89,3,0)*0.475*44/12</f>
        <v>70.289901053732166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226.11726276253387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67.514695287393778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7.9879999999999969</v>
      </c>
      <c r="AI88" s="13">
        <f>IF('Données projet'!$A$62&gt;35,AI87+AH88-AQ87,IF(A88&lt;'Données projet'!$A$62,$AF$205^A88,IF(A88='Données projet'!$A$62,'Données projet'!$B$62,AI87+AH88-AQ87)))</f>
        <v>240.42600000000019</v>
      </c>
      <c r="AJ88" s="13">
        <f>AI88*VLOOKUP('Données projet'!$B$10,Paramètres!$A$1:$I$89,3,0)*VLOOKUP('Données projet'!$B$10,Paramètres!$A$1:$I$89,5,0)</f>
        <v>202.53486240000018</v>
      </c>
      <c r="AK88" s="13">
        <f t="shared" si="89"/>
        <v>50.300844751824435</v>
      </c>
      <c r="AL88" s="20">
        <f t="shared" si="58"/>
        <v>440.35552328942782</v>
      </c>
      <c r="AM88" s="59">
        <f t="shared" si="59"/>
        <v>724.57607267653839</v>
      </c>
      <c r="AN88" s="59">
        <f ca="1">AVERAGE(OFFSET($AM$3,0,0,'Données projet'!$E$10+1,1))-AVERAGE(OFFSET($H$3,0,0,'Données projet'!$E$10+1,1))</f>
        <v>377.26246345103175</v>
      </c>
      <c r="AO88" s="59">
        <f t="shared" si="90"/>
        <v>258.25890564000258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31.732327836764899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31.732327836764899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67.514695287393778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2.2737367544323206E-13</v>
      </c>
      <c r="BE88" s="13">
        <f>BD88*VLOOKUP('Données projet'!$B$11,Paramètres!$A$1:$I$89,3,0)*VLOOKUP('Données projet'!$B$11,Paramètres!$A$1:$I$89,5,0)</f>
        <v>1.0049916454590858E-13</v>
      </c>
      <c r="BF88" s="13">
        <f t="shared" si="91"/>
        <v>1.5089081593838289E-12</v>
      </c>
      <c r="BG88" s="20">
        <f t="shared" si="61"/>
        <v>2.8030510891776262E-12</v>
      </c>
      <c r="BH88" s="59">
        <f t="shared" si="62"/>
        <v>284.22054938711329</v>
      </c>
      <c r="BI88" s="59">
        <f ca="1">AVERAGE(OFFSET($BH$3,0,0,'Données projet'!$E$11+1,1))-AVERAGE(OFFSET($H$3,0,0,'Données projet'!$E$11+1,1))</f>
        <v>333.23043896066253</v>
      </c>
      <c r="BJ88" s="59">
        <f t="shared" si="92"/>
        <v>440.63438368668983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100.60162514410058</v>
      </c>
      <c r="BQ88" s="21">
        <f>EXP(-LN(2)/25)*BQ87+(1-EXP(-LN(2)/25))/(LN(2)/25)*Calculateur!BL88*Calculateur!BN88*VLOOKUP('Données projet'!$B$11,Paramètres!$A$1:$I$89,3,0)*0.475*44/12</f>
        <v>58.701865091484763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159.30349023558534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67.514695287393778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1.1368683772161603E-13</v>
      </c>
      <c r="BZ88" s="13">
        <f>BY88*VLOOKUP('Données projet'!$B$12,Paramètres!$A$1:$I$89,3,0)*VLOOKUP('Données projet'!$B$12,Paramètres!$A$1:$I$89,5,0)</f>
        <v>4.5815795601811263E-14</v>
      </c>
      <c r="CA88" s="13">
        <f t="shared" si="93"/>
        <v>7.5374618042508364E-13</v>
      </c>
      <c r="CB88" s="20">
        <f t="shared" si="64"/>
        <v>1.392570441580175E-12</v>
      </c>
      <c r="CC88" s="59">
        <f t="shared" si="65"/>
        <v>284.22054938711187</v>
      </c>
      <c r="CD88" s="59">
        <f ca="1">AVERAGE(OFFSET($CC$3,0,0,'Données projet'!$E$12+1,1))-AVERAGE(OFFSET($H$3,0,0,'Données projet'!$E$12+1,1))</f>
        <v>177.34129362526608</v>
      </c>
      <c r="CE88" s="59">
        <f t="shared" si="94"/>
        <v>156.93407673501022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77.664611019809186</v>
      </c>
      <c r="CL88" s="21">
        <f>EXP(-LN(2)/25)*CL87+(1-EXP(-LN(2)/25))/(LN(2)/25)*Calculateur!CG88*Calculateur!CI88*VLOOKUP('Données projet'!$B$12,Paramètres!$A$1:$I$89,3,0)*0.475*44/12</f>
        <v>36.915466701575809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114.580077721385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67.514695287393778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247</v>
      </c>
      <c r="CR88" s="12">
        <f>VLOOKUP(A88,'Données projet'!$A$139:$I$159,9,0)</f>
        <v>3.8</v>
      </c>
      <c r="CS88" s="12">
        <f t="array" ref="CS88">INDEX(CR:CR,MIN(IF(ISNUMBER(CR88:CR284),ROW(CR88:CR284),"")))</f>
        <v>3.8</v>
      </c>
      <c r="CT88" s="12">
        <f>IF('Données projet'!$A$140&gt;35,CT87+CS88-DB87,IF(A88&lt;'Données projet'!$A$140,$CQ$205^A88,IF(A88='Données projet'!$A$140,'Données projet'!$B$140,CT87+CS88-DB87)))</f>
        <v>247.00000000000011</v>
      </c>
      <c r="CU88" s="17">
        <f>CT88*VLOOKUP('Données projet'!$B$13,Paramètres!$A$1:$I$89,3,0)*VLOOKUP('Données projet'!$B$13,Paramètres!$A$1:$I$89,5,0)</f>
        <v>161.83440000000007</v>
      </c>
      <c r="CV88" s="13">
        <f t="shared" si="95"/>
        <v>41.255994535170515</v>
      </c>
      <c r="CW88" s="20">
        <f t="shared" si="67"/>
        <v>353.71577048208877</v>
      </c>
      <c r="CX88" s="59">
        <f t="shared" si="68"/>
        <v>637.93631986919922</v>
      </c>
      <c r="CY88" s="59">
        <f ca="1">AVERAGE(OFFSET($CX$3,0,0,'Données projet'!$E$13+1,1))-AVERAGE(OFFSET($H$3,0,0,'Données projet'!$E$13+1,1))</f>
        <v>267.49254683294629</v>
      </c>
      <c r="CZ88" s="59">
        <f t="shared" si="96"/>
        <v>278.02595256967254</v>
      </c>
      <c r="DA88" s="15">
        <f>IF(ISNA(VLOOKUP(A88,'Données projet'!$A$139:$I$159,3,0)),0,VLOOKUP(A88,'Données projet'!$A$139:$I$159,3,0))</f>
        <v>16</v>
      </c>
      <c r="DB88" s="15">
        <f>IF(ISNA(VLOOKUP(A88,'Données projet'!$A$139:$I$159,4,0)),0,VLOOKUP(A88,'Données projet'!$A$139:$I$159,4,0))</f>
        <v>15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18.041863894655393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18.041863894655393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67.514695287393778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8.2910000000000021</v>
      </c>
      <c r="DO88" s="12">
        <f>IF('Données projet'!$A$166&gt;35,DO87+DN88-DW87,IF(A88&lt;'Données projet'!$A$166,$DL$205^A88,IF(A88='Données projet'!$A$166,'Données projet'!$B$166,DO87+DN88-DW87)))</f>
        <v>272.17100000000028</v>
      </c>
      <c r="DP88" s="17">
        <f>DO88*VLOOKUP('Données projet'!$B$14,Paramètres!$A$1:$I$89,3,0)*VLOOKUP('Données projet'!$B$14,Paramètres!$A$1:$I$89,5,0)</f>
        <v>246.26032080000024</v>
      </c>
      <c r="DQ88" s="13">
        <f t="shared" si="97"/>
        <v>59.784443753506842</v>
      </c>
      <c r="DR88" s="20">
        <f t="shared" si="70"/>
        <v>533.02796493069138</v>
      </c>
      <c r="DS88" s="59">
        <f t="shared" si="71"/>
        <v>817.24851431780189</v>
      </c>
      <c r="DT88" s="59">
        <f ca="1">AVERAGE(OFFSET($DS$3,0,0,'Données projet'!$E$14+1,1))-AVERAGE(OFFSET($H$3,0,0,'Données projet'!$E$14+1,1))</f>
        <v>602.02351907077332</v>
      </c>
      <c r="DU88" s="59">
        <f t="shared" si="98"/>
        <v>278.08067690827272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42.301145634231247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42.301145634231247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67.514695287393778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67.514695287393778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67.514695287393778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67.514695287393778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2.2000000000000002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8.0666666666666682</v>
      </c>
      <c r="H89" s="67">
        <f t="shared" si="56"/>
        <v>224.4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67.557809767848568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360.09035401555587</v>
      </c>
      <c r="T89" s="59">
        <f t="shared" si="88"/>
        <v>266.54879627869821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152.77168219099781</v>
      </c>
      <c r="AA89" s="21">
        <f>EXP(-LN(2)/25)*AA88+(1-EXP(-LN(2)/25))/(LN(2)/25)*Calculateur!V89*Calculateur!X89*VLOOKUP('Données projet'!$B$9,Paramètres!$A$1:$I$89,3,0)*0.475*44/12</f>
        <v>68.367820013032613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221.13950220403041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67.557809767848568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7.9879999999999969</v>
      </c>
      <c r="AI89" s="13">
        <f>IF('Données projet'!$A$62&gt;35,AI88+AH89-AQ88,IF(A89&lt;'Données projet'!$A$62,$AF$205^A89,IF(A89='Données projet'!$A$62,'Données projet'!$B$62,AI88+AH89-AQ88)))</f>
        <v>248.41400000000019</v>
      </c>
      <c r="AJ89" s="13">
        <f>AI89*VLOOKUP('Données projet'!$B$10,Paramètres!$A$1:$I$89,3,0)*VLOOKUP('Données projet'!$B$10,Paramètres!$A$1:$I$89,5,0)</f>
        <v>209.26395360000021</v>
      </c>
      <c r="AK89" s="13">
        <f t="shared" si="89"/>
        <v>51.774708187666221</v>
      </c>
      <c r="AL89" s="20">
        <f t="shared" si="58"/>
        <v>454.64233594685237</v>
      </c>
      <c r="AM89" s="59">
        <f t="shared" si="59"/>
        <v>739.02097176229711</v>
      </c>
      <c r="AN89" s="59">
        <f ca="1">AVERAGE(OFFSET($AM$3,0,0,'Données projet'!$E$10+1,1))-AVERAGE(OFFSET($H$3,0,0,'Données projet'!$E$10+1,1))</f>
        <v>377.26246345103175</v>
      </c>
      <c r="AO89" s="59">
        <f t="shared" si="90"/>
        <v>258.25890564000258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31.110076242694792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31.110076242694792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67.557809767848568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2.2737367544323206E-13</v>
      </c>
      <c r="BE89" s="13">
        <f>BD89*VLOOKUP('Données projet'!$B$11,Paramètres!$A$1:$I$89,3,0)*VLOOKUP('Données projet'!$B$11,Paramètres!$A$1:$I$89,5,0)</f>
        <v>1.0049916454590858E-13</v>
      </c>
      <c r="BF89" s="13">
        <f t="shared" si="91"/>
        <v>1.5089081593838289E-12</v>
      </c>
      <c r="BG89" s="20">
        <f t="shared" si="61"/>
        <v>2.8030510891776262E-12</v>
      </c>
      <c r="BH89" s="59">
        <f t="shared" si="62"/>
        <v>284.37863581544752</v>
      </c>
      <c r="BI89" s="59">
        <f ca="1">AVERAGE(OFFSET($BH$3,0,0,'Données projet'!$E$11+1,1))-AVERAGE(OFFSET($H$3,0,0,'Données projet'!$E$11+1,1))</f>
        <v>333.23043896066253</v>
      </c>
      <c r="BJ89" s="59">
        <f t="shared" si="92"/>
        <v>440.63438368668983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98.62888863595721</v>
      </c>
      <c r="BQ89" s="21">
        <f>EXP(-LN(2)/25)*BQ88+(1-EXP(-LN(2)/25))/(LN(2)/25)*Calculateur!BL89*Calculateur!BN89*VLOOKUP('Données projet'!$B$11,Paramètres!$A$1:$I$89,3,0)*0.475*44/12</f>
        <v>57.096659503561192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155.72554813951839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67.557809767848568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1.1368683772161603E-13</v>
      </c>
      <c r="BZ89" s="13">
        <f>BY89*VLOOKUP('Données projet'!$B$12,Paramètres!$A$1:$I$89,3,0)*VLOOKUP('Données projet'!$B$12,Paramètres!$A$1:$I$89,5,0)</f>
        <v>4.5815795601811263E-14</v>
      </c>
      <c r="CA89" s="13">
        <f t="shared" si="93"/>
        <v>7.5374618042508364E-13</v>
      </c>
      <c r="CB89" s="20">
        <f t="shared" si="64"/>
        <v>1.392570441580175E-12</v>
      </c>
      <c r="CC89" s="59">
        <f t="shared" si="65"/>
        <v>284.3786358154461</v>
      </c>
      <c r="CD89" s="59">
        <f ca="1">AVERAGE(OFFSET($CC$3,0,0,'Données projet'!$E$12+1,1))-AVERAGE(OFFSET($H$3,0,0,'Données projet'!$E$12+1,1))</f>
        <v>177.34129362526608</v>
      </c>
      <c r="CE89" s="59">
        <f t="shared" si="94"/>
        <v>156.93407673501022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76.141655368445981</v>
      </c>
      <c r="CL89" s="21">
        <f>EXP(-LN(2)/25)*CL88+(1-EXP(-LN(2)/25))/(LN(2)/25)*Calculateur!CG89*Calculateur!CI89*VLOOKUP('Données projet'!$B$12,Paramètres!$A$1:$I$89,3,0)*0.475*44/12</f>
        <v>35.906011323321195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112.04766669176718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67.557809767848568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3.6</v>
      </c>
      <c r="CT89" s="12">
        <f>IF('Données projet'!$A$140&gt;35,CT88+CS89-DB88,IF(A89&lt;'Données projet'!$A$140,$CQ$205^A89,IF(A89='Données projet'!$A$140,'Données projet'!$B$140,CT88+CS89-DB88)))</f>
        <v>235.60000000000011</v>
      </c>
      <c r="CU89" s="17">
        <f>CT89*VLOOKUP('Données projet'!$B$13,Paramètres!$A$1:$I$89,3,0)*VLOOKUP('Données projet'!$B$13,Paramètres!$A$1:$I$89,5,0)</f>
        <v>154.36512000000008</v>
      </c>
      <c r="CV89" s="13">
        <f t="shared" si="95"/>
        <v>39.568912624848309</v>
      </c>
      <c r="CW89" s="20">
        <f t="shared" si="67"/>
        <v>337.76844015494424</v>
      </c>
      <c r="CX89" s="59">
        <f t="shared" si="68"/>
        <v>622.14707597038898</v>
      </c>
      <c r="CY89" s="59">
        <f ca="1">AVERAGE(OFFSET($CX$3,0,0,'Données projet'!$E$13+1,1))-AVERAGE(OFFSET($H$3,0,0,'Données projet'!$E$13+1,1))</f>
        <v>267.49254683294629</v>
      </c>
      <c r="CZ89" s="59">
        <f t="shared" si="96"/>
        <v>278.02595256967254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17.688073948131578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17.688073948131578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67.557809767848568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8.2910000000000021</v>
      </c>
      <c r="DO89" s="12">
        <f>IF('Données projet'!$A$166&gt;35,DO88+DN89-DW88,IF(A89&lt;'Données projet'!$A$166,$DL$205^A89,IF(A89='Données projet'!$A$166,'Données projet'!$B$166,DO88+DN89-DW88)))</f>
        <v>280.46200000000027</v>
      </c>
      <c r="DP89" s="17">
        <f>DO89*VLOOKUP('Données projet'!$B$14,Paramètres!$A$1:$I$89,3,0)*VLOOKUP('Données projet'!$B$14,Paramètres!$A$1:$I$89,5,0)</f>
        <v>253.76201760000023</v>
      </c>
      <c r="DQ89" s="13">
        <f t="shared" si="97"/>
        <v>61.390818695638195</v>
      </c>
      <c r="DR89" s="20">
        <f t="shared" si="70"/>
        <v>548.89118988157031</v>
      </c>
      <c r="DS89" s="59">
        <f t="shared" si="71"/>
        <v>833.26982569701499</v>
      </c>
      <c r="DT89" s="59">
        <f ca="1">AVERAGE(OFFSET($DS$3,0,0,'Données projet'!$E$14+1,1))-AVERAGE(OFFSET($H$3,0,0,'Données projet'!$E$14+1,1))</f>
        <v>602.02351907077332</v>
      </c>
      <c r="DU89" s="59">
        <f t="shared" si="98"/>
        <v>278.08067690827272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41.471645969495157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41.471645969495157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67.557809767848568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67.557809767848568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67.557809767848568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67.557809767848568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2.2000000000000002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8.0666666666666682</v>
      </c>
      <c r="H90" s="67">
        <f t="shared" si="56"/>
        <v>224.4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67.60017630845698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360.09035401555587</v>
      </c>
      <c r="T90" s="59">
        <f t="shared" si="88"/>
        <v>266.54879627869821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149.77592268475757</v>
      </c>
      <c r="AA90" s="21">
        <f>EXP(-LN(2)/25)*AA89+(1-EXP(-LN(2)/25))/(LN(2)/25)*Calculateur!V90*Calculateur!X90*VLOOKUP('Données projet'!$B$9,Paramètres!$A$1:$I$89,3,0)*0.475*44/12</f>
        <v>66.498298379468835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216.27422106422642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67.60017630845698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7.9879999999999969</v>
      </c>
      <c r="AI90" s="13">
        <f>IF('Données projet'!$A$62&gt;35,AI89+AH90-AQ89,IF(A90&lt;'Données projet'!$A$62,$AF$205^A90,IF(A90='Données projet'!$A$62,'Données projet'!$B$62,AI89+AH90-AQ89)))</f>
        <v>256.40200000000016</v>
      </c>
      <c r="AJ90" s="13">
        <f>AI90*VLOOKUP('Données projet'!$B$10,Paramètres!$A$1:$I$89,3,0)*VLOOKUP('Données projet'!$B$10,Paramètres!$A$1:$I$89,5,0)</f>
        <v>215.99304480000018</v>
      </c>
      <c r="AK90" s="13">
        <f t="shared" si="89"/>
        <v>53.243064323023681</v>
      </c>
      <c r="AL90" s="20">
        <f t="shared" si="58"/>
        <v>468.91955672259991</v>
      </c>
      <c r="AM90" s="59">
        <f t="shared" si="59"/>
        <v>753.45353652027552</v>
      </c>
      <c r="AN90" s="59">
        <f ca="1">AVERAGE(OFFSET($AM$3,0,0,'Données projet'!$E$10+1,1))-AVERAGE(OFFSET($H$3,0,0,'Données projet'!$E$10+1,1))</f>
        <v>377.26246345103175</v>
      </c>
      <c r="AO90" s="59">
        <f t="shared" si="90"/>
        <v>258.25890564000258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30.500026622848402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30.500026622848402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67.60017630845698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2.2737367544323206E-13</v>
      </c>
      <c r="BE90" s="13">
        <f>BD90*VLOOKUP('Données projet'!$B$11,Paramètres!$A$1:$I$89,3,0)*VLOOKUP('Données projet'!$B$11,Paramètres!$A$1:$I$89,5,0)</f>
        <v>1.0049916454590858E-13</v>
      </c>
      <c r="BF90" s="13">
        <f t="shared" si="91"/>
        <v>1.5089081593838289E-12</v>
      </c>
      <c r="BG90" s="20">
        <f t="shared" si="61"/>
        <v>2.8030510891776262E-12</v>
      </c>
      <c r="BH90" s="59">
        <f t="shared" si="62"/>
        <v>284.5339797976784</v>
      </c>
      <c r="BI90" s="59">
        <f ca="1">AVERAGE(OFFSET($BH$3,0,0,'Données projet'!$E$11+1,1))-AVERAGE(OFFSET($H$3,0,0,'Données projet'!$E$11+1,1))</f>
        <v>333.23043896066253</v>
      </c>
      <c r="BJ90" s="59">
        <f t="shared" si="92"/>
        <v>440.63438368668983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96.694836287488073</v>
      </c>
      <c r="BQ90" s="21">
        <f>EXP(-LN(2)/25)*BQ89+(1-EXP(-LN(2)/25))/(LN(2)/25)*Calculateur!BL90*Calculateur!BN90*VLOOKUP('Données projet'!$B$11,Paramètres!$A$1:$I$89,3,0)*0.475*44/12</f>
        <v>55.535348346853482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152.23018463434155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67.60017630845698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1.1368683772161603E-13</v>
      </c>
      <c r="BZ90" s="13">
        <f>BY90*VLOOKUP('Données projet'!$B$12,Paramètres!$A$1:$I$89,3,0)*VLOOKUP('Données projet'!$B$12,Paramètres!$A$1:$I$89,5,0)</f>
        <v>4.5815795601811263E-14</v>
      </c>
      <c r="CA90" s="13">
        <f t="shared" si="93"/>
        <v>7.5374618042508364E-13</v>
      </c>
      <c r="CB90" s="20">
        <f t="shared" si="64"/>
        <v>1.392570441580175E-12</v>
      </c>
      <c r="CC90" s="59">
        <f t="shared" si="65"/>
        <v>284.53397979767698</v>
      </c>
      <c r="CD90" s="59">
        <f ca="1">AVERAGE(OFFSET($CC$3,0,0,'Données projet'!$E$12+1,1))-AVERAGE(OFFSET($H$3,0,0,'Données projet'!$E$12+1,1))</f>
        <v>177.34129362526608</v>
      </c>
      <c r="CE90" s="59">
        <f t="shared" si="94"/>
        <v>156.93407673501022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74.648563948494782</v>
      </c>
      <c r="CL90" s="21">
        <f>EXP(-LN(2)/25)*CL89+(1-EXP(-LN(2)/25))/(LN(2)/25)*Calculateur!CG90*Calculateur!CI90*VLOOKUP('Données projet'!$B$12,Paramètres!$A$1:$I$89,3,0)*0.475*44/12</f>
        <v>34.924159555469906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109.57272350396468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67.60017630845698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3.6</v>
      </c>
      <c r="CT90" s="12">
        <f>IF('Données projet'!$A$140&gt;35,CT89+CS90-DB89,IF(A90&lt;'Données projet'!$A$140,$CQ$205^A90,IF(A90='Données projet'!$A$140,'Données projet'!$B$140,CT89+CS90-DB89)))</f>
        <v>239.2000000000001</v>
      </c>
      <c r="CU90" s="17">
        <f>CT90*VLOOKUP('Données projet'!$B$13,Paramètres!$A$1:$I$89,3,0)*VLOOKUP('Données projet'!$B$13,Paramètres!$A$1:$I$89,5,0)</f>
        <v>156.72384000000008</v>
      </c>
      <c r="CV90" s="13">
        <f t="shared" si="95"/>
        <v>40.102680984620484</v>
      </c>
      <c r="CW90" s="20">
        <f t="shared" si="67"/>
        <v>342.80619071488081</v>
      </c>
      <c r="CX90" s="59">
        <f t="shared" si="68"/>
        <v>627.34017051255637</v>
      </c>
      <c r="CY90" s="59">
        <f ca="1">AVERAGE(OFFSET($CX$3,0,0,'Données projet'!$E$13+1,1))-AVERAGE(OFFSET($H$3,0,0,'Données projet'!$E$13+1,1))</f>
        <v>267.49254683294629</v>
      </c>
      <c r="CZ90" s="59">
        <f t="shared" si="96"/>
        <v>278.02595256967254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17.341221606668533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17.341221606668533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67.60017630845698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8.2910000000000021</v>
      </c>
      <c r="DO90" s="12">
        <f>IF('Données projet'!$A$166&gt;35,DO89+DN90-DW89,IF(A90&lt;'Données projet'!$A$166,$DL$205^A90,IF(A90='Données projet'!$A$166,'Données projet'!$B$166,DO89+DN90-DW89)))</f>
        <v>288.75300000000027</v>
      </c>
      <c r="DP90" s="17">
        <f>DO90*VLOOKUP('Données projet'!$B$14,Paramètres!$A$1:$I$89,3,0)*VLOOKUP('Données projet'!$B$14,Paramètres!$A$1:$I$89,5,0)</f>
        <v>261.26371440000025</v>
      </c>
      <c r="DQ90" s="13">
        <f t="shared" si="97"/>
        <v>62.991674736313257</v>
      </c>
      <c r="DR90" s="20">
        <f t="shared" si="70"/>
        <v>564.74480274574603</v>
      </c>
      <c r="DS90" s="59">
        <f t="shared" si="71"/>
        <v>849.27878254342158</v>
      </c>
      <c r="DT90" s="59">
        <f ca="1">AVERAGE(OFFSET($DS$3,0,0,'Données projet'!$E$14+1,1))-AVERAGE(OFFSET($H$3,0,0,'Données projet'!$E$14+1,1))</f>
        <v>602.02351907077332</v>
      </c>
      <c r="DU90" s="59">
        <f t="shared" si="98"/>
        <v>278.08067690827272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40.658412287239706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40.658412287239706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67.60017630845698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67.60017630845698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67.60017630845698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67.60017630845698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2.2000000000000002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8.0666666666666682</v>
      </c>
      <c r="H91" s="67">
        <f t="shared" si="56"/>
        <v>224.4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67.641807884303248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360.09035401555587</v>
      </c>
      <c r="T91" s="59">
        <f t="shared" si="88"/>
        <v>266.54879627869821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146.83890819520184</v>
      </c>
      <c r="AA91" s="21">
        <f>EXP(-LN(2)/25)*AA90+(1-EXP(-LN(2)/25))/(LN(2)/25)*Calculateur!V91*Calculateur!X91*VLOOKUP('Données projet'!$B$9,Paramètres!$A$1:$I$89,3,0)*0.475*44/12</f>
        <v>64.679898913288739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211.51880710849059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67.641807884303248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7.9879999999999969</v>
      </c>
      <c r="AI91" s="13">
        <f>IF('Données projet'!$A$62&gt;35,AI90+AH91-AQ90,IF(A91&lt;'Données projet'!$A$62,$AF$205^A91,IF(A91='Données projet'!$A$62,'Données projet'!$B$62,AI90+AH91-AQ90)))</f>
        <v>264.39000000000016</v>
      </c>
      <c r="AJ91" s="13">
        <f>AI91*VLOOKUP('Données projet'!$B$10,Paramètres!$A$1:$I$89,3,0)*VLOOKUP('Données projet'!$B$10,Paramètres!$A$1:$I$89,5,0)</f>
        <v>222.72213600000015</v>
      </c>
      <c r="AK91" s="13">
        <f t="shared" si="89"/>
        <v>54.70610442073766</v>
      </c>
      <c r="AL91" s="20">
        <f t="shared" si="58"/>
        <v>483.18751873278489</v>
      </c>
      <c r="AM91" s="59">
        <f t="shared" si="59"/>
        <v>767.8741476418968</v>
      </c>
      <c r="AN91" s="59">
        <f ca="1">AVERAGE(OFFSET($AM$3,0,0,'Données projet'!$E$10+1,1))-AVERAGE(OFFSET($H$3,0,0,'Données projet'!$E$10+1,1))</f>
        <v>377.26246345103175</v>
      </c>
      <c r="AO91" s="59">
        <f t="shared" si="90"/>
        <v>258.25890564000258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29.901939703953673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29.901939703953673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67.641807884303248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2.2737367544323206E-13</v>
      </c>
      <c r="BE91" s="13">
        <f>BD91*VLOOKUP('Données projet'!$B$11,Paramètres!$A$1:$I$89,3,0)*VLOOKUP('Données projet'!$B$11,Paramètres!$A$1:$I$89,5,0)</f>
        <v>1.0049916454590858E-13</v>
      </c>
      <c r="BF91" s="13">
        <f t="shared" si="91"/>
        <v>1.5089081593838289E-12</v>
      </c>
      <c r="BG91" s="20">
        <f t="shared" si="61"/>
        <v>2.8030510891776262E-12</v>
      </c>
      <c r="BH91" s="59">
        <f t="shared" si="62"/>
        <v>284.68662890911469</v>
      </c>
      <c r="BI91" s="59">
        <f ca="1">AVERAGE(OFFSET($BH$3,0,0,'Données projet'!$E$11+1,1))-AVERAGE(OFFSET($H$3,0,0,'Données projet'!$E$11+1,1))</f>
        <v>333.23043896066253</v>
      </c>
      <c r="BJ91" s="59">
        <f t="shared" si="92"/>
        <v>440.63438368668983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94.798709525916976</v>
      </c>
      <c r="BQ91" s="21">
        <f>EXP(-LN(2)/25)*BQ90+(1-EXP(-LN(2)/25))/(LN(2)/25)*Calculateur!BL91*Calculateur!BN91*VLOOKUP('Données projet'!$B$11,Paramètres!$A$1:$I$89,3,0)*0.475*44/12</f>
        <v>54.016731325831735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148.81544085174872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67.641807884303248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1.1368683772161603E-13</v>
      </c>
      <c r="BZ91" s="13">
        <f>BY91*VLOOKUP('Données projet'!$B$12,Paramètres!$A$1:$I$89,3,0)*VLOOKUP('Données projet'!$B$12,Paramètres!$A$1:$I$89,5,0)</f>
        <v>4.5815795601811263E-14</v>
      </c>
      <c r="CA91" s="13">
        <f t="shared" si="93"/>
        <v>7.5374618042508364E-13</v>
      </c>
      <c r="CB91" s="20">
        <f t="shared" si="64"/>
        <v>1.392570441580175E-12</v>
      </c>
      <c r="CC91" s="59">
        <f t="shared" si="65"/>
        <v>284.68662890911327</v>
      </c>
      <c r="CD91" s="59">
        <f ca="1">AVERAGE(OFFSET($CC$3,0,0,'Données projet'!$E$12+1,1))-AVERAGE(OFFSET($H$3,0,0,'Données projet'!$E$12+1,1))</f>
        <v>177.34129362526608</v>
      </c>
      <c r="CE91" s="59">
        <f t="shared" si="94"/>
        <v>156.93407673501022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73.184751140592979</v>
      </c>
      <c r="CL91" s="21">
        <f>EXP(-LN(2)/25)*CL90+(1-EXP(-LN(2)/25))/(LN(2)/25)*Calculateur!CG91*Calculateur!CI91*VLOOKUP('Données projet'!$B$12,Paramètres!$A$1:$I$89,3,0)*0.475*44/12</f>
        <v>33.969156575843847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107.15390771643683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67.641807884303248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3.6</v>
      </c>
      <c r="CT91" s="12">
        <f>IF('Données projet'!$A$140&gt;35,CT90+CS91-DB90,IF(A91&lt;'Données projet'!$A$140,$CQ$205^A91,IF(A91='Données projet'!$A$140,'Données projet'!$B$140,CT90+CS91-DB90)))</f>
        <v>242.8000000000001</v>
      </c>
      <c r="CU91" s="17">
        <f>CT91*VLOOKUP('Données projet'!$B$13,Paramètres!$A$1:$I$89,3,0)*VLOOKUP('Données projet'!$B$13,Paramètres!$A$1:$I$89,5,0)</f>
        <v>159.08256000000006</v>
      </c>
      <c r="CV91" s="13">
        <f t="shared" si="95"/>
        <v>40.635515049195902</v>
      </c>
      <c r="CW91" s="20">
        <f t="shared" si="67"/>
        <v>347.84231404401629</v>
      </c>
      <c r="CX91" s="59">
        <f t="shared" si="68"/>
        <v>632.52894295312819</v>
      </c>
      <c r="CY91" s="59">
        <f ca="1">AVERAGE(OFFSET($CX$3,0,0,'Données projet'!$E$13+1,1))-AVERAGE(OFFSET($H$3,0,0,'Données projet'!$E$13+1,1))</f>
        <v>267.49254683294629</v>
      </c>
      <c r="CZ91" s="59">
        <f t="shared" si="96"/>
        <v>278.02595256967254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17.001170828062541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17.001170828062541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67.641807884303248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8.2910000000000021</v>
      </c>
      <c r="DO91" s="12">
        <f>IF('Données projet'!$A$166&gt;35,DO90+DN91-DW90,IF(A91&lt;'Données projet'!$A$166,$DL$205^A91,IF(A91='Données projet'!$A$166,'Données projet'!$B$166,DO90+DN91-DW90)))</f>
        <v>297.04400000000027</v>
      </c>
      <c r="DP91" s="17">
        <f>DO91*VLOOKUP('Données projet'!$B$14,Paramètres!$A$1:$I$89,3,0)*VLOOKUP('Données projet'!$B$14,Paramètres!$A$1:$I$89,5,0)</f>
        <v>268.76541120000024</v>
      </c>
      <c r="DQ91" s="13">
        <f t="shared" si="97"/>
        <v>64.587188539623412</v>
      </c>
      <c r="DR91" s="20">
        <f t="shared" si="70"/>
        <v>580.58911121317794</v>
      </c>
      <c r="DS91" s="59">
        <f t="shared" si="71"/>
        <v>865.27574012228979</v>
      </c>
      <c r="DT91" s="59">
        <f ca="1">AVERAGE(OFFSET($DS$3,0,0,'Données projet'!$E$14+1,1))-AVERAGE(OFFSET($H$3,0,0,'Données projet'!$E$14+1,1))</f>
        <v>602.02351907077332</v>
      </c>
      <c r="DU91" s="59">
        <f t="shared" si="98"/>
        <v>278.08067690827272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39.861125621469718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39.861125621469718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67.641807884303248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67.641807884303248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67.641807884303248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67.641807884303248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2.2000000000000002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8.0666666666666682</v>
      </c>
      <c r="H92" s="67">
        <f t="shared" si="56"/>
        <v>224.4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67.682717245382833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360.09035401555587</v>
      </c>
      <c r="T92" s="59">
        <f t="shared" si="88"/>
        <v>266.54879627869821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143.95948676838432</v>
      </c>
      <c r="AA92" s="21">
        <f>EXP(-LN(2)/25)*AA91+(1-EXP(-LN(2)/25))/(LN(2)/25)*Calculateur!V92*Calculateur!X92*VLOOKUP('Données projet'!$B$9,Paramètres!$A$1:$I$89,3,0)*0.475*44/12</f>
        <v>62.9112236761368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206.87071044452114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67.682717245382833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7.9879999999999969</v>
      </c>
      <c r="AI92" s="13">
        <f>IF('Données projet'!$A$62&gt;35,AI91+AH92-AQ91,IF(A92&lt;'Données projet'!$A$62,$AF$205^A92,IF(A92='Données projet'!$A$62,'Données projet'!$B$62,AI91+AH92-AQ91)))</f>
        <v>272.37800000000016</v>
      </c>
      <c r="AJ92" s="13">
        <f>AI92*VLOOKUP('Données projet'!$B$10,Paramètres!$A$1:$I$89,3,0)*VLOOKUP('Données projet'!$B$10,Paramètres!$A$1:$I$89,5,0)</f>
        <v>229.45122720000015</v>
      </c>
      <c r="AK92" s="13">
        <f t="shared" si="89"/>
        <v>56.164007529639626</v>
      </c>
      <c r="AL92" s="20">
        <f t="shared" si="58"/>
        <v>497.44653382078923</v>
      </c>
      <c r="AM92" s="59">
        <f t="shared" si="59"/>
        <v>782.28316372052632</v>
      </c>
      <c r="AN92" s="59">
        <f ca="1">AVERAGE(OFFSET($AM$3,0,0,'Données projet'!$E$10+1,1))-AVERAGE(OFFSET($H$3,0,0,'Données projet'!$E$10+1,1))</f>
        <v>377.26246345103175</v>
      </c>
      <c r="AO92" s="59">
        <f t="shared" si="90"/>
        <v>258.25890564000258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29.31558090474147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29.31558090474147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67.682717245382833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2.2737367544323206E-13</v>
      </c>
      <c r="BE92" s="13">
        <f>BD92*VLOOKUP('Données projet'!$B$11,Paramètres!$A$1:$I$89,3,0)*VLOOKUP('Données projet'!$B$11,Paramètres!$A$1:$I$89,5,0)</f>
        <v>1.0049916454590858E-13</v>
      </c>
      <c r="BF92" s="13">
        <f t="shared" si="91"/>
        <v>1.5089081593838289E-12</v>
      </c>
      <c r="BG92" s="20">
        <f t="shared" si="61"/>
        <v>2.8030510891776262E-12</v>
      </c>
      <c r="BH92" s="59">
        <f t="shared" si="62"/>
        <v>284.83662989973982</v>
      </c>
      <c r="BI92" s="59">
        <f ca="1">AVERAGE(OFFSET($BH$3,0,0,'Données projet'!$E$11+1,1))-AVERAGE(OFFSET($H$3,0,0,'Données projet'!$E$11+1,1))</f>
        <v>333.23043896066253</v>
      </c>
      <c r="BJ92" s="59">
        <f t="shared" si="92"/>
        <v>440.63438368668983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92.939764653617161</v>
      </c>
      <c r="BQ92" s="21">
        <f>EXP(-LN(2)/25)*BQ91+(1-EXP(-LN(2)/25))/(LN(2)/25)*Calculateur!BL92*Calculateur!BN92*VLOOKUP('Données projet'!$B$11,Paramètres!$A$1:$I$89,3,0)*0.475*44/12</f>
        <v>52.539640967110422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145.47940562072759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67.682717245382833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1.1368683772161603E-13</v>
      </c>
      <c r="BZ92" s="13">
        <f>BY92*VLOOKUP('Données projet'!$B$12,Paramètres!$A$1:$I$89,3,0)*VLOOKUP('Données projet'!$B$12,Paramètres!$A$1:$I$89,5,0)</f>
        <v>4.5815795601811263E-14</v>
      </c>
      <c r="CA92" s="13">
        <f t="shared" si="93"/>
        <v>7.5374618042508364E-13</v>
      </c>
      <c r="CB92" s="20">
        <f t="shared" si="64"/>
        <v>1.392570441580175E-12</v>
      </c>
      <c r="CC92" s="59">
        <f t="shared" si="65"/>
        <v>284.8366298997384</v>
      </c>
      <c r="CD92" s="59">
        <f ca="1">AVERAGE(OFFSET($CC$3,0,0,'Données projet'!$E$12+1,1))-AVERAGE(OFFSET($H$3,0,0,'Données projet'!$E$12+1,1))</f>
        <v>177.34129362526608</v>
      </c>
      <c r="CE92" s="59">
        <f t="shared" si="94"/>
        <v>156.93407673501022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71.749642809016478</v>
      </c>
      <c r="CL92" s="21">
        <f>EXP(-LN(2)/25)*CL91+(1-EXP(-LN(2)/25))/(LN(2)/25)*Calculateur!CG92*Calculateur!CI92*VLOOKUP('Données projet'!$B$12,Paramètres!$A$1:$I$89,3,0)*0.475*44/12</f>
        <v>33.04026820291709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104.78991101193357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67.682717245382833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3.6</v>
      </c>
      <c r="CT92" s="12">
        <f>IF('Données projet'!$A$140&gt;35,CT91+CS92-DB91,IF(A92&lt;'Données projet'!$A$140,$CQ$205^A92,IF(A92='Données projet'!$A$140,'Données projet'!$B$140,CT91+CS92-DB91)))</f>
        <v>246.40000000000009</v>
      </c>
      <c r="CU92" s="17">
        <f>CT92*VLOOKUP('Données projet'!$B$13,Paramètres!$A$1:$I$89,3,0)*VLOOKUP('Données projet'!$B$13,Paramètres!$A$1:$I$89,5,0)</f>
        <v>161.44128000000006</v>
      </c>
      <c r="CV92" s="13">
        <f t="shared" si="95"/>
        <v>41.167430271655704</v>
      </c>
      <c r="CW92" s="20">
        <f t="shared" si="67"/>
        <v>352.87683705646708</v>
      </c>
      <c r="CX92" s="59">
        <f t="shared" si="68"/>
        <v>637.71346695620412</v>
      </c>
      <c r="CY92" s="59">
        <f ca="1">AVERAGE(OFFSET($CX$3,0,0,'Données projet'!$E$13+1,1))-AVERAGE(OFFSET($H$3,0,0,'Données projet'!$E$13+1,1))</f>
        <v>267.49254683294629</v>
      </c>
      <c r="CZ92" s="59">
        <f t="shared" si="96"/>
        <v>278.02595256967254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16.66778823781452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16.66778823781452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67.682717245382833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8.2910000000000021</v>
      </c>
      <c r="DO92" s="12">
        <f>IF('Données projet'!$A$166&gt;35,DO91+DN92-DW91,IF(A92&lt;'Données projet'!$A$166,$DL$205^A92,IF(A92='Données projet'!$A$166,'Données projet'!$B$166,DO91+DN92-DW91)))</f>
        <v>305.33500000000026</v>
      </c>
      <c r="DP92" s="17">
        <f>DO92*VLOOKUP('Données projet'!$B$14,Paramètres!$A$1:$I$89,3,0)*VLOOKUP('Données projet'!$B$14,Paramètres!$A$1:$I$89,5,0)</f>
        <v>276.26710800000023</v>
      </c>
      <c r="DQ92" s="13">
        <f t="shared" si="97"/>
        <v>66.177526346547864</v>
      </c>
      <c r="DR92" s="20">
        <f t="shared" si="70"/>
        <v>596.42440482023801</v>
      </c>
      <c r="DS92" s="59">
        <f t="shared" si="71"/>
        <v>881.26103471997499</v>
      </c>
      <c r="DT92" s="59">
        <f ca="1">AVERAGE(OFFSET($DS$3,0,0,'Données projet'!$E$14+1,1))-AVERAGE(OFFSET($H$3,0,0,'Données projet'!$E$14+1,1))</f>
        <v>602.02351907077332</v>
      </c>
      <c r="DU92" s="59">
        <f t="shared" si="98"/>
        <v>278.08067690827272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39.079473260918625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39.079473260918625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67.682717245382833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67.682717245382833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67.682717245382833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67.682717245382833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2.2000000000000002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8.0666666666666682</v>
      </c>
      <c r="H93" s="67">
        <f t="shared" si="56"/>
        <v>224.4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67.72291692050733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360.09035401555587</v>
      </c>
      <c r="T93" s="59">
        <f t="shared" si="88"/>
        <v>266.54879627869821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141.13652903947306</v>
      </c>
      <c r="AA93" s="21">
        <f>EXP(-LN(2)/25)*AA92+(1-EXP(-LN(2)/25))/(LN(2)/25)*Calculateur!V93*Calculateur!X93*VLOOKUP('Données projet'!$B$9,Paramètres!$A$1:$I$89,3,0)*0.475*44/12</f>
        <v>61.190912956355369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202.32744199582842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67.72291692050733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7.9879999999999969</v>
      </c>
      <c r="AI93" s="13">
        <f>IF('Données projet'!$A$62&gt;35,AI92+AH93-AQ92,IF(A93&lt;'Données projet'!$A$62,$AF$205^A93,IF(A93='Données projet'!$A$62,'Données projet'!$B$62,AI92+AH93-AQ92)))</f>
        <v>280.36600000000016</v>
      </c>
      <c r="AJ93" s="13">
        <f>AI93*VLOOKUP('Données projet'!$B$10,Paramètres!$A$1:$I$89,3,0)*VLOOKUP('Données projet'!$B$10,Paramètres!$A$1:$I$89,5,0)</f>
        <v>236.18031840000015</v>
      </c>
      <c r="AK93" s="13">
        <f t="shared" si="89"/>
        <v>57.61694159958833</v>
      </c>
      <c r="AL93" s="20">
        <f t="shared" si="58"/>
        <v>511.69689449928336</v>
      </c>
      <c r="AM93" s="59">
        <f t="shared" si="59"/>
        <v>796.68092320781022</v>
      </c>
      <c r="AN93" s="59">
        <f ca="1">AVERAGE(OFFSET($AM$3,0,0,'Données projet'!$E$10+1,1))-AVERAGE(OFFSET($H$3,0,0,'Données projet'!$E$10+1,1))</f>
        <v>377.26246345103175</v>
      </c>
      <c r="AO93" s="59">
        <f t="shared" si="90"/>
        <v>258.25890564000258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28.740720243938267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28.740720243938267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67.72291692050733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2.2737367544323206E-13</v>
      </c>
      <c r="BE93" s="13">
        <f>BD93*VLOOKUP('Données projet'!$B$11,Paramètres!$A$1:$I$89,3,0)*VLOOKUP('Données projet'!$B$11,Paramètres!$A$1:$I$89,5,0)</f>
        <v>1.0049916454590858E-13</v>
      </c>
      <c r="BF93" s="13">
        <f t="shared" si="91"/>
        <v>1.5089081593838289E-12</v>
      </c>
      <c r="BG93" s="20">
        <f t="shared" si="61"/>
        <v>2.8030510891776262E-12</v>
      </c>
      <c r="BH93" s="59">
        <f t="shared" si="62"/>
        <v>284.98402870852965</v>
      </c>
      <c r="BI93" s="59">
        <f ca="1">AVERAGE(OFFSET($BH$3,0,0,'Données projet'!$E$11+1,1))-AVERAGE(OFFSET($H$3,0,0,'Données projet'!$E$11+1,1))</f>
        <v>333.23043896066253</v>
      </c>
      <c r="BJ93" s="59">
        <f t="shared" si="92"/>
        <v>440.63438368668983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91.117272556418726</v>
      </c>
      <c r="BQ93" s="21">
        <f>EXP(-LN(2)/25)*BQ92+(1-EXP(-LN(2)/25))/(LN(2)/25)*Calculateur!BL93*Calculateur!BN93*VLOOKUP('Données projet'!$B$11,Paramètres!$A$1:$I$89,3,0)*0.475*44/12</f>
        <v>51.102941721925148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142.22021427834386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67.72291692050733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1.1368683772161603E-13</v>
      </c>
      <c r="BZ93" s="13">
        <f>BY93*VLOOKUP('Données projet'!$B$12,Paramètres!$A$1:$I$89,3,0)*VLOOKUP('Données projet'!$B$12,Paramètres!$A$1:$I$89,5,0)</f>
        <v>4.5815795601811263E-14</v>
      </c>
      <c r="CA93" s="13">
        <f t="shared" si="93"/>
        <v>7.5374618042508364E-13</v>
      </c>
      <c r="CB93" s="20">
        <f t="shared" si="64"/>
        <v>1.392570441580175E-12</v>
      </c>
      <c r="CC93" s="59">
        <f t="shared" si="65"/>
        <v>284.98402870852823</v>
      </c>
      <c r="CD93" s="59">
        <f ca="1">AVERAGE(OFFSET($CC$3,0,0,'Données projet'!$E$12+1,1))-AVERAGE(OFFSET($H$3,0,0,'Données projet'!$E$12+1,1))</f>
        <v>177.34129362526608</v>
      </c>
      <c r="CE93" s="59">
        <f t="shared" si="94"/>
        <v>156.93407673501022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70.342676076492552</v>
      </c>
      <c r="CL93" s="21">
        <f>EXP(-LN(2)/25)*CL92+(1-EXP(-LN(2)/25))/(LN(2)/25)*Calculateur!CG93*Calculateur!CI93*VLOOKUP('Données projet'!$B$12,Paramètres!$A$1:$I$89,3,0)*0.475*44/12</f>
        <v>32.136780331396132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102.47945640788868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67.72291692050733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250</v>
      </c>
      <c r="CR93" s="12">
        <f>VLOOKUP(A93,'Données projet'!$A$139:$I$159,9,0)</f>
        <v>3.6</v>
      </c>
      <c r="CS93" s="12">
        <f t="array" ref="CS93">INDEX(CR:CR,MIN(IF(ISNUMBER(CR93:CR289),ROW(CR93:CR289),"")))</f>
        <v>3.6</v>
      </c>
      <c r="CT93" s="12">
        <f>IF('Données projet'!$A$140&gt;35,CT92+CS93-DB92,IF(A93&lt;'Données projet'!$A$140,$CQ$205^A93,IF(A93='Données projet'!$A$140,'Données projet'!$B$140,CT92+CS93-DB92)))</f>
        <v>250.00000000000009</v>
      </c>
      <c r="CU93" s="17">
        <f>CT93*VLOOKUP('Données projet'!$B$13,Paramètres!$A$1:$I$89,3,0)*VLOOKUP('Données projet'!$B$13,Paramètres!$A$1:$I$89,5,0)</f>
        <v>163.80000000000004</v>
      </c>
      <c r="CV93" s="13">
        <f t="shared" si="95"/>
        <v>41.698441627605334</v>
      </c>
      <c r="CW93" s="20">
        <f t="shared" si="67"/>
        <v>357.90978583474595</v>
      </c>
      <c r="CX93" s="59">
        <f t="shared" si="68"/>
        <v>642.89381454327281</v>
      </c>
      <c r="CY93" s="59">
        <f ca="1">AVERAGE(OFFSET($CX$3,0,0,'Données projet'!$E$13+1,1))-AVERAGE(OFFSET($H$3,0,0,'Données projet'!$E$13+1,1))</f>
        <v>267.49254683294629</v>
      </c>
      <c r="CZ93" s="59">
        <f t="shared" si="96"/>
        <v>278.02595256967254</v>
      </c>
      <c r="DA93" s="15">
        <f>IF(ISNA(VLOOKUP(A93,'Données projet'!$A$139:$I$159,3,0)),0,VLOOKUP(A93,'Données projet'!$A$139:$I$159,3,0))</f>
        <v>17</v>
      </c>
      <c r="DB93" s="15">
        <f>IF(ISNA(VLOOKUP(A93,'Données projet'!$A$139:$I$159,4,0)),0,VLOOKUP(A93,'Données projet'!$A$139:$I$159,4,0))</f>
        <v>250</v>
      </c>
      <c r="DC93" s="16">
        <f>IF(ISNA(VLOOKUP(A93,'Données projet'!$A$139:$I$159,5,0)),0%,VLOOKUP(A93,'Données projet'!$A$139:$I$159,5,0)*VLOOKUP('Données projet'!$B$13,Paramètres!$A$1:$I$89,7,0))</f>
        <v>0.25800000000000001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63.058563504032243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63.058563504032243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67.72291692050733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8.2910000000000021</v>
      </c>
      <c r="DO93" s="12">
        <f>IF('Données projet'!$A$166&gt;35,DO92+DN93-DW92,IF(A93&lt;'Données projet'!$A$166,$DL$205^A93,IF(A93='Données projet'!$A$166,'Données projet'!$B$166,DO92+DN93-DW92)))</f>
        <v>313.62600000000026</v>
      </c>
      <c r="DP93" s="17">
        <f>DO93*VLOOKUP('Données projet'!$B$14,Paramètres!$A$1:$I$89,3,0)*VLOOKUP('Données projet'!$B$14,Paramètres!$A$1:$I$89,5,0)</f>
        <v>283.76880480000023</v>
      </c>
      <c r="DQ93" s="13">
        <f t="shared" si="97"/>
        <v>67.762844856024827</v>
      </c>
      <c r="DR93" s="20">
        <f t="shared" si="70"/>
        <v>612.2509564842436</v>
      </c>
      <c r="DS93" s="59">
        <f t="shared" si="71"/>
        <v>897.23498519277041</v>
      </c>
      <c r="DT93" s="59">
        <f ca="1">AVERAGE(OFFSET($DS$3,0,0,'Données projet'!$E$14+1,1))-AVERAGE(OFFSET($H$3,0,0,'Données projet'!$E$14+1,1))</f>
        <v>602.02351907077332</v>
      </c>
      <c r="DU93" s="59">
        <f t="shared" si="98"/>
        <v>278.08067690827272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38.31314862639708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38.31314862639708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67.72291692050733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67.72291692050733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67.72291692050733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67.72291692050733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2.2000000000000002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8.0666666666666682</v>
      </c>
      <c r="H94" s="67">
        <f t="shared" si="56"/>
        <v>224.4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67.762419221141414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360.09035401555587</v>
      </c>
      <c r="T94" s="59">
        <f t="shared" si="88"/>
        <v>266.54879627869821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138.36892778979154</v>
      </c>
      <c r="AA94" s="21">
        <f>EXP(-LN(2)/25)*AA93+(1-EXP(-LN(2)/25))/(LN(2)/25)*Calculateur!V94*Calculateur!X94*VLOOKUP('Données projet'!$B$9,Paramètres!$A$1:$I$89,3,0)*0.475*44/12</f>
        <v>59.517644223673571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197.88657201346513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67.762419221141414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7.9879999999999969</v>
      </c>
      <c r="AI94" s="13">
        <f>IF('Données projet'!$A$62&gt;35,AI93+AH94-AQ93,IF(A94&lt;'Données projet'!$A$62,$AF$205^A94,IF(A94='Données projet'!$A$62,'Données projet'!$B$62,AI93+AH94-AQ93)))</f>
        <v>288.35400000000016</v>
      </c>
      <c r="AJ94" s="13">
        <f>AI94*VLOOKUP('Données projet'!$B$10,Paramètres!$A$1:$I$89,3,0)*VLOOKUP('Données projet'!$B$10,Paramètres!$A$1:$I$89,5,0)</f>
        <v>242.90940960000015</v>
      </c>
      <c r="AK94" s="13">
        <f t="shared" si="89"/>
        <v>59.065064465860083</v>
      </c>
      <c r="AL94" s="20">
        <f t="shared" si="58"/>
        <v>525.93887566470653</v>
      </c>
      <c r="AM94" s="59">
        <f t="shared" si="59"/>
        <v>811.06774614222513</v>
      </c>
      <c r="AN94" s="59">
        <f ca="1">AVERAGE(OFFSET($AM$3,0,0,'Données projet'!$E$10+1,1))-AVERAGE(OFFSET($H$3,0,0,'Données projet'!$E$10+1,1))</f>
        <v>377.26246345103175</v>
      </c>
      <c r="AO94" s="59">
        <f t="shared" si="90"/>
        <v>258.25890564000258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28.177132250063032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28.177132250063032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67.762419221141414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2.2737367544323206E-13</v>
      </c>
      <c r="BE94" s="13">
        <f>BD94*VLOOKUP('Données projet'!$B$11,Paramètres!$A$1:$I$89,3,0)*VLOOKUP('Données projet'!$B$11,Paramètres!$A$1:$I$89,5,0)</f>
        <v>1.0049916454590858E-13</v>
      </c>
      <c r="BF94" s="13">
        <f t="shared" si="91"/>
        <v>1.5089081593838289E-12</v>
      </c>
      <c r="BG94" s="20">
        <f t="shared" si="61"/>
        <v>2.8030510891776262E-12</v>
      </c>
      <c r="BH94" s="59">
        <f t="shared" si="62"/>
        <v>285.12887047752133</v>
      </c>
      <c r="BI94" s="59">
        <f ca="1">AVERAGE(OFFSET($BH$3,0,0,'Données projet'!$E$11+1,1))-AVERAGE(OFFSET($H$3,0,0,'Données projet'!$E$11+1,1))</f>
        <v>333.23043896066253</v>
      </c>
      <c r="BJ94" s="59">
        <f t="shared" si="92"/>
        <v>440.63438368668983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89.330518417635929</v>
      </c>
      <c r="BQ94" s="21">
        <f>EXP(-LN(2)/25)*BQ93+(1-EXP(-LN(2)/25))/(LN(2)/25)*Calculateur!BL94*Calculateur!BN94*VLOOKUP('Données projet'!$B$11,Paramètres!$A$1:$I$89,3,0)*0.475*44/12</f>
        <v>49.705529093152201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139.03604751078814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67.762419221141414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1.1368683772161603E-13</v>
      </c>
      <c r="BZ94" s="13">
        <f>BY94*VLOOKUP('Données projet'!$B$12,Paramètres!$A$1:$I$89,3,0)*VLOOKUP('Données projet'!$B$12,Paramètres!$A$1:$I$89,5,0)</f>
        <v>4.5815795601811263E-14</v>
      </c>
      <c r="CA94" s="13">
        <f t="shared" si="93"/>
        <v>7.5374618042508364E-13</v>
      </c>
      <c r="CB94" s="20">
        <f t="shared" si="64"/>
        <v>1.392570441580175E-12</v>
      </c>
      <c r="CC94" s="59">
        <f t="shared" si="65"/>
        <v>285.12887047751991</v>
      </c>
      <c r="CD94" s="59">
        <f ca="1">AVERAGE(OFFSET($CC$3,0,0,'Données projet'!$E$12+1,1))-AVERAGE(OFFSET($H$3,0,0,'Données projet'!$E$12+1,1))</f>
        <v>177.34129362526608</v>
      </c>
      <c r="CE94" s="59">
        <f t="shared" si="94"/>
        <v>156.93407673501022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68.96329910342844</v>
      </c>
      <c r="CL94" s="21">
        <f>EXP(-LN(2)/25)*CL93+(1-EXP(-LN(2)/25))/(LN(2)/25)*Calculateur!CG94*Calculateur!CI94*VLOOKUP('Données projet'!$B$12,Paramètres!$A$1:$I$89,3,0)*0.475*44/12</f>
        <v>31.257998383234277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100.22129748666272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67.762419221141414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8.5265128291212022E-14</v>
      </c>
      <c r="CU94" s="17">
        <f>CT94*VLOOKUP('Données projet'!$B$13,Paramètres!$A$1:$I$89,3,0)*VLOOKUP('Données projet'!$B$13,Paramètres!$A$1:$I$89,5,0)</f>
        <v>5.5865712056402117E-14</v>
      </c>
      <c r="CV94" s="13">
        <f t="shared" si="95"/>
        <v>8.9811031843713517E-13</v>
      </c>
      <c r="CW94" s="20">
        <f t="shared" si="67"/>
        <v>1.6615082531095774E-12</v>
      </c>
      <c r="CX94" s="59">
        <f t="shared" si="68"/>
        <v>285.12887047752019</v>
      </c>
      <c r="CY94" s="59">
        <f ca="1">AVERAGE(OFFSET($CX$3,0,0,'Données projet'!$E$13+1,1))-AVERAGE(OFFSET($H$3,0,0,'Données projet'!$E$13+1,1))</f>
        <v>267.49254683294629</v>
      </c>
      <c r="CZ94" s="59">
        <f t="shared" si="96"/>
        <v>278.02595256967254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61.822023535644107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61.822023535644107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67.762419221141414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8.2910000000000021</v>
      </c>
      <c r="DO94" s="12">
        <f>IF('Données projet'!$A$166&gt;35,DO93+DN94-DW93,IF(A94&lt;'Données projet'!$A$166,$DL$205^A94,IF(A94='Données projet'!$A$166,'Données projet'!$B$166,DO93+DN94-DW93)))</f>
        <v>321.91700000000026</v>
      </c>
      <c r="DP94" s="17">
        <f>DO94*VLOOKUP('Données projet'!$B$14,Paramètres!$A$1:$I$89,3,0)*VLOOKUP('Données projet'!$B$14,Paramètres!$A$1:$I$89,5,0)</f>
        <v>291.27050160000022</v>
      </c>
      <c r="DQ94" s="13">
        <f t="shared" si="97"/>
        <v>69.343292010233441</v>
      </c>
      <c r="DR94" s="20">
        <f t="shared" si="70"/>
        <v>628.0690238711569</v>
      </c>
      <c r="DS94" s="59">
        <f t="shared" si="71"/>
        <v>913.19789434867539</v>
      </c>
      <c r="DT94" s="59">
        <f ca="1">AVERAGE(OFFSET($DS$3,0,0,'Données projet'!$E$14+1,1))-AVERAGE(OFFSET($H$3,0,0,'Données projet'!$E$14+1,1))</f>
        <v>602.02351907077332</v>
      </c>
      <c r="DU94" s="59">
        <f t="shared" si="98"/>
        <v>278.08067690827272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37.561851150546623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37.561851150546623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67.762419221141414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67.762419221141414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67.762419221141414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67.762419221141414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2.2000000000000002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8.0666666666666682</v>
      </c>
      <c r="H95" s="67">
        <f t="shared" si="56"/>
        <v>224.4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67.801236245173413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360.09035401555587</v>
      </c>
      <c r="T95" s="59">
        <f t="shared" si="88"/>
        <v>266.54879627869821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135.65559751254619</v>
      </c>
      <c r="AA95" s="21">
        <f>EXP(-LN(2)/25)*AA94+(1-EXP(-LN(2)/25))/(LN(2)/25)*Calculateur!V95*Calculateur!X95*VLOOKUP('Données projet'!$B$9,Paramètres!$A$1:$I$89,3,0)*0.475*44/12</f>
        <v>57.89013111248034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193.54572862502653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67.801236245173413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7.9879999999999969</v>
      </c>
      <c r="AI95" s="13">
        <f>IF('Données projet'!$A$62&gt;35,AI94+AH95-AQ94,IF(A95&lt;'Données projet'!$A$62,$AF$205^A95,IF(A95='Données projet'!$A$62,'Données projet'!$B$62,AI94+AH95-AQ94)))</f>
        <v>296.34200000000016</v>
      </c>
      <c r="AJ95" s="13">
        <f>AI95*VLOOKUP('Données projet'!$B$10,Paramètres!$A$1:$I$89,3,0)*VLOOKUP('Données projet'!$B$10,Paramètres!$A$1:$I$89,5,0)</f>
        <v>249.63850080000017</v>
      </c>
      <c r="AK95" s="13">
        <f t="shared" si="89"/>
        <v>60.508524721393243</v>
      </c>
      <c r="AL95" s="20">
        <f t="shared" si="58"/>
        <v>540.17273611642679</v>
      </c>
      <c r="AM95" s="59">
        <f t="shared" si="59"/>
        <v>825.4439356820626</v>
      </c>
      <c r="AN95" s="59">
        <f ca="1">AVERAGE(OFFSET($AM$3,0,0,'Données projet'!$E$10+1,1))-AVERAGE(OFFSET($H$3,0,0,'Données projet'!$E$10+1,1))</f>
        <v>377.26246345103175</v>
      </c>
      <c r="AO95" s="59">
        <f t="shared" si="90"/>
        <v>258.25890564000258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27.624595872992955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27.624595872992955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67.801236245173413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2.2737367544323206E-13</v>
      </c>
      <c r="BE95" s="13">
        <f>BD95*VLOOKUP('Données projet'!$B$11,Paramètres!$A$1:$I$89,3,0)*VLOOKUP('Données projet'!$B$11,Paramètres!$A$1:$I$89,5,0)</f>
        <v>1.0049916454590858E-13</v>
      </c>
      <c r="BF95" s="13">
        <f t="shared" si="91"/>
        <v>1.5089081593838289E-12</v>
      </c>
      <c r="BG95" s="20">
        <f t="shared" si="61"/>
        <v>2.8030510891776262E-12</v>
      </c>
      <c r="BH95" s="59">
        <f t="shared" si="62"/>
        <v>285.27119956563865</v>
      </c>
      <c r="BI95" s="59">
        <f ca="1">AVERAGE(OFFSET($BH$3,0,0,'Données projet'!$E$11+1,1))-AVERAGE(OFFSET($H$3,0,0,'Données projet'!$E$11+1,1))</f>
        <v>333.23043896066253</v>
      </c>
      <c r="BJ95" s="59">
        <f t="shared" si="92"/>
        <v>440.63438368668983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87.578801437702253</v>
      </c>
      <c r="BQ95" s="21">
        <f>EXP(-LN(2)/25)*BQ94+(1-EXP(-LN(2)/25))/(LN(2)/25)*Calculateur!BL95*Calculateur!BN95*VLOOKUP('Données projet'!$B$11,Paramètres!$A$1:$I$89,3,0)*0.475*44/12</f>
        <v>48.346328786199784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135.92513022390204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67.801236245173413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1.1368683772161603E-13</v>
      </c>
      <c r="BZ95" s="13">
        <f>BY95*VLOOKUP('Données projet'!$B$12,Paramètres!$A$1:$I$89,3,0)*VLOOKUP('Données projet'!$B$12,Paramètres!$A$1:$I$89,5,0)</f>
        <v>4.5815795601811263E-14</v>
      </c>
      <c r="CA95" s="13">
        <f t="shared" si="93"/>
        <v>7.5374618042508364E-13</v>
      </c>
      <c r="CB95" s="20">
        <f t="shared" si="64"/>
        <v>1.392570441580175E-12</v>
      </c>
      <c r="CC95" s="59">
        <f t="shared" si="65"/>
        <v>285.27119956563723</v>
      </c>
      <c r="CD95" s="59">
        <f ca="1">AVERAGE(OFFSET($CC$3,0,0,'Données projet'!$E$12+1,1))-AVERAGE(OFFSET($H$3,0,0,'Données projet'!$E$12+1,1))</f>
        <v>177.34129362526608</v>
      </c>
      <c r="CE95" s="59">
        <f t="shared" si="94"/>
        <v>156.93407673501022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67.610970871469235</v>
      </c>
      <c r="CL95" s="21">
        <f>EXP(-LN(2)/25)*CL94+(1-EXP(-LN(2)/25))/(LN(2)/25)*Calculateur!CG95*Calculateur!CI95*VLOOKUP('Données projet'!$B$12,Paramètres!$A$1:$I$89,3,0)*0.475*44/12</f>
        <v>30.40324677365804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98.014217645127275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67.801236245173413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8.5265128291212022E-14</v>
      </c>
      <c r="CU95" s="17">
        <f>CT95*VLOOKUP('Données projet'!$B$13,Paramètres!$A$1:$I$89,3,0)*VLOOKUP('Données projet'!$B$13,Paramètres!$A$1:$I$89,5,0)</f>
        <v>5.5865712056402117E-14</v>
      </c>
      <c r="CV95" s="13">
        <f t="shared" si="95"/>
        <v>8.9811031843713517E-13</v>
      </c>
      <c r="CW95" s="20">
        <f t="shared" si="67"/>
        <v>1.6615082531095774E-12</v>
      </c>
      <c r="CX95" s="59">
        <f t="shared" si="68"/>
        <v>285.27119956563752</v>
      </c>
      <c r="CY95" s="59">
        <f ca="1">AVERAGE(OFFSET($CX$3,0,0,'Données projet'!$E$13+1,1))-AVERAGE(OFFSET($H$3,0,0,'Données projet'!$E$13+1,1))</f>
        <v>267.49254683294629</v>
      </c>
      <c r="CZ95" s="59">
        <f t="shared" si="96"/>
        <v>278.02595256967254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60.609731361821154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60.609731361821154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67.801236245173413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8.2910000000000021</v>
      </c>
      <c r="DO95" s="12">
        <f>IF('Données projet'!$A$166&gt;35,DO94+DN95-DW94,IF(A95&lt;'Données projet'!$A$166,$DL$205^A95,IF(A95='Données projet'!$A$166,'Données projet'!$B$166,DO94+DN95-DW94)))</f>
        <v>330.20800000000025</v>
      </c>
      <c r="DP95" s="17">
        <f>DO95*VLOOKUP('Données projet'!$B$14,Paramètres!$A$1:$I$89,3,0)*VLOOKUP('Données projet'!$B$14,Paramètres!$A$1:$I$89,5,0)</f>
        <v>298.77219840000021</v>
      </c>
      <c r="DQ95" s="13">
        <f t="shared" si="97"/>
        <v>70.919007696700163</v>
      </c>
      <c r="DR95" s="20">
        <f t="shared" si="70"/>
        <v>643.87885061841985</v>
      </c>
      <c r="DS95" s="59">
        <f t="shared" si="71"/>
        <v>929.15005018405577</v>
      </c>
      <c r="DT95" s="59">
        <f ca="1">AVERAGE(OFFSET($DS$3,0,0,'Données projet'!$E$14+1,1))-AVERAGE(OFFSET($H$3,0,0,'Données projet'!$E$14+1,1))</f>
        <v>602.02351907077332</v>
      </c>
      <c r="DU95" s="59">
        <f t="shared" si="98"/>
        <v>278.08067690827272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36.825286159951382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36.825286159951382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67.801236245173413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67.801236245173413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67.801236245173413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67.801236245173413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2.2000000000000002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8.0666666666666682</v>
      </c>
      <c r="H96" s="67">
        <f t="shared" si="56"/>
        <v>224.4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67.839379880620328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360.09035401555587</v>
      </c>
      <c r="T96" s="59">
        <f t="shared" si="88"/>
        <v>266.54879627869821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132.99547398706957</v>
      </c>
      <c r="AA96" s="21">
        <f>EXP(-LN(2)/25)*AA95+(1-EXP(-LN(2)/25))/(LN(2)/25)*Calculateur!V96*Calculateur!X96*VLOOKUP('Données projet'!$B$9,Paramètres!$A$1:$I$89,3,0)*0.475*44/12</f>
        <v>56.307122432899881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189.30259641996946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67.839379880620328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304.33</v>
      </c>
      <c r="AG96" s="12">
        <f>VLOOKUP(A96,'Données projet'!$A$61:$I$81,9,0)</f>
        <v>7.9879999999999969</v>
      </c>
      <c r="AH96" s="12">
        <f t="array" ref="AH96">INDEX(AG:AG,MIN(IF(ISNUMBER(AG96:AG292),ROW(AG96:AG292),"")))</f>
        <v>7.9879999999999969</v>
      </c>
      <c r="AI96" s="13">
        <f>IF('Données projet'!$A$62&gt;35,AI95+AH96-AQ95,IF(A96&lt;'Données projet'!$A$62,$AF$205^A96,IF(A96='Données projet'!$A$62,'Données projet'!$B$62,AI95+AH96-AQ95)))</f>
        <v>304.33000000000015</v>
      </c>
      <c r="AJ96" s="13">
        <f>AI96*VLOOKUP('Données projet'!$B$10,Paramètres!$A$1:$I$89,3,0)*VLOOKUP('Données projet'!$B$10,Paramètres!$A$1:$I$89,5,0)</f>
        <v>256.36759200000012</v>
      </c>
      <c r="AK96" s="13">
        <f t="shared" si="89"/>
        <v>61.947462492340996</v>
      </c>
      <c r="AL96" s="20">
        <f t="shared" si="58"/>
        <v>554.39871990749418</v>
      </c>
      <c r="AM96" s="59">
        <f t="shared" si="59"/>
        <v>839.80977946976873</v>
      </c>
      <c r="AN96" s="59">
        <f ca="1">AVERAGE(OFFSET($AM$3,0,0,'Données projet'!$E$10+1,1))-AVERAGE(OFFSET($H$3,0,0,'Données projet'!$E$10+1,1))</f>
        <v>377.26246345103175</v>
      </c>
      <c r="AO96" s="59">
        <f t="shared" si="90"/>
        <v>258.25890564000258</v>
      </c>
      <c r="AP96" s="15">
        <f>IF(ISNA(VLOOKUP(A96,'Données projet'!$A$61:$I$81,3,0)),0,VLOOKUP(A96,'Données projet'!$A$61:$I$81,3,0))</f>
        <v>8</v>
      </c>
      <c r="AQ96" s="15">
        <f>IF(ISNA(VLOOKUP(A96,'Données projet'!$A$61:$I$81,4,0)),0,VLOOKUP(A96,'Données projet'!$A$61:$I$81,4,0))</f>
        <v>59.26</v>
      </c>
      <c r="AR96" s="16">
        <f>IF(ISNA(VLOOKUP(A96,'Données projet'!$A$61:$I$81,5,0)),0%,VLOOKUP(A96,'Données projet'!$A$61:$I$81,5,0)*VLOOKUP('Données projet'!$B$10,Paramètres!$A$1:$I$89,7,0))</f>
        <v>0.25800000000000001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41.320823356492156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41.320823356492156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67.839379880620328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2.2737367544323206E-13</v>
      </c>
      <c r="BE96" s="13">
        <f>BD96*VLOOKUP('Données projet'!$B$11,Paramètres!$A$1:$I$89,3,0)*VLOOKUP('Données projet'!$B$11,Paramètres!$A$1:$I$89,5,0)</f>
        <v>1.0049916454590858E-13</v>
      </c>
      <c r="BF96" s="13">
        <f t="shared" si="91"/>
        <v>1.5089081593838289E-12</v>
      </c>
      <c r="BG96" s="20">
        <f t="shared" si="61"/>
        <v>2.8030510891776262E-12</v>
      </c>
      <c r="BH96" s="59">
        <f t="shared" si="62"/>
        <v>285.41105956227733</v>
      </c>
      <c r="BI96" s="59">
        <f ca="1">AVERAGE(OFFSET($BH$3,0,0,'Données projet'!$E$11+1,1))-AVERAGE(OFFSET($H$3,0,0,'Données projet'!$E$11+1,1))</f>
        <v>333.23043896066253</v>
      </c>
      <c r="BJ96" s="59">
        <f t="shared" si="92"/>
        <v>440.63438368668983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85.86143455930322</v>
      </c>
      <c r="BQ96" s="21">
        <f>EXP(-LN(2)/25)*BQ95+(1-EXP(-LN(2)/25))/(LN(2)/25)*Calculateur!BL96*Calculateur!BN96*VLOOKUP('Données projet'!$B$11,Paramètres!$A$1:$I$89,3,0)*0.475*44/12</f>
        <v>47.024295883118221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132.88573044242145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67.839379880620328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1.1368683772161603E-13</v>
      </c>
      <c r="BZ96" s="13">
        <f>BY96*VLOOKUP('Données projet'!$B$12,Paramètres!$A$1:$I$89,3,0)*VLOOKUP('Données projet'!$B$12,Paramètres!$A$1:$I$89,5,0)</f>
        <v>4.5815795601811263E-14</v>
      </c>
      <c r="CA96" s="13">
        <f t="shared" si="93"/>
        <v>7.5374618042508364E-13</v>
      </c>
      <c r="CB96" s="20">
        <f t="shared" si="64"/>
        <v>1.392570441580175E-12</v>
      </c>
      <c r="CC96" s="59">
        <f t="shared" si="65"/>
        <v>285.41105956227591</v>
      </c>
      <c r="CD96" s="59">
        <f ca="1">AVERAGE(OFFSET($CC$3,0,0,'Données projet'!$E$12+1,1))-AVERAGE(OFFSET($H$3,0,0,'Données projet'!$E$12+1,1))</f>
        <v>177.34129362526608</v>
      </c>
      <c r="CE96" s="59">
        <f t="shared" si="94"/>
        <v>156.93407673501022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66.285160971299973</v>
      </c>
      <c r="CL96" s="21">
        <f>EXP(-LN(2)/25)*CL95+(1-EXP(-LN(2)/25))/(LN(2)/25)*Calculateur!CG96*Calculateur!CI96*VLOOKUP('Données projet'!$B$12,Paramètres!$A$1:$I$89,3,0)*0.475*44/12</f>
        <v>29.5718683917951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95.85702936309508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67.839379880620328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8.5265128291212022E-14</v>
      </c>
      <c r="CU96" s="17">
        <f>CT96*VLOOKUP('Données projet'!$B$13,Paramètres!$A$1:$I$89,3,0)*VLOOKUP('Données projet'!$B$13,Paramètres!$A$1:$I$89,5,0)</f>
        <v>5.5865712056402117E-14</v>
      </c>
      <c r="CV96" s="13">
        <f t="shared" si="95"/>
        <v>8.9811031843713517E-13</v>
      </c>
      <c r="CW96" s="20">
        <f t="shared" si="67"/>
        <v>1.6615082531095774E-12</v>
      </c>
      <c r="CX96" s="59">
        <f t="shared" si="68"/>
        <v>285.41105956227619</v>
      </c>
      <c r="CY96" s="59">
        <f ca="1">AVERAGE(OFFSET($CX$3,0,0,'Données projet'!$E$13+1,1))-AVERAGE(OFFSET($H$3,0,0,'Données projet'!$E$13+1,1))</f>
        <v>267.49254683294629</v>
      </c>
      <c r="CZ96" s="59">
        <f t="shared" si="96"/>
        <v>278.02595256967254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59.421211498101655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59.421211498101655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67.839379880620328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8.2910000000000021</v>
      </c>
      <c r="DO96" s="12">
        <f>IF('Données projet'!$A$166&gt;35,DO95+DN96-DW95,IF(A96&lt;'Données projet'!$A$166,$DL$205^A96,IF(A96='Données projet'!$A$166,'Données projet'!$B$166,DO95+DN96-DW95)))</f>
        <v>338.49900000000025</v>
      </c>
      <c r="DP96" s="17">
        <f>DO96*VLOOKUP('Données projet'!$B$14,Paramètres!$A$1:$I$89,3,0)*VLOOKUP('Données projet'!$B$14,Paramètres!$A$1:$I$89,5,0)</f>
        <v>306.27389520000025</v>
      </c>
      <c r="DQ96" s="13">
        <f t="shared" si="97"/>
        <v>72.490124377904692</v>
      </c>
      <c r="DR96" s="20">
        <f t="shared" si="70"/>
        <v>659.68066743151769</v>
      </c>
      <c r="DS96" s="59">
        <f t="shared" si="71"/>
        <v>945.09172699379224</v>
      </c>
      <c r="DT96" s="59">
        <f ca="1">AVERAGE(OFFSET($DS$3,0,0,'Données projet'!$E$14+1,1))-AVERAGE(OFFSET($H$3,0,0,'Données projet'!$E$14+1,1))</f>
        <v>602.02351907077332</v>
      </c>
      <c r="DU96" s="59">
        <f t="shared" si="98"/>
        <v>278.08067690827272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36.10316475956143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36.10316475956143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67.839379880620328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67.839379880620328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67.839379880620328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67.839379880620328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2.2000000000000002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8.0666666666666682</v>
      </c>
      <c r="H97" s="67">
        <f t="shared" si="56"/>
        <v>224.4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67.876861809268632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360.09035401555587</v>
      </c>
      <c r="T97" s="59">
        <f t="shared" si="88"/>
        <v>266.54879627869821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130.3875138614124</v>
      </c>
      <c r="AA97" s="21">
        <f>EXP(-LN(2)/25)*AA96+(1-EXP(-LN(2)/25))/(LN(2)/25)*Calculateur!V97*Calculateur!X97*VLOOKUP('Données projet'!$B$9,Paramètres!$A$1:$I$89,3,0)*0.475*44/12</f>
        <v>54.767401208909355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185.15491507032175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67.876861809268632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7.7120000000000006</v>
      </c>
      <c r="AI97" s="13">
        <f>IF('Données projet'!$A$62&gt;35,AI96+AH97-AQ96,IF(A97&lt;'Données projet'!$A$62,$AF$205^A97,IF(A97='Données projet'!$A$62,'Données projet'!$B$62,AI96+AH97-AQ96)))</f>
        <v>252.78200000000015</v>
      </c>
      <c r="AJ97" s="13">
        <f>AI97*VLOOKUP('Données projet'!$B$10,Paramètres!$A$1:$I$89,3,0)*VLOOKUP('Données projet'!$B$10,Paramètres!$A$1:$I$89,5,0)</f>
        <v>212.94355680000015</v>
      </c>
      <c r="AK97" s="13">
        <f t="shared" si="89"/>
        <v>52.578304887940781</v>
      </c>
      <c r="AL97" s="20">
        <f t="shared" si="58"/>
        <v>462.45057577316379</v>
      </c>
      <c r="AM97" s="59">
        <f t="shared" si="59"/>
        <v>747.99906907381546</v>
      </c>
      <c r="AN97" s="59">
        <f ca="1">AVERAGE(OFFSET($AM$3,0,0,'Données projet'!$E$10+1,1))-AVERAGE(OFFSET($H$3,0,0,'Données projet'!$E$10+1,1))</f>
        <v>377.26246345103175</v>
      </c>
      <c r="AO97" s="59">
        <f t="shared" si="90"/>
        <v>258.25890564000258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40.51054721368498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40.51054721368498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67.876861809268632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2.2737367544323206E-13</v>
      </c>
      <c r="BE97" s="13">
        <f>BD97*VLOOKUP('Données projet'!$B$11,Paramètres!$A$1:$I$89,3,0)*VLOOKUP('Données projet'!$B$11,Paramètres!$A$1:$I$89,5,0)</f>
        <v>1.0049916454590858E-13</v>
      </c>
      <c r="BF97" s="13">
        <f t="shared" si="91"/>
        <v>1.5089081593838289E-12</v>
      </c>
      <c r="BG97" s="20">
        <f t="shared" si="61"/>
        <v>2.8030510891776262E-12</v>
      </c>
      <c r="BH97" s="59">
        <f t="shared" si="62"/>
        <v>285.54849330065446</v>
      </c>
      <c r="BI97" s="59">
        <f ca="1">AVERAGE(OFFSET($BH$3,0,0,'Données projet'!$E$11+1,1))-AVERAGE(OFFSET($H$3,0,0,'Données projet'!$E$11+1,1))</f>
        <v>333.23043896066253</v>
      </c>
      <c r="BJ97" s="59">
        <f t="shared" si="92"/>
        <v>440.63438368668983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84.17774419789923</v>
      </c>
      <c r="BQ97" s="21">
        <f>EXP(-LN(2)/25)*BQ96+(1-EXP(-LN(2)/25))/(LN(2)/25)*Calculateur!BL97*Calculateur!BN97*VLOOKUP('Données projet'!$B$11,Paramètres!$A$1:$I$89,3,0)*0.475*44/12</f>
        <v>45.738414039294106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129.91615823719334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67.876861809268632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1.1368683772161603E-13</v>
      </c>
      <c r="BZ97" s="13">
        <f>BY97*VLOOKUP('Données projet'!$B$12,Paramètres!$A$1:$I$89,3,0)*VLOOKUP('Données projet'!$B$12,Paramètres!$A$1:$I$89,5,0)</f>
        <v>4.5815795601811263E-14</v>
      </c>
      <c r="CA97" s="13">
        <f t="shared" si="93"/>
        <v>7.5374618042508364E-13</v>
      </c>
      <c r="CB97" s="20">
        <f t="shared" si="64"/>
        <v>1.392570441580175E-12</v>
      </c>
      <c r="CC97" s="59">
        <f t="shared" si="65"/>
        <v>285.54849330065304</v>
      </c>
      <c r="CD97" s="59">
        <f ca="1">AVERAGE(OFFSET($CC$3,0,0,'Données projet'!$E$12+1,1))-AVERAGE(OFFSET($H$3,0,0,'Données projet'!$E$12+1,1))</f>
        <v>177.34129362526608</v>
      </c>
      <c r="CE97" s="59">
        <f t="shared" si="94"/>
        <v>156.93407673501022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64.985349394608846</v>
      </c>
      <c r="CL97" s="21">
        <f>EXP(-LN(2)/25)*CL96+(1-EXP(-LN(2)/25))/(LN(2)/25)*Calculateur!CG97*Calculateur!CI97*VLOOKUP('Données projet'!$B$12,Paramètres!$A$1:$I$89,3,0)*0.475*44/12</f>
        <v>28.763224095504491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93.74857349011333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67.876861809268632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8.5265128291212022E-14</v>
      </c>
      <c r="CU97" s="17">
        <f>CT97*VLOOKUP('Données projet'!$B$13,Paramètres!$A$1:$I$89,3,0)*VLOOKUP('Données projet'!$B$13,Paramètres!$A$1:$I$89,5,0)</f>
        <v>5.5865712056402117E-14</v>
      </c>
      <c r="CV97" s="13">
        <f t="shared" si="95"/>
        <v>8.9811031843713517E-13</v>
      </c>
      <c r="CW97" s="20">
        <f t="shared" si="67"/>
        <v>1.6615082531095774E-12</v>
      </c>
      <c r="CX97" s="59">
        <f t="shared" si="68"/>
        <v>285.54849330065332</v>
      </c>
      <c r="CY97" s="59">
        <f ca="1">AVERAGE(OFFSET($CX$3,0,0,'Données projet'!$E$13+1,1))-AVERAGE(OFFSET($H$3,0,0,'Données projet'!$E$13+1,1))</f>
        <v>267.49254683294629</v>
      </c>
      <c r="CZ97" s="59">
        <f t="shared" si="96"/>
        <v>278.02595256967254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58.255997783984164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58.255997783984164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67.876861809268632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>
        <f>VLOOKUP(A97,'Données projet'!$A$165:$I$185,2,0)</f>
        <v>346.79</v>
      </c>
      <c r="DM97" s="12">
        <f>VLOOKUP(A97,'Données projet'!$A$165:$I$185,9,0)</f>
        <v>8.2910000000000021</v>
      </c>
      <c r="DN97" s="12">
        <f t="array" ref="DN97">INDEX(DM:DM,MIN(IF(ISNUMBER(DM97:DM293),ROW(DM97:DM293),"")))</f>
        <v>8.2910000000000021</v>
      </c>
      <c r="DO97" s="12">
        <f>IF('Données projet'!$A$166&gt;35,DO96+DN97-DW96,IF(A97&lt;'Données projet'!$A$166,$DL$205^A97,IF(A97='Données projet'!$A$166,'Données projet'!$B$166,DO96+DN97-DW96)))</f>
        <v>346.79000000000025</v>
      </c>
      <c r="DP97" s="17">
        <f>DO97*VLOOKUP('Données projet'!$B$14,Paramètres!$A$1:$I$89,3,0)*VLOOKUP('Données projet'!$B$14,Paramètres!$A$1:$I$89,5,0)</f>
        <v>313.77559200000019</v>
      </c>
      <c r="DQ97" s="13">
        <f t="shared" si="97"/>
        <v>74.056767657464533</v>
      </c>
      <c r="DR97" s="20">
        <f t="shared" si="70"/>
        <v>675.47469307008441</v>
      </c>
      <c r="DS97" s="59">
        <f t="shared" si="71"/>
        <v>961.02318637073608</v>
      </c>
      <c r="DT97" s="59">
        <f ca="1">AVERAGE(OFFSET($DS$3,0,0,'Données projet'!$E$14+1,1))-AVERAGE(OFFSET($H$3,0,0,'Données projet'!$E$14+1,1))</f>
        <v>602.02351907077332</v>
      </c>
      <c r="DU97" s="59">
        <f t="shared" si="98"/>
        <v>278.08067690827272</v>
      </c>
      <c r="DV97" s="15">
        <f>IF(ISNA(VLOOKUP(A97,'Données projet'!$A$165:$I$185,3,0)),0,VLOOKUP(A97,'Données projet'!$A$165:$I$185,3,0))</f>
        <v>7</v>
      </c>
      <c r="DW97" s="15">
        <f>IF(ISNA(VLOOKUP(A97,'Données projet'!$A$165:$I$185,4,0)),0,VLOOKUP(A97,'Données projet'!$A$165:$I$185,4,0))</f>
        <v>61.85</v>
      </c>
      <c r="DX97" s="16">
        <f>IF(ISNA(VLOOKUP(A97,'Données projet'!$A$165:$I$185,5,0)),0%,VLOOKUP(A97,'Données projet'!$A$165:$I$185,5,0)*VLOOKUP('Données projet'!$B$14,Paramètres!$A$1:$I$89,7,0))</f>
        <v>0.25800000000000001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51.356167505910733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51.356167505910733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67.876861809268632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67.876861809268632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67.876861809268632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67.876861809268632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2.2000000000000002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8.0666666666666682</v>
      </c>
      <c r="H98" s="67">
        <f t="shared" si="56"/>
        <v>224.4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67.913693510251917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360.09035401555587</v>
      </c>
      <c r="T98" s="59">
        <f t="shared" si="88"/>
        <v>266.54879627869821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127.83069424312077</v>
      </c>
      <c r="AA98" s="21">
        <f>EXP(-LN(2)/25)*AA97+(1-EXP(-LN(2)/25))/(LN(2)/25)*Calculateur!V98*Calculateur!X98*VLOOKUP('Données projet'!$B$9,Paramètres!$A$1:$I$89,3,0)*0.475*44/12</f>
        <v>53.269783742759273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181.10047798588005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67.913693510251917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7.7120000000000006</v>
      </c>
      <c r="AI98" s="13">
        <f>IF('Données projet'!$A$62&gt;35,AI97+AH98-AQ97,IF(A98&lt;'Données projet'!$A$62,$AF$205^A98,IF(A98='Données projet'!$A$62,'Données projet'!$B$62,AI97+AH98-AQ97)))</f>
        <v>260.49400000000014</v>
      </c>
      <c r="AJ98" s="13">
        <f>AI98*VLOOKUP('Données projet'!$B$10,Paramètres!$A$1:$I$89,3,0)*VLOOKUP('Données projet'!$B$10,Paramètres!$A$1:$I$89,5,0)</f>
        <v>219.44014560000016</v>
      </c>
      <c r="AK98" s="13">
        <f t="shared" si="89"/>
        <v>53.993186093910936</v>
      </c>
      <c r="AL98" s="20">
        <f t="shared" si="58"/>
        <v>476.2297193668951</v>
      </c>
      <c r="AM98" s="59">
        <f t="shared" si="59"/>
        <v>761.9132622378188</v>
      </c>
      <c r="AN98" s="59">
        <f ca="1">AVERAGE(OFFSET($AM$3,0,0,'Données projet'!$E$10+1,1))-AVERAGE(OFFSET($H$3,0,0,'Données projet'!$E$10+1,1))</f>
        <v>377.26246345103175</v>
      </c>
      <c r="AO98" s="59">
        <f t="shared" si="90"/>
        <v>258.25890564000258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39.716160091818608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39.716160091818608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67.913693510251917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2.2737367544323206E-13</v>
      </c>
      <c r="BE98" s="13">
        <f>BD98*VLOOKUP('Données projet'!$B$11,Paramètres!$A$1:$I$89,3,0)*VLOOKUP('Données projet'!$B$11,Paramètres!$A$1:$I$89,5,0)</f>
        <v>1.0049916454590858E-13</v>
      </c>
      <c r="BF98" s="13">
        <f t="shared" si="91"/>
        <v>1.5089081593838289E-12</v>
      </c>
      <c r="BG98" s="20">
        <f t="shared" si="61"/>
        <v>2.8030510891776262E-12</v>
      </c>
      <c r="BH98" s="59">
        <f t="shared" si="62"/>
        <v>285.68354287092649</v>
      </c>
      <c r="BI98" s="59">
        <f ca="1">AVERAGE(OFFSET($BH$3,0,0,'Données projet'!$E$11+1,1))-AVERAGE(OFFSET($H$3,0,0,'Données projet'!$E$11+1,1))</f>
        <v>333.23043896066253</v>
      </c>
      <c r="BJ98" s="59">
        <f t="shared" si="92"/>
        <v>440.63438368668983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82.527069977532648</v>
      </c>
      <c r="BQ98" s="21">
        <f>EXP(-LN(2)/25)*BQ97+(1-EXP(-LN(2)/25))/(LN(2)/25)*Calculateur!BL98*Calculateur!BN98*VLOOKUP('Données projet'!$B$11,Paramètres!$A$1:$I$89,3,0)*0.475*44/12</f>
        <v>44.48769470211095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127.0147646796436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67.913693510251917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1.1368683772161603E-13</v>
      </c>
      <c r="BZ98" s="13">
        <f>BY98*VLOOKUP('Données projet'!$B$12,Paramètres!$A$1:$I$89,3,0)*VLOOKUP('Données projet'!$B$12,Paramètres!$A$1:$I$89,5,0)</f>
        <v>4.5815795601811263E-14</v>
      </c>
      <c r="CA98" s="13">
        <f t="shared" si="93"/>
        <v>7.5374618042508364E-13</v>
      </c>
      <c r="CB98" s="20">
        <f t="shared" si="64"/>
        <v>1.392570441580175E-12</v>
      </c>
      <c r="CC98" s="59">
        <f t="shared" si="65"/>
        <v>285.68354287092507</v>
      </c>
      <c r="CD98" s="59">
        <f ca="1">AVERAGE(OFFSET($CC$3,0,0,'Données projet'!$E$12+1,1))-AVERAGE(OFFSET($H$3,0,0,'Données projet'!$E$12+1,1))</f>
        <v>177.34129362526608</v>
      </c>
      <c r="CE98" s="59">
        <f t="shared" si="94"/>
        <v>156.93407673501022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63.711026330129855</v>
      </c>
      <c r="CL98" s="21">
        <f>EXP(-LN(2)/25)*CL97+(1-EXP(-LN(2)/25))/(LN(2)/25)*Calculateur!CG98*Calculateur!CI98*VLOOKUP('Données projet'!$B$12,Paramètres!$A$1:$I$89,3,0)*0.475*44/12</f>
        <v>27.976692220020706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91.687718550150564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67.913693510251917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8.5265128291212022E-14</v>
      </c>
      <c r="CU98" s="17">
        <f>CT98*VLOOKUP('Données projet'!$B$13,Paramètres!$A$1:$I$89,3,0)*VLOOKUP('Données projet'!$B$13,Paramètres!$A$1:$I$89,5,0)</f>
        <v>5.5865712056402117E-14</v>
      </c>
      <c r="CV98" s="13">
        <f t="shared" si="95"/>
        <v>8.9811031843713517E-13</v>
      </c>
      <c r="CW98" s="20">
        <f t="shared" si="67"/>
        <v>1.6615082531095774E-12</v>
      </c>
      <c r="CX98" s="59">
        <f t="shared" si="68"/>
        <v>285.68354287092535</v>
      </c>
      <c r="CY98" s="59">
        <f ca="1">AVERAGE(OFFSET($CX$3,0,0,'Données projet'!$E$13+1,1))-AVERAGE(OFFSET($H$3,0,0,'Données projet'!$E$13+1,1))</f>
        <v>267.49254683294629</v>
      </c>
      <c r="CZ98" s="59">
        <f t="shared" si="96"/>
        <v>278.02595256967254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57.113633200090327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57.113633200090327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67.913693510251917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8.0470000000000024</v>
      </c>
      <c r="DO98" s="12">
        <f>IF('Données projet'!$A$166&gt;35,DO97+DN98-DW97,IF(A98&lt;'Données projet'!$A$166,$DL$205^A98,IF(A98='Données projet'!$A$166,'Données projet'!$B$166,DO97+DN98-DW97)))</f>
        <v>292.98700000000025</v>
      </c>
      <c r="DP98" s="17">
        <f>DO98*VLOOKUP('Données projet'!$B$14,Paramètres!$A$1:$I$89,3,0)*VLOOKUP('Données projet'!$B$14,Paramètres!$A$1:$I$89,5,0)</f>
        <v>265.09463760000023</v>
      </c>
      <c r="DQ98" s="13">
        <f t="shared" si="97"/>
        <v>63.807119294189917</v>
      </c>
      <c r="DR98" s="20">
        <f t="shared" si="70"/>
        <v>572.83722659071452</v>
      </c>
      <c r="DS98" s="59">
        <f t="shared" si="71"/>
        <v>858.52076946163822</v>
      </c>
      <c r="DT98" s="59">
        <f ca="1">AVERAGE(OFFSET($DS$3,0,0,'Données projet'!$E$14+1,1))-AVERAGE(OFFSET($H$3,0,0,'Données projet'!$E$14+1,1))</f>
        <v>602.02351907077332</v>
      </c>
      <c r="DU98" s="59">
        <f t="shared" si="98"/>
        <v>278.08067690827272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50.349104385288996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50.349104385288996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67.913693510251917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67.913693510251917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67.913693510251917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67.913693510251917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2.2000000000000002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8.0666666666666682</v>
      </c>
      <c r="H99" s="67">
        <f t="shared" si="56"/>
        <v>224.4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67.949886263566498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360.09035401555587</v>
      </c>
      <c r="T99" s="59">
        <f t="shared" si="88"/>
        <v>266.54879627869821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125.32401229803786</v>
      </c>
      <c r="AA99" s="21">
        <f>EXP(-LN(2)/25)*AA98+(1-EXP(-LN(2)/25))/(LN(2)/25)*Calculateur!V99*Calculateur!X99*VLOOKUP('Données projet'!$B$9,Paramètres!$A$1:$I$89,3,0)*0.475*44/12</f>
        <v>51.813118704977342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177.13713100301521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67.949886263566498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7.7120000000000006</v>
      </c>
      <c r="AI99" s="13">
        <f>IF('Données projet'!$A$62&gt;35,AI98+AH99-AQ98,IF(A99&lt;'Données projet'!$A$62,$AF$205^A99,IF(A99='Données projet'!$A$62,'Données projet'!$B$62,AI98+AH99-AQ98)))</f>
        <v>268.20600000000013</v>
      </c>
      <c r="AJ99" s="13">
        <f>AI99*VLOOKUP('Données projet'!$B$10,Paramètres!$A$1:$I$89,3,0)*VLOOKUP('Données projet'!$B$10,Paramètres!$A$1:$I$89,5,0)</f>
        <v>225.93673440000015</v>
      </c>
      <c r="AK99" s="13">
        <f t="shared" si="89"/>
        <v>55.403199180664444</v>
      </c>
      <c r="AL99" s="20">
        <f t="shared" si="58"/>
        <v>490.00038431965748</v>
      </c>
      <c r="AM99" s="59">
        <f t="shared" si="59"/>
        <v>775.81663395273472</v>
      </c>
      <c r="AN99" s="59">
        <f ca="1">AVERAGE(OFFSET($AM$3,0,0,'Données projet'!$E$10+1,1))-AVERAGE(OFFSET($H$3,0,0,'Données projet'!$E$10+1,1))</f>
        <v>377.26246345103175</v>
      </c>
      <c r="AO99" s="59">
        <f t="shared" si="90"/>
        <v>258.25890564000258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38.937350416883731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38.937350416883731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67.949886263566498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2.2737367544323206E-13</v>
      </c>
      <c r="BE99" s="13">
        <f>BD99*VLOOKUP('Données projet'!$B$11,Paramètres!$A$1:$I$89,3,0)*VLOOKUP('Données projet'!$B$11,Paramètres!$A$1:$I$89,5,0)</f>
        <v>1.0049916454590858E-13</v>
      </c>
      <c r="BF99" s="13">
        <f t="shared" si="91"/>
        <v>1.5089081593838289E-12</v>
      </c>
      <c r="BG99" s="20">
        <f t="shared" si="61"/>
        <v>2.8030510891776262E-12</v>
      </c>
      <c r="BH99" s="59">
        <f t="shared" si="62"/>
        <v>285.81624963307996</v>
      </c>
      <c r="BI99" s="59">
        <f ca="1">AVERAGE(OFFSET($BH$3,0,0,'Données projet'!$E$11+1,1))-AVERAGE(OFFSET($H$3,0,0,'Données projet'!$E$11+1,1))</f>
        <v>333.23043896066253</v>
      </c>
      <c r="BJ99" s="59">
        <f t="shared" si="92"/>
        <v>440.63438368668983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80.908764471815601</v>
      </c>
      <c r="BQ99" s="21">
        <f>EXP(-LN(2)/25)*BQ98+(1-EXP(-LN(2)/25))/(LN(2)/25)*Calculateur!BL99*Calculateur!BN99*VLOOKUP('Données projet'!$B$11,Paramètres!$A$1:$I$89,3,0)*0.475*44/12</f>
        <v>43.271176350975537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124.17994082279114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67.949886263566498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1.1368683772161603E-13</v>
      </c>
      <c r="BZ99" s="13">
        <f>BY99*VLOOKUP('Données projet'!$B$12,Paramètres!$A$1:$I$89,3,0)*VLOOKUP('Données projet'!$B$12,Paramètres!$A$1:$I$89,5,0)</f>
        <v>4.5815795601811263E-14</v>
      </c>
      <c r="CA99" s="13">
        <f t="shared" si="93"/>
        <v>7.5374618042508364E-13</v>
      </c>
      <c r="CB99" s="20">
        <f t="shared" si="64"/>
        <v>1.392570441580175E-12</v>
      </c>
      <c r="CC99" s="59">
        <f t="shared" si="65"/>
        <v>285.81624963307854</v>
      </c>
      <c r="CD99" s="59">
        <f ca="1">AVERAGE(OFFSET($CC$3,0,0,'Données projet'!$E$12+1,1))-AVERAGE(OFFSET($H$3,0,0,'Données projet'!$E$12+1,1))</f>
        <v>177.34129362526608</v>
      </c>
      <c r="CE99" s="59">
        <f t="shared" si="94"/>
        <v>156.93407673501022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62.461691963684977</v>
      </c>
      <c r="CL99" s="21">
        <f>EXP(-LN(2)/25)*CL98+(1-EXP(-LN(2)/25))/(LN(2)/25)*Calculateur!CG99*Calculateur!CI99*VLOOKUP('Données projet'!$B$12,Paramètres!$A$1:$I$89,3,0)*0.475*44/12</f>
        <v>27.211668100033936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89.673360063718917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67.949886263566498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8.5265128291212022E-14</v>
      </c>
      <c r="CU99" s="17">
        <f>CT99*VLOOKUP('Données projet'!$B$13,Paramètres!$A$1:$I$89,3,0)*VLOOKUP('Données projet'!$B$13,Paramètres!$A$1:$I$89,5,0)</f>
        <v>5.5865712056402117E-14</v>
      </c>
      <c r="CV99" s="13">
        <f t="shared" si="95"/>
        <v>8.9811031843713517E-13</v>
      </c>
      <c r="CW99" s="20">
        <f t="shared" si="67"/>
        <v>1.6615082531095774E-12</v>
      </c>
      <c r="CX99" s="59">
        <f t="shared" si="68"/>
        <v>285.81624963307883</v>
      </c>
      <c r="CY99" s="59">
        <f ca="1">AVERAGE(OFFSET($CX$3,0,0,'Données projet'!$E$13+1,1))-AVERAGE(OFFSET($H$3,0,0,'Données projet'!$E$13+1,1))</f>
        <v>267.49254683294629</v>
      </c>
      <c r="CZ99" s="59">
        <f t="shared" si="96"/>
        <v>278.02595256967254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55.993669688913052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55.993669688913052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67.949886263566498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8.0470000000000024</v>
      </c>
      <c r="DO99" s="12">
        <f>IF('Données projet'!$A$166&gt;35,DO98+DN99-DW98,IF(A99&lt;'Données projet'!$A$166,$DL$205^A99,IF(A99='Données projet'!$A$166,'Données projet'!$B$166,DO98+DN99-DW98)))</f>
        <v>301.03400000000028</v>
      </c>
      <c r="DP99" s="17">
        <f>DO99*VLOOKUP('Données projet'!$B$14,Paramètres!$A$1:$I$89,3,0)*VLOOKUP('Données projet'!$B$14,Paramètres!$A$1:$I$89,5,0)</f>
        <v>272.37556320000027</v>
      </c>
      <c r="DQ99" s="13">
        <f t="shared" si="97"/>
        <v>65.35316643513535</v>
      </c>
      <c r="DR99" s="20">
        <f t="shared" si="70"/>
        <v>588.21087078119456</v>
      </c>
      <c r="DS99" s="59">
        <f t="shared" si="71"/>
        <v>874.02712041427174</v>
      </c>
      <c r="DT99" s="59">
        <f ca="1">AVERAGE(OFFSET($DS$3,0,0,'Données projet'!$E$14+1,1))-AVERAGE(OFFSET($H$3,0,0,'Données projet'!$E$14+1,1))</f>
        <v>602.02351907077332</v>
      </c>
      <c r="DU99" s="59">
        <f t="shared" si="98"/>
        <v>278.08067690827272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49.361789158214798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49.361789158214798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67.949886263566498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67.949886263566498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67.949886263566498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67.949886263566498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2.2000000000000002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8.0666666666666682</v>
      </c>
      <c r="H100" s="67">
        <f t="shared" si="56"/>
        <v>224.4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67.985451153525943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360.09035401555587</v>
      </c>
      <c r="T100" s="59">
        <f t="shared" si="88"/>
        <v>266.54879627869821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122.866484856973</v>
      </c>
      <c r="AA100" s="21">
        <f>EXP(-LN(2)/25)*AA99+(1-EXP(-LN(2)/25))/(LN(2)/25)*Calculateur!V100*Calculateur!X100*VLOOKUP('Données projet'!$B$9,Paramètres!$A$1:$I$89,3,0)*0.475*44/12</f>
        <v>50.396286249256242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173.26277110622925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67.985451153525943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7.7120000000000006</v>
      </c>
      <c r="AI100" s="13">
        <f>IF('Données projet'!$A$62&gt;35,AI99+AH100-AQ99,IF(A100&lt;'Données projet'!$A$62,$AF$205^A100,IF(A100='Données projet'!$A$62,'Données projet'!$B$62,AI99+AH100-AQ99)))</f>
        <v>275.91800000000012</v>
      </c>
      <c r="AJ100" s="13">
        <f>AI100*VLOOKUP('Données projet'!$B$10,Paramètres!$A$1:$I$89,3,0)*VLOOKUP('Données projet'!$B$10,Paramètres!$A$1:$I$89,5,0)</f>
        <v>232.4333232000001</v>
      </c>
      <c r="AK100" s="13">
        <f t="shared" si="89"/>
        <v>56.808500201978752</v>
      </c>
      <c r="AL100" s="20">
        <f t="shared" si="58"/>
        <v>503.76284242511315</v>
      </c>
      <c r="AM100" s="59">
        <f t="shared" si="59"/>
        <v>789.70949665470835</v>
      </c>
      <c r="AN100" s="59">
        <f ca="1">AVERAGE(OFFSET($AM$3,0,0,'Données projet'!$E$10+1,1))-AVERAGE(OFFSET($H$3,0,0,'Données projet'!$E$10+1,1))</f>
        <v>377.26246345103175</v>
      </c>
      <c r="AO100" s="59">
        <f t="shared" si="90"/>
        <v>258.25890564000258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38.173812724647334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38.173812724647334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67.985451153525943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2.2737367544323206E-13</v>
      </c>
      <c r="BE100" s="13">
        <f>BD100*VLOOKUP('Données projet'!$B$11,Paramètres!$A$1:$I$89,3,0)*VLOOKUP('Données projet'!$B$11,Paramètres!$A$1:$I$89,5,0)</f>
        <v>1.0049916454590858E-13</v>
      </c>
      <c r="BF100" s="13">
        <f t="shared" si="91"/>
        <v>1.5089081593838289E-12</v>
      </c>
      <c r="BG100" s="20">
        <f t="shared" si="61"/>
        <v>2.8030510891776262E-12</v>
      </c>
      <c r="BH100" s="59">
        <f t="shared" si="62"/>
        <v>285.94665422959793</v>
      </c>
      <c r="BI100" s="59">
        <f ca="1">AVERAGE(OFFSET($BH$3,0,0,'Données projet'!$E$11+1,1))-AVERAGE(OFFSET($H$3,0,0,'Données projet'!$E$11+1,1))</f>
        <v>333.23043896066253</v>
      </c>
      <c r="BJ100" s="59">
        <f t="shared" si="92"/>
        <v>440.63438368668983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79.322192949996776</v>
      </c>
      <c r="BQ100" s="21">
        <f>EXP(-LN(2)/25)*BQ99+(1-EXP(-LN(2)/25))/(LN(2)/25)*Calculateur!BL100*Calculateur!BN100*VLOOKUP('Données projet'!$B$11,Paramètres!$A$1:$I$89,3,0)*0.475*44/12</f>
        <v>42.087923758125847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121.41011670812262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67.985451153525943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1.1368683772161603E-13</v>
      </c>
      <c r="BZ100" s="13">
        <f>BY100*VLOOKUP('Données projet'!$B$12,Paramètres!$A$1:$I$89,3,0)*VLOOKUP('Données projet'!$B$12,Paramètres!$A$1:$I$89,5,0)</f>
        <v>4.5815795601811263E-14</v>
      </c>
      <c r="CA100" s="13">
        <f t="shared" si="93"/>
        <v>7.5374618042508364E-13</v>
      </c>
      <c r="CB100" s="20">
        <f t="shared" si="64"/>
        <v>1.392570441580175E-12</v>
      </c>
      <c r="CC100" s="59">
        <f t="shared" si="65"/>
        <v>285.9466542295965</v>
      </c>
      <c r="CD100" s="59">
        <f ca="1">AVERAGE(OFFSET($CC$3,0,0,'Données projet'!$E$12+1,1))-AVERAGE(OFFSET($H$3,0,0,'Données projet'!$E$12+1,1))</f>
        <v>177.34129362526608</v>
      </c>
      <c r="CE100" s="59">
        <f t="shared" si="94"/>
        <v>156.93407673501022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61.236856282147357</v>
      </c>
      <c r="CL100" s="21">
        <f>EXP(-LN(2)/25)*CL99+(1-EXP(-LN(2)/25))/(LN(2)/25)*Calculateur!CG100*Calculateur!CI100*VLOOKUP('Données projet'!$B$12,Paramètres!$A$1:$I$89,3,0)*0.475*44/12</f>
        <v>26.467563604839075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87.704419886986429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67.985451153525943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8.5265128291212022E-14</v>
      </c>
      <c r="CU100" s="17">
        <f>CT100*VLOOKUP('Données projet'!$B$13,Paramètres!$A$1:$I$89,3,0)*VLOOKUP('Données projet'!$B$13,Paramètres!$A$1:$I$89,5,0)</f>
        <v>5.5865712056402117E-14</v>
      </c>
      <c r="CV100" s="13">
        <f t="shared" si="95"/>
        <v>8.9811031843713517E-13</v>
      </c>
      <c r="CW100" s="20">
        <f t="shared" si="67"/>
        <v>1.6615082531095774E-12</v>
      </c>
      <c r="CX100" s="59">
        <f t="shared" si="68"/>
        <v>285.94665422959679</v>
      </c>
      <c r="CY100" s="59">
        <f ca="1">AVERAGE(OFFSET($CX$3,0,0,'Données projet'!$E$13+1,1))-AVERAGE(OFFSET($H$3,0,0,'Données projet'!$E$13+1,1))</f>
        <v>267.49254683294629</v>
      </c>
      <c r="CZ100" s="59">
        <f t="shared" si="96"/>
        <v>278.02595256967254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54.895667979079668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54.895667979079668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67.985451153525943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8.0470000000000024</v>
      </c>
      <c r="DO100" s="12">
        <f>IF('Données projet'!$A$166&gt;35,DO99+DN100-DW99,IF(A100&lt;'Données projet'!$A$166,$DL$205^A100,IF(A100='Données projet'!$A$166,'Données projet'!$B$166,DO99+DN100-DW99)))</f>
        <v>309.0810000000003</v>
      </c>
      <c r="DP100" s="17">
        <f>DO100*VLOOKUP('Données projet'!$B$14,Paramètres!$A$1:$I$89,3,0)*VLOOKUP('Données projet'!$B$14,Paramètres!$A$1:$I$89,5,0)</f>
        <v>279.65648880000026</v>
      </c>
      <c r="DQ100" s="13">
        <f t="shared" si="97"/>
        <v>66.894409904113928</v>
      </c>
      <c r="DR100" s="20">
        <f t="shared" si="70"/>
        <v>603.57614857633223</v>
      </c>
      <c r="DS100" s="59">
        <f t="shared" si="71"/>
        <v>889.52280280592731</v>
      </c>
      <c r="DT100" s="59">
        <f ca="1">AVERAGE(OFFSET($DS$3,0,0,'Données projet'!$E$14+1,1))-AVERAGE(OFFSET($H$3,0,0,'Données projet'!$E$14+1,1))</f>
        <v>602.02351907077332</v>
      </c>
      <c r="DU100" s="59">
        <f t="shared" si="98"/>
        <v>278.08067690827272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48.393834580540698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48.393834580540698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67.985451153525943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67.985451153525943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67.985451153525943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67.985451153525943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2.2000000000000002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8.0666666666666682</v>
      </c>
      <c r="H101" s="67">
        <f t="shared" si="56"/>
        <v>224.4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68.020399072155769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360.09035401555587</v>
      </c>
      <c r="T101" s="59">
        <f t="shared" si="88"/>
        <v>266.54879627869821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120.4571480300837</v>
      </c>
      <c r="AA101" s="21">
        <f>EXP(-LN(2)/25)*AA100+(1-EXP(-LN(2)/25))/(LN(2)/25)*Calculateur!V101*Calculateur!X101*VLOOKUP('Données projet'!$B$9,Paramètres!$A$1:$I$89,3,0)*0.475*44/12</f>
        <v>49.018197151544818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169.47534518162851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68.020399072155769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7.7120000000000006</v>
      </c>
      <c r="AI101" s="13">
        <f>IF('Données projet'!$A$62&gt;35,AI100+AH101-AQ100,IF(A101&lt;'Données projet'!$A$62,$AF$205^A101,IF(A101='Données projet'!$A$62,'Données projet'!$B$62,AI100+AH101-AQ100)))</f>
        <v>283.63000000000011</v>
      </c>
      <c r="AJ101" s="13">
        <f>AI101*VLOOKUP('Données projet'!$B$10,Paramètres!$A$1:$I$89,3,0)*VLOOKUP('Données projet'!$B$10,Paramètres!$A$1:$I$89,5,0)</f>
        <v>238.92991200000012</v>
      </c>
      <c r="AK101" s="13">
        <f t="shared" si="89"/>
        <v>58.209235991783075</v>
      </c>
      <c r="AL101" s="20">
        <f t="shared" si="58"/>
        <v>517.51734941902237</v>
      </c>
      <c r="AM101" s="59">
        <f t="shared" si="59"/>
        <v>803.59214601692679</v>
      </c>
      <c r="AN101" s="59">
        <f ca="1">AVERAGE(OFFSET($AM$3,0,0,'Données projet'!$E$10+1,1))-AVERAGE(OFFSET($H$3,0,0,'Données projet'!$E$10+1,1))</f>
        <v>377.26246345103175</v>
      </c>
      <c r="AO101" s="59">
        <f t="shared" si="90"/>
        <v>258.25890564000258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37.425247540843685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37.425247540843685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68.020399072155769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2.2737367544323206E-13</v>
      </c>
      <c r="BE101" s="13">
        <f>BD101*VLOOKUP('Données projet'!$B$11,Paramètres!$A$1:$I$89,3,0)*VLOOKUP('Données projet'!$B$11,Paramètres!$A$1:$I$89,5,0)</f>
        <v>1.0049916454590858E-13</v>
      </c>
      <c r="BF101" s="13">
        <f t="shared" si="91"/>
        <v>1.5089081593838289E-12</v>
      </c>
      <c r="BG101" s="20">
        <f t="shared" si="61"/>
        <v>2.8030510891776262E-12</v>
      </c>
      <c r="BH101" s="59">
        <f t="shared" si="62"/>
        <v>286.07479659790727</v>
      </c>
      <c r="BI101" s="59">
        <f ca="1">AVERAGE(OFFSET($BH$3,0,0,'Données projet'!$E$11+1,1))-AVERAGE(OFFSET($H$3,0,0,'Données projet'!$E$11+1,1))</f>
        <v>333.23043896066253</v>
      </c>
      <c r="BJ101" s="59">
        <f t="shared" si="92"/>
        <v>440.63438368668983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77.766733128007743</v>
      </c>
      <c r="BQ101" s="21">
        <f>EXP(-LN(2)/25)*BQ100+(1-EXP(-LN(2)/25))/(LN(2)/25)*Calculateur!BL101*Calculateur!BN101*VLOOKUP('Données projet'!$B$11,Paramètres!$A$1:$I$89,3,0)*0.475*44/12</f>
        <v>40.937027269652177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118.70376039765992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68.020399072155769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1.1368683772161603E-13</v>
      </c>
      <c r="BZ101" s="13">
        <f>BY101*VLOOKUP('Données projet'!$B$12,Paramètres!$A$1:$I$89,3,0)*VLOOKUP('Données projet'!$B$12,Paramètres!$A$1:$I$89,5,0)</f>
        <v>4.5815795601811263E-14</v>
      </c>
      <c r="CA101" s="13">
        <f t="shared" si="93"/>
        <v>7.5374618042508364E-13</v>
      </c>
      <c r="CB101" s="20">
        <f t="shared" si="64"/>
        <v>1.392570441580175E-12</v>
      </c>
      <c r="CC101" s="59">
        <f t="shared" si="65"/>
        <v>286.07479659790584</v>
      </c>
      <c r="CD101" s="59">
        <f ca="1">AVERAGE(OFFSET($CC$3,0,0,'Données projet'!$E$12+1,1))-AVERAGE(OFFSET($H$3,0,0,'Données projet'!$E$12+1,1))</f>
        <v>177.34129362526608</v>
      </c>
      <c r="CE101" s="59">
        <f t="shared" si="94"/>
        <v>156.93407673501022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60.036038881248693</v>
      </c>
      <c r="CL101" s="21">
        <f>EXP(-LN(2)/25)*CL100+(1-EXP(-LN(2)/25))/(LN(2)/25)*Calculateur!CG101*Calculateur!CI101*VLOOKUP('Données projet'!$B$12,Paramètres!$A$1:$I$89,3,0)*0.475*44/12</f>
        <v>25.743806686196073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85.779845567444767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68.020399072155769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8.5265128291212022E-14</v>
      </c>
      <c r="CU101" s="17">
        <f>CT101*VLOOKUP('Données projet'!$B$13,Paramètres!$A$1:$I$89,3,0)*VLOOKUP('Données projet'!$B$13,Paramètres!$A$1:$I$89,5,0)</f>
        <v>5.5865712056402117E-14</v>
      </c>
      <c r="CV101" s="13">
        <f t="shared" si="95"/>
        <v>8.9811031843713517E-13</v>
      </c>
      <c r="CW101" s="20">
        <f t="shared" si="67"/>
        <v>1.6615082531095774E-12</v>
      </c>
      <c r="CX101" s="59">
        <f t="shared" si="68"/>
        <v>286.07479659790613</v>
      </c>
      <c r="CY101" s="59">
        <f ca="1">AVERAGE(OFFSET($CX$3,0,0,'Données projet'!$E$13+1,1))-AVERAGE(OFFSET($H$3,0,0,'Données projet'!$E$13+1,1))</f>
        <v>267.49254683294629</v>
      </c>
      <c r="CZ101" s="59">
        <f t="shared" si="96"/>
        <v>278.02595256967254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53.819197413061204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53.819197413061204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68.020399072155769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8.0470000000000024</v>
      </c>
      <c r="DO101" s="12">
        <f>IF('Données projet'!$A$166&gt;35,DO100+DN101-DW100,IF(A101&lt;'Données projet'!$A$166,$DL$205^A101,IF(A101='Données projet'!$A$166,'Données projet'!$B$166,DO100+DN101-DW100)))</f>
        <v>317.12800000000033</v>
      </c>
      <c r="DP101" s="17">
        <f>DO101*VLOOKUP('Données projet'!$B$14,Paramètres!$A$1:$I$89,3,0)*VLOOKUP('Données projet'!$B$14,Paramètres!$A$1:$I$89,5,0)</f>
        <v>286.93741440000031</v>
      </c>
      <c r="DQ101" s="13">
        <f t="shared" si="97"/>
        <v>68.430989143985158</v>
      </c>
      <c r="DR101" s="20">
        <f t="shared" si="70"/>
        <v>618.93330283910791</v>
      </c>
      <c r="DS101" s="59">
        <f t="shared" si="71"/>
        <v>905.00809943701233</v>
      </c>
      <c r="DT101" s="59">
        <f ca="1">AVERAGE(OFFSET($DS$3,0,0,'Données projet'!$E$14+1,1))-AVERAGE(OFFSET($H$3,0,0,'Données projet'!$E$14+1,1))</f>
        <v>602.02351907077332</v>
      </c>
      <c r="DU101" s="59">
        <f t="shared" si="98"/>
        <v>278.08067690827272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47.444861001740797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47.444861001740797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68.020399072155769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68.020399072155769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68.020399072155769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68.020399072155769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2.2000000000000002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8.0666666666666682</v>
      </c>
      <c r="H102" s="67">
        <f t="shared" si="56"/>
        <v>224.4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68.054740722529218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360.09035401555587</v>
      </c>
      <c r="T102" s="59">
        <f t="shared" si="88"/>
        <v>266.54879627869821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118.09505682881934</v>
      </c>
      <c r="AA102" s="21">
        <f>EXP(-LN(2)/25)*AA101+(1-EXP(-LN(2)/25))/(LN(2)/25)*Calculateur!V102*Calculateur!X102*VLOOKUP('Données projet'!$B$9,Paramètres!$A$1:$I$89,3,0)*0.475*44/12</f>
        <v>47.677791972680872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165.7728488015002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68.054740722529218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7.7120000000000006</v>
      </c>
      <c r="AI102" s="13">
        <f>IF('Données projet'!$A$62&gt;35,AI101+AH102-AQ101,IF(A102&lt;'Données projet'!$A$62,$AF$205^A102,IF(A102='Données projet'!$A$62,'Données projet'!$B$62,AI101+AH102-AQ101)))</f>
        <v>291.3420000000001</v>
      </c>
      <c r="AJ102" s="13">
        <f>AI102*VLOOKUP('Données projet'!$B$10,Paramètres!$A$1:$I$89,3,0)*VLOOKUP('Données projet'!$B$10,Paramètres!$A$1:$I$89,5,0)</f>
        <v>245.4265008000001</v>
      </c>
      <c r="AK102" s="13">
        <f t="shared" si="89"/>
        <v>59.605544944565871</v>
      </c>
      <c r="AL102" s="20">
        <f t="shared" si="58"/>
        <v>531.26414633845241</v>
      </c>
      <c r="AM102" s="59">
        <f t="shared" si="59"/>
        <v>817.46486232105963</v>
      </c>
      <c r="AN102" s="59">
        <f ca="1">AVERAGE(OFFSET($AM$3,0,0,'Données projet'!$E$10+1,1))-AVERAGE(OFFSET($H$3,0,0,'Données projet'!$E$10+1,1))</f>
        <v>377.26246345103175</v>
      </c>
      <c r="AO102" s="59">
        <f t="shared" si="90"/>
        <v>258.25890564000258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36.691361263714747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36.691361263714747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68.054740722529218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2.2737367544323206E-13</v>
      </c>
      <c r="BE102" s="13">
        <f>BD102*VLOOKUP('Données projet'!$B$11,Paramètres!$A$1:$I$89,3,0)*VLOOKUP('Données projet'!$B$11,Paramètres!$A$1:$I$89,5,0)</f>
        <v>1.0049916454590858E-13</v>
      </c>
      <c r="BF102" s="13">
        <f t="shared" si="91"/>
        <v>1.5089081593838289E-12</v>
      </c>
      <c r="BG102" s="20">
        <f t="shared" si="61"/>
        <v>2.8030510891776262E-12</v>
      </c>
      <c r="BH102" s="59">
        <f t="shared" si="62"/>
        <v>286.20071598260995</v>
      </c>
      <c r="BI102" s="59">
        <f ca="1">AVERAGE(OFFSET($BH$3,0,0,'Données projet'!$E$11+1,1))-AVERAGE(OFFSET($H$3,0,0,'Données projet'!$E$11+1,1))</f>
        <v>333.23043896066253</v>
      </c>
      <c r="BJ102" s="59">
        <f t="shared" si="92"/>
        <v>440.63438368668983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76.241774924391095</v>
      </c>
      <c r="BQ102" s="21">
        <f>EXP(-LN(2)/25)*BQ101+(1-EXP(-LN(2)/25))/(LN(2)/25)*Calculateur!BL102*Calculateur!BN102*VLOOKUP('Données projet'!$B$11,Paramètres!$A$1:$I$89,3,0)*0.475*44/12</f>
        <v>39.817602106178839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116.05937703056993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68.054740722529218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1.1368683772161603E-13</v>
      </c>
      <c r="BZ102" s="13">
        <f>BY102*VLOOKUP('Données projet'!$B$12,Paramètres!$A$1:$I$89,3,0)*VLOOKUP('Données projet'!$B$12,Paramètres!$A$1:$I$89,5,0)</f>
        <v>4.5815795601811263E-14</v>
      </c>
      <c r="CA102" s="13">
        <f t="shared" si="93"/>
        <v>7.5374618042508364E-13</v>
      </c>
      <c r="CB102" s="20">
        <f t="shared" si="64"/>
        <v>1.392570441580175E-12</v>
      </c>
      <c r="CC102" s="59">
        <f t="shared" si="65"/>
        <v>286.20071598260853</v>
      </c>
      <c r="CD102" s="59">
        <f ca="1">AVERAGE(OFFSET($CC$3,0,0,'Données projet'!$E$12+1,1))-AVERAGE(OFFSET($H$3,0,0,'Données projet'!$E$12+1,1))</f>
        <v>177.34129362526608</v>
      </c>
      <c r="CE102" s="59">
        <f t="shared" si="94"/>
        <v>156.93407673501022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58.858768777155362</v>
      </c>
      <c r="CL102" s="21">
        <f>EXP(-LN(2)/25)*CL101+(1-EXP(-LN(2)/25))/(LN(2)/25)*Calculateur!CG102*Calculateur!CI102*VLOOKUP('Données projet'!$B$12,Paramètres!$A$1:$I$89,3,0)*0.475*44/12</f>
        <v>25.039840938554086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83.898609715709455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68.054740722529218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8.5265128291212022E-14</v>
      </c>
      <c r="CU102" s="17">
        <f>CT102*VLOOKUP('Données projet'!$B$13,Paramètres!$A$1:$I$89,3,0)*VLOOKUP('Données projet'!$B$13,Paramètres!$A$1:$I$89,5,0)</f>
        <v>5.5865712056402117E-14</v>
      </c>
      <c r="CV102" s="13">
        <f t="shared" si="95"/>
        <v>8.9811031843713517E-13</v>
      </c>
      <c r="CW102" s="20">
        <f t="shared" si="67"/>
        <v>1.6615082531095774E-12</v>
      </c>
      <c r="CX102" s="59">
        <f t="shared" si="68"/>
        <v>286.20071598260881</v>
      </c>
      <c r="CY102" s="59">
        <f ca="1">AVERAGE(OFFSET($CX$3,0,0,'Données projet'!$E$13+1,1))-AVERAGE(OFFSET($H$3,0,0,'Données projet'!$E$13+1,1))</f>
        <v>267.49254683294629</v>
      </c>
      <c r="CZ102" s="59">
        <f t="shared" si="96"/>
        <v>278.02595256967254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52.763835778260152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52.763835778260152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68.054740722529218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8.0470000000000024</v>
      </c>
      <c r="DO102" s="12">
        <f>IF('Données projet'!$A$166&gt;35,DO101+DN102-DW101,IF(A102&lt;'Données projet'!$A$166,$DL$205^A102,IF(A102='Données projet'!$A$166,'Données projet'!$B$166,DO101+DN102-DW101)))</f>
        <v>325.17500000000035</v>
      </c>
      <c r="DP102" s="17">
        <f>DO102*VLOOKUP('Données projet'!$B$14,Paramètres!$A$1:$I$89,3,0)*VLOOKUP('Données projet'!$B$14,Paramètres!$A$1:$I$89,5,0)</f>
        <v>294.2183400000003</v>
      </c>
      <c r="DQ102" s="13">
        <f t="shared" si="97"/>
        <v>69.963036117759913</v>
      </c>
      <c r="DR102" s="20">
        <f t="shared" si="70"/>
        <v>634.28256340509904</v>
      </c>
      <c r="DS102" s="59">
        <f t="shared" si="71"/>
        <v>920.48327938770626</v>
      </c>
      <c r="DT102" s="59">
        <f ca="1">AVERAGE(OFFSET($DS$3,0,0,'Données projet'!$E$14+1,1))-AVERAGE(OFFSET($H$3,0,0,'Données projet'!$E$14+1,1))</f>
        <v>602.02351907077332</v>
      </c>
      <c r="DU102" s="59">
        <f t="shared" si="98"/>
        <v>278.08067690827272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46.514496216004432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46.514496216004432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68.054740722529218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68.054740722529218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68.054740722529218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68.054740722529218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2.2000000000000002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8.0666666666666682</v>
      </c>
      <c r="H103" s="67">
        <f t="shared" si="56"/>
        <v>224.4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68.08848662204511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360.09035401555587</v>
      </c>
      <c r="T103" s="59">
        <f t="shared" si="88"/>
        <v>266.54879627869821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115.7792847952784</v>
      </c>
      <c r="AA103" s="21">
        <f>EXP(-LN(2)/25)*AA102+(1-EXP(-LN(2)/25))/(LN(2)/25)*Calculateur!V103*Calculateur!X103*VLOOKUP('Données projet'!$B$9,Paramètres!$A$1:$I$89,3,0)*0.475*44/12</f>
        <v>46.374040243921804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162.15332503920021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68.08848662204511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7.7120000000000006</v>
      </c>
      <c r="AI103" s="13">
        <f>IF('Données projet'!$A$62&gt;35,AI102+AH103-AQ102,IF(A103&lt;'Données projet'!$A$62,$AF$205^A103,IF(A103='Données projet'!$A$62,'Données projet'!$B$62,AI102+AH103-AQ102)))</f>
        <v>299.05400000000009</v>
      </c>
      <c r="AJ103" s="13">
        <f>AI103*VLOOKUP('Données projet'!$B$10,Paramètres!$A$1:$I$89,3,0)*VLOOKUP('Données projet'!$B$10,Paramètres!$A$1:$I$89,5,0)</f>
        <v>251.92308960000008</v>
      </c>
      <c r="AK103" s="13">
        <f t="shared" si="89"/>
        <v>60.997557710826641</v>
      </c>
      <c r="AL103" s="20">
        <f t="shared" si="58"/>
        <v>545.00346073302319</v>
      </c>
      <c r="AM103" s="59">
        <f t="shared" si="59"/>
        <v>831.32791168052199</v>
      </c>
      <c r="AN103" s="59">
        <f ca="1">AVERAGE(OFFSET($AM$3,0,0,'Données projet'!$E$10+1,1))-AVERAGE(OFFSET($H$3,0,0,'Données projet'!$E$10+1,1))</f>
        <v>377.26246345103175</v>
      </c>
      <c r="AO103" s="59">
        <f t="shared" si="90"/>
        <v>258.25890564000258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35.971866048853876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35.971866048853876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68.08848662204511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2.2737367544323206E-13</v>
      </c>
      <c r="BE103" s="13">
        <f>BD103*VLOOKUP('Données projet'!$B$11,Paramètres!$A$1:$I$89,3,0)*VLOOKUP('Données projet'!$B$11,Paramètres!$A$1:$I$89,5,0)</f>
        <v>1.0049916454590858E-13</v>
      </c>
      <c r="BF103" s="13">
        <f t="shared" si="91"/>
        <v>1.5089081593838289E-12</v>
      </c>
      <c r="BG103" s="20">
        <f t="shared" si="61"/>
        <v>2.8030510891776262E-12</v>
      </c>
      <c r="BH103" s="59">
        <f t="shared" si="62"/>
        <v>286.32445094750153</v>
      </c>
      <c r="BI103" s="59">
        <f ca="1">AVERAGE(OFFSET($BH$3,0,0,'Données projet'!$E$11+1,1))-AVERAGE(OFFSET($H$3,0,0,'Données projet'!$E$11+1,1))</f>
        <v>333.23043896066253</v>
      </c>
      <c r="BJ103" s="59">
        <f t="shared" si="92"/>
        <v>440.63438368668983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74.746720221014712</v>
      </c>
      <c r="BQ103" s="21">
        <f>EXP(-LN(2)/25)*BQ102+(1-EXP(-LN(2)/25))/(LN(2)/25)*Calculateur!BL103*Calculateur!BN103*VLOOKUP('Données projet'!$B$11,Paramètres!$A$1:$I$89,3,0)*0.475*44/12</f>
        <v>38.728787682668688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113.47550790368339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68.08848662204511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1.1368683772161603E-13</v>
      </c>
      <c r="BZ103" s="13">
        <f>BY103*VLOOKUP('Données projet'!$B$12,Paramètres!$A$1:$I$89,3,0)*VLOOKUP('Données projet'!$B$12,Paramètres!$A$1:$I$89,5,0)</f>
        <v>4.5815795601811263E-14</v>
      </c>
      <c r="CA103" s="13">
        <f t="shared" si="93"/>
        <v>7.5374618042508364E-13</v>
      </c>
      <c r="CB103" s="20">
        <f t="shared" si="64"/>
        <v>1.392570441580175E-12</v>
      </c>
      <c r="CC103" s="59">
        <f t="shared" si="65"/>
        <v>286.32445094750011</v>
      </c>
      <c r="CD103" s="59">
        <f ca="1">AVERAGE(OFFSET($CC$3,0,0,'Données projet'!$E$12+1,1))-AVERAGE(OFFSET($H$3,0,0,'Données projet'!$E$12+1,1))</f>
        <v>177.34129362526608</v>
      </c>
      <c r="CE103" s="59">
        <f t="shared" si="94"/>
        <v>156.93407673501022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57.704584221739438</v>
      </c>
      <c r="CL103" s="21">
        <f>EXP(-LN(2)/25)*CL102+(1-EXP(-LN(2)/25))/(LN(2)/25)*Calculateur!CG103*Calculateur!CI103*VLOOKUP('Données projet'!$B$12,Paramètres!$A$1:$I$89,3,0)*0.475*44/12</f>
        <v>24.355125171301317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82.059709393040748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68.08848662204511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8.5265128291212022E-14</v>
      </c>
      <c r="CU103" s="17">
        <f>CT103*VLOOKUP('Données projet'!$B$13,Paramètres!$A$1:$I$89,3,0)*VLOOKUP('Données projet'!$B$13,Paramètres!$A$1:$I$89,5,0)</f>
        <v>5.5865712056402117E-14</v>
      </c>
      <c r="CV103" s="13">
        <f t="shared" si="95"/>
        <v>8.9811031843713517E-13</v>
      </c>
      <c r="CW103" s="20">
        <f t="shared" si="67"/>
        <v>1.6615082531095774E-12</v>
      </c>
      <c r="CX103" s="59">
        <f t="shared" si="68"/>
        <v>286.3244509475004</v>
      </c>
      <c r="CY103" s="59">
        <f ca="1">AVERAGE(OFFSET($CX$3,0,0,'Données projet'!$E$13+1,1))-AVERAGE(OFFSET($H$3,0,0,'Données projet'!$E$13+1,1))</f>
        <v>267.49254683294629</v>
      </c>
      <c r="CZ103" s="59">
        <f t="shared" si="96"/>
        <v>278.02595256967254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51.729169141410509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51.729169141410509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68.08848662204511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8.0470000000000024</v>
      </c>
      <c r="DO103" s="12">
        <f>IF('Données projet'!$A$166&gt;35,DO102+DN103-DW102,IF(A103&lt;'Données projet'!$A$166,$DL$205^A103,IF(A103='Données projet'!$A$166,'Données projet'!$B$166,DO102+DN103-DW102)))</f>
        <v>333.22200000000038</v>
      </c>
      <c r="DP103" s="17">
        <f>DO103*VLOOKUP('Données projet'!$B$14,Paramètres!$A$1:$I$89,3,0)*VLOOKUP('Données projet'!$B$14,Paramètres!$A$1:$I$89,5,0)</f>
        <v>301.49926560000034</v>
      </c>
      <c r="DQ103" s="13">
        <f t="shared" si="97"/>
        <v>71.490675884857296</v>
      </c>
      <c r="DR103" s="20">
        <f t="shared" si="70"/>
        <v>649.62414808612709</v>
      </c>
      <c r="DS103" s="59">
        <f t="shared" si="71"/>
        <v>935.9485990336259</v>
      </c>
      <c r="DT103" s="59">
        <f ca="1">AVERAGE(OFFSET($DS$3,0,0,'Données projet'!$E$14+1,1))-AVERAGE(OFFSET($H$3,0,0,'Données projet'!$E$14+1,1))</f>
        <v>602.02351907077332</v>
      </c>
      <c r="DU103" s="59">
        <f t="shared" si="98"/>
        <v>278.08067690827272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45.602375316249869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45.602375316249869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68.08848662204511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68.08848662204511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68.08848662204511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68.08848662204511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2.2000000000000002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8.0666666666666682</v>
      </c>
      <c r="H104" s="67">
        <f t="shared" si="56"/>
        <v>224.4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68.121647105648933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360.09035401555587</v>
      </c>
      <c r="T104" s="59">
        <f t="shared" si="88"/>
        <v>266.54879627869821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113.50892363883374</v>
      </c>
      <c r="AA104" s="21">
        <f>EXP(-LN(2)/25)*AA103+(1-EXP(-LN(2)/25))/(LN(2)/25)*Calculateur!V104*Calculateur!X104*VLOOKUP('Données projet'!$B$9,Paramètres!$A$1:$I$89,3,0)*0.475*44/12</f>
        <v>45.105939674746978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158.61486331358071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68.121647105648933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7.7120000000000006</v>
      </c>
      <c r="AI104" s="13">
        <f>IF('Données projet'!$A$62&gt;35,AI103+AH104-AQ103,IF(A104&lt;'Données projet'!$A$62,$AF$205^A104,IF(A104='Données projet'!$A$62,'Données projet'!$B$62,AI103+AH104-AQ103)))</f>
        <v>306.76600000000008</v>
      </c>
      <c r="AJ104" s="13">
        <f>AI104*VLOOKUP('Données projet'!$B$10,Paramètres!$A$1:$I$89,3,0)*VLOOKUP('Données projet'!$B$10,Paramètres!$A$1:$I$89,5,0)</f>
        <v>258.41967840000007</v>
      </c>
      <c r="AK104" s="13">
        <f t="shared" si="89"/>
        <v>62.385397818771914</v>
      </c>
      <c r="AL104" s="20">
        <f t="shared" si="58"/>
        <v>558.73550774769456</v>
      </c>
      <c r="AM104" s="59">
        <f t="shared" si="59"/>
        <v>845.18154713507397</v>
      </c>
      <c r="AN104" s="59">
        <f ca="1">AVERAGE(OFFSET($AM$3,0,0,'Données projet'!$E$10+1,1))-AVERAGE(OFFSET($H$3,0,0,'Données projet'!$E$10+1,1))</f>
        <v>377.26246345103175</v>
      </c>
      <c r="AO104" s="59">
        <f t="shared" si="90"/>
        <v>258.25890564000258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35.266479696307677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35.266479696307677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68.121647105648933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2.2737367544323206E-13</v>
      </c>
      <c r="BE104" s="13">
        <f>BD104*VLOOKUP('Données projet'!$B$11,Paramètres!$A$1:$I$89,3,0)*VLOOKUP('Données projet'!$B$11,Paramètres!$A$1:$I$89,5,0)</f>
        <v>1.0049916454590858E-13</v>
      </c>
      <c r="BF104" s="13">
        <f t="shared" si="91"/>
        <v>1.5089081593838289E-12</v>
      </c>
      <c r="BG104" s="20">
        <f t="shared" si="61"/>
        <v>2.8030510891776262E-12</v>
      </c>
      <c r="BH104" s="59">
        <f t="shared" si="62"/>
        <v>286.4460393873822</v>
      </c>
      <c r="BI104" s="59">
        <f ca="1">AVERAGE(OFFSET($BH$3,0,0,'Données projet'!$E$11+1,1))-AVERAGE(OFFSET($H$3,0,0,'Données projet'!$E$11+1,1))</f>
        <v>333.23043896066253</v>
      </c>
      <c r="BJ104" s="59">
        <f t="shared" si="92"/>
        <v>440.63438368668983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73.280982628478213</v>
      </c>
      <c r="BQ104" s="21">
        <f>EXP(-LN(2)/25)*BQ103+(1-EXP(-LN(2)/25))/(LN(2)/25)*Calculateur!BL104*Calculateur!BN104*VLOOKUP('Données projet'!$B$11,Paramètres!$A$1:$I$89,3,0)*0.475*44/12</f>
        <v>37.669746946827686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110.9507295753059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68.121647105648933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1.1368683772161603E-13</v>
      </c>
      <c r="BZ104" s="13">
        <f>BY104*VLOOKUP('Données projet'!$B$12,Paramètres!$A$1:$I$89,3,0)*VLOOKUP('Données projet'!$B$12,Paramètres!$A$1:$I$89,5,0)</f>
        <v>4.5815795601811263E-14</v>
      </c>
      <c r="CA104" s="13">
        <f t="shared" si="93"/>
        <v>7.5374618042508364E-13</v>
      </c>
      <c r="CB104" s="20">
        <f t="shared" si="64"/>
        <v>1.392570441580175E-12</v>
      </c>
      <c r="CC104" s="59">
        <f t="shared" si="65"/>
        <v>286.44603938738078</v>
      </c>
      <c r="CD104" s="59">
        <f ca="1">AVERAGE(OFFSET($CC$3,0,0,'Données projet'!$E$12+1,1))-AVERAGE(OFFSET($H$3,0,0,'Données projet'!$E$12+1,1))</f>
        <v>177.34129362526608</v>
      </c>
      <c r="CE104" s="59">
        <f t="shared" si="94"/>
        <v>156.93407673501022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56.573032521472157</v>
      </c>
      <c r="CL104" s="21">
        <f>EXP(-LN(2)/25)*CL103+(1-EXP(-LN(2)/25))/(LN(2)/25)*Calculateur!CG104*Calculateur!CI104*VLOOKUP('Données projet'!$B$12,Paramètres!$A$1:$I$89,3,0)*0.475*44/12</f>
        <v>23.689132992711713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80.262165514183863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68.121647105648933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8.5265128291212022E-14</v>
      </c>
      <c r="CU104" s="17">
        <f>CT104*VLOOKUP('Données projet'!$B$13,Paramètres!$A$1:$I$89,3,0)*VLOOKUP('Données projet'!$B$13,Paramètres!$A$1:$I$89,5,0)</f>
        <v>5.5865712056402117E-14</v>
      </c>
      <c r="CV104" s="13">
        <f t="shared" si="95"/>
        <v>8.9811031843713517E-13</v>
      </c>
      <c r="CW104" s="20">
        <f t="shared" si="67"/>
        <v>1.6615082531095774E-12</v>
      </c>
      <c r="CX104" s="59">
        <f t="shared" si="68"/>
        <v>286.44603938738106</v>
      </c>
      <c r="CY104" s="59">
        <f ca="1">AVERAGE(OFFSET($CX$3,0,0,'Données projet'!$E$13+1,1))-AVERAGE(OFFSET($H$3,0,0,'Données projet'!$E$13+1,1))</f>
        <v>267.49254683294629</v>
      </c>
      <c r="CZ104" s="59">
        <f t="shared" si="96"/>
        <v>278.02595256967254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50.714791686225155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50.714791686225155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68.121647105648933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8.0470000000000024</v>
      </c>
      <c r="DO104" s="12">
        <f>IF('Données projet'!$A$166&gt;35,DO103+DN104-DW103,IF(A104&lt;'Données projet'!$A$166,$DL$205^A104,IF(A104='Données projet'!$A$166,'Données projet'!$B$166,DO103+DN104-DW103)))</f>
        <v>341.2690000000004</v>
      </c>
      <c r="DP104" s="17">
        <f>DO104*VLOOKUP('Données projet'!$B$14,Paramètres!$A$1:$I$89,3,0)*VLOOKUP('Données projet'!$B$14,Paramètres!$A$1:$I$89,5,0)</f>
        <v>308.78019120000033</v>
      </c>
      <c r="DQ104" s="13">
        <f t="shared" si="97"/>
        <v>73.014027120130123</v>
      </c>
      <c r="DR104" s="20">
        <f t="shared" si="70"/>
        <v>664.95826357422709</v>
      </c>
      <c r="DS104" s="59">
        <f t="shared" si="71"/>
        <v>951.4043029616065</v>
      </c>
      <c r="DT104" s="59">
        <f ca="1">AVERAGE(OFFSET($DS$3,0,0,'Données projet'!$E$14+1,1))-AVERAGE(OFFSET($H$3,0,0,'Données projet'!$E$14+1,1))</f>
        <v>602.02351907077332</v>
      </c>
      <c r="DU104" s="59">
        <f t="shared" si="98"/>
        <v>278.08067690827272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44.708140551000682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44.708140551000682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68.121647105648933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68.121647105648933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68.121647105648933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68.121647105648933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2.2000000000000002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8.0666666666666682</v>
      </c>
      <c r="H105" s="67">
        <f t="shared" si="56"/>
        <v>224.4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68.154232328997963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360.09035401555587</v>
      </c>
      <c r="T105" s="59">
        <f t="shared" si="88"/>
        <v>266.54879627869821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111.28308287988338</v>
      </c>
      <c r="AA105" s="21">
        <f>EXP(-LN(2)/25)*AA104+(1-EXP(-LN(2)/25))/(LN(2)/25)*Calculateur!V105*Calculateur!X105*VLOOKUP('Données projet'!$B$9,Paramètres!$A$1:$I$89,3,0)*0.475*44/12</f>
        <v>43.872515382322746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155.15559826220613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68.154232328997963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7.7120000000000006</v>
      </c>
      <c r="AI105" s="13">
        <f>IF('Données projet'!$A$62&gt;35,AI104+AH105-AQ104,IF(A105&lt;'Données projet'!$A$62,$AF$205^A105,IF(A105='Données projet'!$A$62,'Données projet'!$B$62,AI104+AH105-AQ104)))</f>
        <v>314.47800000000007</v>
      </c>
      <c r="AJ105" s="13">
        <f>AI105*VLOOKUP('Données projet'!$B$10,Paramètres!$A$1:$I$89,3,0)*VLOOKUP('Données projet'!$B$10,Paramètres!$A$1:$I$89,5,0)</f>
        <v>264.91626720000011</v>
      </c>
      <c r="AK105" s="13">
        <f t="shared" si="89"/>
        <v>63.769182231734497</v>
      </c>
      <c r="AL105" s="20">
        <f t="shared" si="58"/>
        <v>572.46049109360445</v>
      </c>
      <c r="AM105" s="59">
        <f t="shared" si="59"/>
        <v>859.02600963326358</v>
      </c>
      <c r="AN105" s="59">
        <f ca="1">AVERAGE(OFFSET($AM$3,0,0,'Données projet'!$E$10+1,1))-AVERAGE(OFFSET($H$3,0,0,'Données projet'!$E$10+1,1))</f>
        <v>377.26246345103175</v>
      </c>
      <c r="AO105" s="59">
        <f t="shared" si="90"/>
        <v>258.25890564000258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34.574925539891723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34.574925539891723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68.154232328997963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2.2737367544323206E-13</v>
      </c>
      <c r="BE105" s="13">
        <f>BD105*VLOOKUP('Données projet'!$B$11,Paramètres!$A$1:$I$89,3,0)*VLOOKUP('Données projet'!$B$11,Paramètres!$A$1:$I$89,5,0)</f>
        <v>1.0049916454590858E-13</v>
      </c>
      <c r="BF105" s="13">
        <f t="shared" si="91"/>
        <v>1.5089081593838289E-12</v>
      </c>
      <c r="BG105" s="20">
        <f t="shared" si="61"/>
        <v>2.8030510891776262E-12</v>
      </c>
      <c r="BH105" s="59">
        <f t="shared" si="62"/>
        <v>286.56551853966198</v>
      </c>
      <c r="BI105" s="59">
        <f ca="1">AVERAGE(OFFSET($BH$3,0,0,'Données projet'!$E$11+1,1))-AVERAGE(OFFSET($H$3,0,0,'Données projet'!$E$11+1,1))</f>
        <v>333.23043896066253</v>
      </c>
      <c r="BJ105" s="59">
        <f t="shared" si="92"/>
        <v>440.63438368668983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71.843987256119703</v>
      </c>
      <c r="BQ105" s="21">
        <f>EXP(-LN(2)/25)*BQ104+(1-EXP(-LN(2)/25))/(LN(2)/25)*Calculateur!BL105*Calculateur!BN105*VLOOKUP('Données projet'!$B$11,Paramètres!$A$1:$I$89,3,0)*0.475*44/12</f>
        <v>36.639665735600786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108.48365299172049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68.154232328997963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1.1368683772161603E-13</v>
      </c>
      <c r="BZ105" s="13">
        <f>BY105*VLOOKUP('Données projet'!$B$12,Paramètres!$A$1:$I$89,3,0)*VLOOKUP('Données projet'!$B$12,Paramètres!$A$1:$I$89,5,0)</f>
        <v>4.5815795601811263E-14</v>
      </c>
      <c r="CA105" s="13">
        <f t="shared" si="93"/>
        <v>7.5374618042508364E-13</v>
      </c>
      <c r="CB105" s="20">
        <f t="shared" si="64"/>
        <v>1.392570441580175E-12</v>
      </c>
      <c r="CC105" s="59">
        <f t="shared" si="65"/>
        <v>286.56551853966056</v>
      </c>
      <c r="CD105" s="59">
        <f ca="1">AVERAGE(OFFSET($CC$3,0,0,'Données projet'!$E$12+1,1))-AVERAGE(OFFSET($H$3,0,0,'Données projet'!$E$12+1,1))</f>
        <v>177.34129362526608</v>
      </c>
      <c r="CE105" s="59">
        <f t="shared" si="94"/>
        <v>156.93407673501022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55.46366985986873</v>
      </c>
      <c r="CL105" s="21">
        <f>EXP(-LN(2)/25)*CL104+(1-EXP(-LN(2)/25))/(LN(2)/25)*Calculateur!CG105*Calculateur!CI105*VLOOKUP('Données projet'!$B$12,Paramètres!$A$1:$I$89,3,0)*0.475*44/12</f>
        <v>23.04135240526865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78.505022265137384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68.154232328997963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8.5265128291212022E-14</v>
      </c>
      <c r="CU105" s="17">
        <f>CT105*VLOOKUP('Données projet'!$B$13,Paramètres!$A$1:$I$89,3,0)*VLOOKUP('Données projet'!$B$13,Paramètres!$A$1:$I$89,5,0)</f>
        <v>5.5865712056402117E-14</v>
      </c>
      <c r="CV105" s="13">
        <f t="shared" si="95"/>
        <v>8.9811031843713517E-13</v>
      </c>
      <c r="CW105" s="20">
        <f t="shared" si="67"/>
        <v>1.6615082531095774E-12</v>
      </c>
      <c r="CX105" s="59">
        <f t="shared" si="68"/>
        <v>286.56551853966084</v>
      </c>
      <c r="CY105" s="59">
        <f ca="1">AVERAGE(OFFSET($CX$3,0,0,'Données projet'!$E$13+1,1))-AVERAGE(OFFSET($H$3,0,0,'Données projet'!$E$13+1,1))</f>
        <v>267.49254683294629</v>
      </c>
      <c r="CZ105" s="59">
        <f t="shared" si="96"/>
        <v>278.02595256967254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49.720305554226833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49.720305554226833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68.154232328997963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8.0470000000000024</v>
      </c>
      <c r="DO105" s="12">
        <f>IF('Données projet'!$A$166&gt;35,DO104+DN105-DW104,IF(A105&lt;'Données projet'!$A$166,$DL$205^A105,IF(A105='Données projet'!$A$166,'Données projet'!$B$166,DO104+DN105-DW104)))</f>
        <v>349.31600000000043</v>
      </c>
      <c r="DP105" s="17">
        <f>DO105*VLOOKUP('Données projet'!$B$14,Paramètres!$A$1:$I$89,3,0)*VLOOKUP('Données projet'!$B$14,Paramètres!$A$1:$I$89,5,0)</f>
        <v>316.06111680000038</v>
      </c>
      <c r="DQ105" s="13">
        <f t="shared" si="97"/>
        <v>74.533202582557081</v>
      </c>
      <c r="DR105" s="20">
        <f t="shared" si="70"/>
        <v>680.28510625795423</v>
      </c>
      <c r="DS105" s="59">
        <f t="shared" si="71"/>
        <v>966.85062479761336</v>
      </c>
      <c r="DT105" s="59">
        <f ca="1">AVERAGE(OFFSET($DS$3,0,0,'Données projet'!$E$14+1,1))-AVERAGE(OFFSET($H$3,0,0,'Données projet'!$E$14+1,1))</f>
        <v>602.02351907077332</v>
      </c>
      <c r="DU105" s="59">
        <f t="shared" si="98"/>
        <v>278.08067690827272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43.83144118406868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43.83144118406868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68.154232328997963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68.154232328997963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68.154232328997963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68.154232328997963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2.2000000000000002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8.0666666666666682</v>
      </c>
      <c r="H106" s="67">
        <f t="shared" si="56"/>
        <v>224.4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68.186252271571533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360.09035401555587</v>
      </c>
      <c r="T106" s="59">
        <f t="shared" si="88"/>
        <v>266.54879627869821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109.10088950058723</v>
      </c>
      <c r="AA106" s="21">
        <f>EXP(-LN(2)/25)*AA105+(1-EXP(-LN(2)/25))/(LN(2)/25)*Calculateur!V106*Calculateur!X106*VLOOKUP('Données projet'!$B$9,Paramètres!$A$1:$I$89,3,0)*0.475*44/12</f>
        <v>42.672819142037817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151.77370864262505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68.186252271571533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322.19</v>
      </c>
      <c r="AG106" s="12">
        <f>VLOOKUP(A106,'Données projet'!$A$61:$I$81,9,0)</f>
        <v>7.7120000000000006</v>
      </c>
      <c r="AH106" s="12">
        <f t="array" ref="AH106">INDEX(AG:AG,MIN(IF(ISNUMBER(AG106:AG302),ROW(AG106:AG302),"")))</f>
        <v>7.7120000000000006</v>
      </c>
      <c r="AI106" s="13">
        <f>IF('Données projet'!$A$62&gt;35,AI105+AH106-AQ105,IF(A106&lt;'Données projet'!$A$62,$AF$205^A106,IF(A106='Données projet'!$A$62,'Données projet'!$B$62,AI105+AH106-AQ105)))</f>
        <v>322.19000000000005</v>
      </c>
      <c r="AJ106" s="13">
        <f>AI106*VLOOKUP('Données projet'!$B$10,Paramètres!$A$1:$I$89,3,0)*VLOOKUP('Données projet'!$B$10,Paramètres!$A$1:$I$89,5,0)</f>
        <v>271.41285600000009</v>
      </c>
      <c r="AK106" s="13">
        <f t="shared" si="89"/>
        <v>65.149021849374975</v>
      </c>
      <c r="AL106" s="20">
        <f t="shared" si="58"/>
        <v>586.17860392099487</v>
      </c>
      <c r="AM106" s="59">
        <f t="shared" si="59"/>
        <v>872.86152891675715</v>
      </c>
      <c r="AN106" s="59">
        <f ca="1">AVERAGE(OFFSET($AM$3,0,0,'Données projet'!$E$10+1,1))-AVERAGE(OFFSET($H$3,0,0,'Données projet'!$E$10+1,1))</f>
        <v>377.26246345103175</v>
      </c>
      <c r="AO106" s="59">
        <f t="shared" si="90"/>
        <v>258.25890564000258</v>
      </c>
      <c r="AP106" s="15">
        <f>IF(ISNA(VLOOKUP(A106,'Données projet'!$A$61:$I$81,3,0)),0,VLOOKUP(A106,'Données projet'!$A$61:$I$81,3,0))</f>
        <v>9</v>
      </c>
      <c r="AQ106" s="15">
        <f>IF(ISNA(VLOOKUP(A106,'Données projet'!$A$61:$I$81,4,0)),0,VLOOKUP(A106,'Données projet'!$A$61:$I$81,4,0))</f>
        <v>58.98</v>
      </c>
      <c r="AR106" s="16">
        <f>IF(ISNA(VLOOKUP(A106,'Données projet'!$A$61:$I$81,5,0)),0%,VLOOKUP(A106,'Données projet'!$A$61:$I$81,5,0)*VLOOKUP('Données projet'!$B$10,Paramètres!$A$1:$I$89,7,0))</f>
        <v>0.25800000000000001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48.067587924490347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48.067587924490347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68.186252271571533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2.2737367544323206E-13</v>
      </c>
      <c r="BE106" s="13">
        <f>BD106*VLOOKUP('Données projet'!$B$11,Paramètres!$A$1:$I$89,3,0)*VLOOKUP('Données projet'!$B$11,Paramètres!$A$1:$I$89,5,0)</f>
        <v>1.0049916454590858E-13</v>
      </c>
      <c r="BF106" s="13">
        <f t="shared" si="91"/>
        <v>1.5089081593838289E-12</v>
      </c>
      <c r="BG106" s="20">
        <f t="shared" si="61"/>
        <v>2.8030510891776262E-12</v>
      </c>
      <c r="BH106" s="59">
        <f t="shared" si="62"/>
        <v>286.68292499576506</v>
      </c>
      <c r="BI106" s="59">
        <f ca="1">AVERAGE(OFFSET($BH$3,0,0,'Données projet'!$E$11+1,1))-AVERAGE(OFFSET($H$3,0,0,'Données projet'!$E$11+1,1))</f>
        <v>333.23043896066253</v>
      </c>
      <c r="BJ106" s="59">
        <f t="shared" si="92"/>
        <v>440.63438368668983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70.435170486532513</v>
      </c>
      <c r="BQ106" s="21">
        <f>EXP(-LN(2)/25)*BQ105+(1-EXP(-LN(2)/25))/(LN(2)/25)*Calculateur!BL106*Calculateur!BN106*VLOOKUP('Données projet'!$B$11,Paramètres!$A$1:$I$89,3,0)*0.475*44/12</f>
        <v>35.6377521492645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106.07292263579701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68.186252271571533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1.1368683772161603E-13</v>
      </c>
      <c r="BZ106" s="13">
        <f>BY106*VLOOKUP('Données projet'!$B$12,Paramètres!$A$1:$I$89,3,0)*VLOOKUP('Données projet'!$B$12,Paramètres!$A$1:$I$89,5,0)</f>
        <v>4.5815795601811263E-14</v>
      </c>
      <c r="CA106" s="13">
        <f t="shared" si="93"/>
        <v>7.5374618042508364E-13</v>
      </c>
      <c r="CB106" s="20">
        <f t="shared" si="64"/>
        <v>1.392570441580175E-12</v>
      </c>
      <c r="CC106" s="59">
        <f t="shared" si="65"/>
        <v>286.68292499576364</v>
      </c>
      <c r="CD106" s="59">
        <f ca="1">AVERAGE(OFFSET($CC$3,0,0,'Données projet'!$E$12+1,1))-AVERAGE(OFFSET($H$3,0,0,'Données projet'!$E$12+1,1))</f>
        <v>177.34129362526608</v>
      </c>
      <c r="CE106" s="59">
        <f t="shared" si="94"/>
        <v>156.93407673501022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54.376061123414935</v>
      </c>
      <c r="CL106" s="21">
        <f>EXP(-LN(2)/25)*CL105+(1-EXP(-LN(2)/25))/(LN(2)/25)*Calculateur!CG106*Calculateur!CI106*VLOOKUP('Données projet'!$B$12,Paramètres!$A$1:$I$89,3,0)*0.475*44/12</f>
        <v>22.411285412054518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76.787346535469453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68.186252271571533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8.5265128291212022E-14</v>
      </c>
      <c r="CU106" s="17">
        <f>CT106*VLOOKUP('Données projet'!$B$13,Paramètres!$A$1:$I$89,3,0)*VLOOKUP('Données projet'!$B$13,Paramètres!$A$1:$I$89,5,0)</f>
        <v>5.5865712056402117E-14</v>
      </c>
      <c r="CV106" s="13">
        <f t="shared" si="95"/>
        <v>8.9811031843713517E-13</v>
      </c>
      <c r="CW106" s="20">
        <f t="shared" si="67"/>
        <v>1.6615082531095774E-12</v>
      </c>
      <c r="CX106" s="59">
        <f t="shared" si="68"/>
        <v>286.68292499576393</v>
      </c>
      <c r="CY106" s="59">
        <f ca="1">AVERAGE(OFFSET($CX$3,0,0,'Données projet'!$E$13+1,1))-AVERAGE(OFFSET($H$3,0,0,'Données projet'!$E$13+1,1))</f>
        <v>267.49254683294629</v>
      </c>
      <c r="CZ106" s="59">
        <f t="shared" si="96"/>
        <v>278.02595256967254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48.745320688700353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48.745320688700353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68.186252271571533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8.0470000000000024</v>
      </c>
      <c r="DO106" s="12">
        <f>IF('Données projet'!$A$166&gt;35,DO105+DN106-DW105,IF(A106&lt;'Données projet'!$A$166,$DL$205^A106,IF(A106='Données projet'!$A$166,'Données projet'!$B$166,DO105+DN106-DW105)))</f>
        <v>357.36300000000045</v>
      </c>
      <c r="DP106" s="17">
        <f>DO106*VLOOKUP('Données projet'!$B$14,Paramètres!$A$1:$I$89,3,0)*VLOOKUP('Données projet'!$B$14,Paramètres!$A$1:$I$89,5,0)</f>
        <v>323.34204240000037</v>
      </c>
      <c r="DQ106" s="13">
        <f t="shared" si="97"/>
        <v>76.048309539529996</v>
      </c>
      <c r="DR106" s="20">
        <f t="shared" si="70"/>
        <v>695.60486296134877</v>
      </c>
      <c r="DS106" s="59">
        <f t="shared" si="71"/>
        <v>982.28778795711105</v>
      </c>
      <c r="DT106" s="59">
        <f ca="1">AVERAGE(OFFSET($DS$3,0,0,'Données projet'!$E$14+1,1))-AVERAGE(OFFSET($H$3,0,0,'Données projet'!$E$14+1,1))</f>
        <v>602.02351907077332</v>
      </c>
      <c r="DU106" s="59">
        <f t="shared" si="98"/>
        <v>278.08067690827272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42.971933356988401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42.971933356988401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68.186252271571533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68.186252271571533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68.186252271571533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68.186252271571533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2.2000000000000002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8.0666666666666682</v>
      </c>
      <c r="H107" s="67">
        <f t="shared" si="56"/>
        <v>224.4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68.217716739727308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360.09035401555587</v>
      </c>
      <c r="T107" s="59">
        <f t="shared" si="88"/>
        <v>266.54879627869821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106.96148760245254</v>
      </c>
      <c r="AA107" s="21">
        <f>EXP(-LN(2)/25)*AA106+(1-EXP(-LN(2)/25))/(LN(2)/25)*Calculateur!V107*Calculateur!X107*VLOOKUP('Données projet'!$B$9,Paramètres!$A$1:$I$89,3,0)*0.475*44/12</f>
        <v>41.505928658532767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148.46741626098532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68.217716739727308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7.456999999999999</v>
      </c>
      <c r="AI107" s="13">
        <f>IF('Données projet'!$A$62&gt;35,AI106+AH107-AQ106,IF(A107&lt;'Données projet'!$A$62,$AF$205^A107,IF(A107='Données projet'!$A$62,'Données projet'!$B$62,AI106+AH107-AQ106)))</f>
        <v>270.66700000000003</v>
      </c>
      <c r="AJ107" s="13">
        <f>AI107*VLOOKUP('Données projet'!$B$10,Paramètres!$A$1:$I$89,3,0)*VLOOKUP('Données projet'!$B$10,Paramètres!$A$1:$I$89,5,0)</f>
        <v>228.00988080000005</v>
      </c>
      <c r="AK107" s="13">
        <f t="shared" si="89"/>
        <v>55.852153831597562</v>
      </c>
      <c r="AL107" s="20">
        <f t="shared" si="58"/>
        <v>494.39304365003255</v>
      </c>
      <c r="AM107" s="59">
        <f t="shared" si="59"/>
        <v>781.19133836236597</v>
      </c>
      <c r="AN107" s="59">
        <f ca="1">AVERAGE(OFFSET($AM$3,0,0,'Données projet'!$E$10+1,1))-AVERAGE(OFFSET($H$3,0,0,'Données projet'!$E$10+1,1))</f>
        <v>377.26246345103175</v>
      </c>
      <c r="AO107" s="59">
        <f t="shared" si="90"/>
        <v>258.25890564000258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47.125011843624783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47.125011843624783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68.217716739727308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2.2737367544323206E-13</v>
      </c>
      <c r="BE107" s="13">
        <f>BD107*VLOOKUP('Données projet'!$B$11,Paramètres!$A$1:$I$89,3,0)*VLOOKUP('Données projet'!$B$11,Paramètres!$A$1:$I$89,5,0)</f>
        <v>1.0049916454590858E-13</v>
      </c>
      <c r="BF107" s="13">
        <f t="shared" si="91"/>
        <v>1.5089081593838289E-12</v>
      </c>
      <c r="BG107" s="20">
        <f t="shared" si="61"/>
        <v>2.8030510891776262E-12</v>
      </c>
      <c r="BH107" s="59">
        <f t="shared" si="62"/>
        <v>286.79829471233626</v>
      </c>
      <c r="BI107" s="59">
        <f ca="1">AVERAGE(OFFSET($BH$3,0,0,'Données projet'!$E$11+1,1))-AVERAGE(OFFSET($H$3,0,0,'Données projet'!$E$11+1,1))</f>
        <v>333.23043896066253</v>
      </c>
      <c r="BJ107" s="59">
        <f t="shared" si="92"/>
        <v>440.63438368668983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69.053979754503544</v>
      </c>
      <c r="BQ107" s="21">
        <f>EXP(-LN(2)/25)*BQ106+(1-EXP(-LN(2)/25))/(LN(2)/25)*Calculateur!BL107*Calculateur!BN107*VLOOKUP('Données projet'!$B$11,Paramètres!$A$1:$I$89,3,0)*0.475*44/12</f>
        <v>34.663235942634927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103.71721569713847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68.217716739727308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1.1368683772161603E-13</v>
      </c>
      <c r="BZ107" s="13">
        <f>BY107*VLOOKUP('Données projet'!$B$12,Paramètres!$A$1:$I$89,3,0)*VLOOKUP('Données projet'!$B$12,Paramètres!$A$1:$I$89,5,0)</f>
        <v>4.5815795601811263E-14</v>
      </c>
      <c r="CA107" s="13">
        <f t="shared" si="93"/>
        <v>7.5374618042508364E-13</v>
      </c>
      <c r="CB107" s="20">
        <f t="shared" si="64"/>
        <v>1.392570441580175E-12</v>
      </c>
      <c r="CC107" s="59">
        <f t="shared" si="65"/>
        <v>286.79829471233484</v>
      </c>
      <c r="CD107" s="59">
        <f ca="1">AVERAGE(OFFSET($CC$3,0,0,'Données projet'!$E$12+1,1))-AVERAGE(OFFSET($H$3,0,0,'Données projet'!$E$12+1,1))</f>
        <v>177.34129362526608</v>
      </c>
      <c r="CE107" s="59">
        <f t="shared" si="94"/>
        <v>156.93407673501022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53.309779730907174</v>
      </c>
      <c r="CL107" s="21">
        <f>EXP(-LN(2)/25)*CL106+(1-EXP(-LN(2)/25))/(LN(2)/25)*Calculateur!CG107*Calculateur!CI107*VLOOKUP('Données projet'!$B$12,Paramètres!$A$1:$I$89,3,0)*0.475*44/12</f>
        <v>21.79844763390361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75.108227364810787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68.217716739727308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8.5265128291212022E-14</v>
      </c>
      <c r="CU107" s="17">
        <f>CT107*VLOOKUP('Données projet'!$B$13,Paramètres!$A$1:$I$89,3,0)*VLOOKUP('Données projet'!$B$13,Paramètres!$A$1:$I$89,5,0)</f>
        <v>5.5865712056402117E-14</v>
      </c>
      <c r="CV107" s="13">
        <f t="shared" si="95"/>
        <v>8.9811031843713517E-13</v>
      </c>
      <c r="CW107" s="20">
        <f t="shared" si="67"/>
        <v>1.6615082531095774E-12</v>
      </c>
      <c r="CX107" s="59">
        <f t="shared" si="68"/>
        <v>286.79829471233512</v>
      </c>
      <c r="CY107" s="59">
        <f ca="1">AVERAGE(OFFSET($CX$3,0,0,'Données projet'!$E$13+1,1))-AVERAGE(OFFSET($H$3,0,0,'Données projet'!$E$13+1,1))</f>
        <v>267.49254683294629</v>
      </c>
      <c r="CZ107" s="59">
        <f t="shared" si="96"/>
        <v>278.02595256967254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47.789454681704797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47.789454681704797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68.217716739727308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>
        <f>VLOOKUP(A107,'Données projet'!$A$165:$I$185,2,0)</f>
        <v>365.41</v>
      </c>
      <c r="DM107" s="12">
        <f>VLOOKUP(A107,'Données projet'!$A$165:$I$185,9,0)</f>
        <v>8.0470000000000024</v>
      </c>
      <c r="DN107" s="12">
        <f t="array" ref="DN107">INDEX(DM:DM,MIN(IF(ISNUMBER(DM107:DM303),ROW(DM107:DM303),"")))</f>
        <v>8.0470000000000024</v>
      </c>
      <c r="DO107" s="12">
        <f>IF('Données projet'!$A$166&gt;35,DO106+DN107-DW106,IF(A107&lt;'Données projet'!$A$166,$DL$205^A107,IF(A107='Données projet'!$A$166,'Données projet'!$B$166,DO106+DN107-DW106)))</f>
        <v>365.41000000000048</v>
      </c>
      <c r="DP107" s="17">
        <f>DO107*VLOOKUP('Données projet'!$B$14,Paramètres!$A$1:$I$89,3,0)*VLOOKUP('Données projet'!$B$14,Paramètres!$A$1:$I$89,5,0)</f>
        <v>330.62296800000041</v>
      </c>
      <c r="DQ107" s="13">
        <f t="shared" si="97"/>
        <v>77.559450151847827</v>
      </c>
      <c r="DR107" s="20">
        <f t="shared" si="70"/>
        <v>710.91771161446911</v>
      </c>
      <c r="DS107" s="59">
        <f t="shared" si="71"/>
        <v>997.71600632680259</v>
      </c>
      <c r="DT107" s="59">
        <f ca="1">AVERAGE(OFFSET($DS$3,0,0,'Données projet'!$E$14+1,1))-AVERAGE(OFFSET($H$3,0,0,'Données projet'!$E$14+1,1))</f>
        <v>602.02351907077332</v>
      </c>
      <c r="DU107" s="59">
        <f t="shared" si="98"/>
        <v>278.08067690827272</v>
      </c>
      <c r="DV107" s="15">
        <f>IF(ISNA(VLOOKUP(A107,'Données projet'!$A$165:$I$185,3,0)),0,VLOOKUP(A107,'Données projet'!$A$165:$I$185,3,0))</f>
        <v>8</v>
      </c>
      <c r="DW107" s="15">
        <f>IF(ISNA(VLOOKUP(A107,'Données projet'!$A$165:$I$185,4,0)),0,VLOOKUP(A107,'Données projet'!$A$165:$I$185,4,0))</f>
        <v>60.19</v>
      </c>
      <c r="DX107" s="16">
        <f>IF(ISNA(VLOOKUP(A107,'Données projet'!$A$165:$I$185,5,0)),0%,VLOOKUP(A107,'Données projet'!$A$165:$I$185,5,0)*VLOOKUP('Données projet'!$B$14,Paramètres!$A$1:$I$89,7,0))</f>
        <v>0.25800000000000001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57.661865407845688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57.661865407845688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68.217716739727308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68.217716739727308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68.217716739727308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68.217716739727308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2.2000000000000002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8.0666666666666682</v>
      </c>
      <c r="H108" s="67">
        <f t="shared" si="56"/>
        <v>224.4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68.248635369704616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360.09035401555587</v>
      </c>
      <c r="T108" s="59">
        <f t="shared" si="88"/>
        <v>266.54879627869821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104.86403807063395</v>
      </c>
      <c r="AA108" s="21">
        <f>EXP(-LN(2)/25)*AA107+(1-EXP(-LN(2)/25))/(LN(2)/25)*Calculateur!V108*Calculateur!X108*VLOOKUP('Données projet'!$B$9,Paramètres!$A$1:$I$89,3,0)*0.475*44/12</f>
        <v>40.370946856663267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145.23498492729721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68.248635369704616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7.456999999999999</v>
      </c>
      <c r="AI108" s="13">
        <f>IF('Données projet'!$A$62&gt;35,AI107+AH108-AQ107,IF(A108&lt;'Données projet'!$A$62,$AF$205^A108,IF(A108='Données projet'!$A$62,'Données projet'!$B$62,AI107+AH108-AQ107)))</f>
        <v>278.12400000000002</v>
      </c>
      <c r="AJ108" s="13">
        <f>AI108*VLOOKUP('Données projet'!$B$10,Paramètres!$A$1:$I$89,3,0)*VLOOKUP('Données projet'!$B$10,Paramètres!$A$1:$I$89,5,0)</f>
        <v>234.29165760000006</v>
      </c>
      <c r="AK108" s="13">
        <f t="shared" si="89"/>
        <v>57.209637433767824</v>
      </c>
      <c r="AL108" s="20">
        <f t="shared" si="58"/>
        <v>507.69808885047905</v>
      </c>
      <c r="AM108" s="59">
        <f t="shared" si="59"/>
        <v>794.60975187272925</v>
      </c>
      <c r="AN108" s="59">
        <f ca="1">AVERAGE(OFFSET($AM$3,0,0,'Données projet'!$E$10+1,1))-AVERAGE(OFFSET($H$3,0,0,'Données projet'!$E$10+1,1))</f>
        <v>377.26246345103175</v>
      </c>
      <c r="AO108" s="59">
        <f t="shared" si="90"/>
        <v>258.25890564000258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46.200919104790351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46.200919104790351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68.248635369704616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2.2737367544323206E-13</v>
      </c>
      <c r="BE108" s="13">
        <f>BD108*VLOOKUP('Données projet'!$B$11,Paramètres!$A$1:$I$89,3,0)*VLOOKUP('Données projet'!$B$11,Paramètres!$A$1:$I$89,5,0)</f>
        <v>1.0049916454590858E-13</v>
      </c>
      <c r="BF108" s="13">
        <f t="shared" si="91"/>
        <v>1.5089081593838289E-12</v>
      </c>
      <c r="BG108" s="20">
        <f t="shared" si="61"/>
        <v>2.8030510891776262E-12</v>
      </c>
      <c r="BH108" s="59">
        <f t="shared" si="62"/>
        <v>286.91166302225304</v>
      </c>
      <c r="BI108" s="59">
        <f ca="1">AVERAGE(OFFSET($BH$3,0,0,'Données projet'!$E$11+1,1))-AVERAGE(OFFSET($H$3,0,0,'Données projet'!$E$11+1,1))</f>
        <v>333.23043896066253</v>
      </c>
      <c r="BJ108" s="59">
        <f t="shared" si="92"/>
        <v>440.63438368668983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67.699873330286493</v>
      </c>
      <c r="BQ108" s="21">
        <f>EXP(-LN(2)/25)*BQ107+(1-EXP(-LN(2)/25))/(LN(2)/25)*Calculateur!BL108*Calculateur!BN108*VLOOKUP('Données projet'!$B$11,Paramètres!$A$1:$I$89,3,0)*0.475*44/12</f>
        <v>33.715367932923222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101.41524126320971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68.248635369704616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1.1368683772161603E-13</v>
      </c>
      <c r="BZ108" s="13">
        <f>BY108*VLOOKUP('Données projet'!$B$12,Paramètres!$A$1:$I$89,3,0)*VLOOKUP('Données projet'!$B$12,Paramètres!$A$1:$I$89,5,0)</f>
        <v>4.5815795601811263E-14</v>
      </c>
      <c r="CA108" s="13">
        <f t="shared" si="93"/>
        <v>7.5374618042508364E-13</v>
      </c>
      <c r="CB108" s="20">
        <f t="shared" si="64"/>
        <v>1.392570441580175E-12</v>
      </c>
      <c r="CC108" s="59">
        <f t="shared" si="65"/>
        <v>286.91166302225162</v>
      </c>
      <c r="CD108" s="59">
        <f ca="1">AVERAGE(OFFSET($CC$3,0,0,'Données projet'!$E$12+1,1))-AVERAGE(OFFSET($H$3,0,0,'Données projet'!$E$12+1,1))</f>
        <v>177.34129362526608</v>
      </c>
      <c r="CE108" s="59">
        <f t="shared" si="94"/>
        <v>156.93407673501022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52.264407466139055</v>
      </c>
      <c r="CL108" s="21">
        <f>EXP(-LN(2)/25)*CL107+(1-EXP(-LN(2)/25))/(LN(2)/25)*Calculateur!CG108*Calculateur!CI108*VLOOKUP('Données projet'!$B$12,Paramètres!$A$1:$I$89,3,0)*0.475*44/12</f>
        <v>21.202367937023975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73.466775403163027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68.248635369704616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8.5265128291212022E-14</v>
      </c>
      <c r="CU108" s="17">
        <f>CT108*VLOOKUP('Données projet'!$B$13,Paramètres!$A$1:$I$89,3,0)*VLOOKUP('Données projet'!$B$13,Paramètres!$A$1:$I$89,5,0)</f>
        <v>5.5865712056402117E-14</v>
      </c>
      <c r="CV108" s="13">
        <f t="shared" si="95"/>
        <v>8.9811031843713517E-13</v>
      </c>
      <c r="CW108" s="20">
        <f t="shared" si="67"/>
        <v>1.6615082531095774E-12</v>
      </c>
      <c r="CX108" s="59">
        <f t="shared" si="68"/>
        <v>286.9116630222519</v>
      </c>
      <c r="CY108" s="59">
        <f ca="1">AVERAGE(OFFSET($CX$3,0,0,'Données projet'!$E$13+1,1))-AVERAGE(OFFSET($H$3,0,0,'Données projet'!$E$13+1,1))</f>
        <v>267.49254683294629</v>
      </c>
      <c r="CZ108" s="59">
        <f t="shared" si="96"/>
        <v>278.02595256967254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46.852332624085726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46.852332624085726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68.248635369704616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7.9349999999999969</v>
      </c>
      <c r="DO108" s="12">
        <f>IF('Données projet'!$A$166&gt;35,DO107+DN108-DW107,IF(A108&lt;'Données projet'!$A$166,$DL$205^A108,IF(A108='Données projet'!$A$166,'Données projet'!$B$166,DO107+DN108-DW107)))</f>
        <v>313.15500000000048</v>
      </c>
      <c r="DP108" s="17">
        <f>DO108*VLOOKUP('Données projet'!$B$14,Paramètres!$A$1:$I$89,3,0)*VLOOKUP('Données projet'!$B$14,Paramètres!$A$1:$I$89,5,0)</f>
        <v>283.34264400000046</v>
      </c>
      <c r="DQ108" s="13">
        <f t="shared" si="97"/>
        <v>67.672917015543916</v>
      </c>
      <c r="DR108" s="20">
        <f t="shared" si="70"/>
        <v>611.3521021020731</v>
      </c>
      <c r="DS108" s="59">
        <f t="shared" si="71"/>
        <v>898.2637651243233</v>
      </c>
      <c r="DT108" s="59">
        <f ca="1">AVERAGE(OFFSET($DS$3,0,0,'Données projet'!$E$14+1,1))-AVERAGE(OFFSET($H$3,0,0,'Données projet'!$E$14+1,1))</f>
        <v>602.02351907077332</v>
      </c>
      <c r="DU108" s="59">
        <f t="shared" si="98"/>
        <v>278.08067690827272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56.531151397462956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56.531151397462956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68.248635369704616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68.248635369704616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68.248635369704616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68.248635369704616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2.2000000000000002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8.0666666666666682</v>
      </c>
      <c r="H109" s="67">
        <f t="shared" si="56"/>
        <v>224.4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68.279017630575495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360.09035401555587</v>
      </c>
      <c r="T109" s="59">
        <f t="shared" si="88"/>
        <v>266.54879627869821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102.80771824481644</v>
      </c>
      <c r="AA109" s="21">
        <f>EXP(-LN(2)/25)*AA108+(1-EXP(-LN(2)/25))/(LN(2)/25)*Calculateur!V109*Calculateur!X109*VLOOKUP('Données projet'!$B$9,Paramètres!$A$1:$I$89,3,0)*0.475*44/12</f>
        <v>39.267001191851982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142.07471943666843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68.279017630575495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7.456999999999999</v>
      </c>
      <c r="AI109" s="13">
        <f>IF('Données projet'!$A$62&gt;35,AI108+AH109-AQ108,IF(A109&lt;'Données projet'!$A$62,$AF$205^A109,IF(A109='Données projet'!$A$62,'Données projet'!$B$62,AI108+AH109-AQ108)))</f>
        <v>285.58100000000002</v>
      </c>
      <c r="AJ109" s="13">
        <f>AI109*VLOOKUP('Données projet'!$B$10,Paramètres!$A$1:$I$89,3,0)*VLOOKUP('Données projet'!$B$10,Paramètres!$A$1:$I$89,5,0)</f>
        <v>240.57343440000005</v>
      </c>
      <c r="AK109" s="13">
        <f t="shared" si="89"/>
        <v>58.562890545465834</v>
      </c>
      <c r="AL109" s="20">
        <f t="shared" si="58"/>
        <v>520.99576594668645</v>
      </c>
      <c r="AM109" s="59">
        <f t="shared" si="59"/>
        <v>808.01883059212992</v>
      </c>
      <c r="AN109" s="59">
        <f ca="1">AVERAGE(OFFSET($AM$3,0,0,'Données projet'!$E$10+1,1))-AVERAGE(OFFSET($H$3,0,0,'Données projet'!$E$10+1,1))</f>
        <v>377.26246345103175</v>
      </c>
      <c r="AO109" s="59">
        <f t="shared" si="90"/>
        <v>258.25890564000258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45.294947260923543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45.294947260923543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68.279017630575495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2.2737367544323206E-13</v>
      </c>
      <c r="BE109" s="13">
        <f>BD109*VLOOKUP('Données projet'!$B$11,Paramètres!$A$1:$I$89,3,0)*VLOOKUP('Données projet'!$B$11,Paramètres!$A$1:$I$89,5,0)</f>
        <v>1.0049916454590858E-13</v>
      </c>
      <c r="BF109" s="13">
        <f t="shared" si="91"/>
        <v>1.5089081593838289E-12</v>
      </c>
      <c r="BG109" s="20">
        <f t="shared" si="61"/>
        <v>2.8030510891776262E-12</v>
      </c>
      <c r="BH109" s="59">
        <f t="shared" si="62"/>
        <v>287.02306464544625</v>
      </c>
      <c r="BI109" s="59">
        <f ca="1">AVERAGE(OFFSET($BH$3,0,0,'Données projet'!$E$11+1,1))-AVERAGE(OFFSET($H$3,0,0,'Données projet'!$E$11+1,1))</f>
        <v>333.23043896066253</v>
      </c>
      <c r="BJ109" s="59">
        <f t="shared" si="92"/>
        <v>440.63438368668983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66.372320107124978</v>
      </c>
      <c r="BQ109" s="21">
        <f>EXP(-LN(2)/25)*BQ108+(1-EXP(-LN(2)/25))/(LN(2)/25)*Calculateur!BL109*Calculateur!BN109*VLOOKUP('Données projet'!$B$11,Paramètres!$A$1:$I$89,3,0)*0.475*44/12</f>
        <v>32.793419423783291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99.165739530908269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68.279017630575495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1.1368683772161603E-13</v>
      </c>
      <c r="BZ109" s="13">
        <f>BY109*VLOOKUP('Données projet'!$B$12,Paramètres!$A$1:$I$89,3,0)*VLOOKUP('Données projet'!$B$12,Paramètres!$A$1:$I$89,5,0)</f>
        <v>4.5815795601811263E-14</v>
      </c>
      <c r="CA109" s="13">
        <f t="shared" si="93"/>
        <v>7.5374618042508364E-13</v>
      </c>
      <c r="CB109" s="20">
        <f t="shared" si="64"/>
        <v>1.392570441580175E-12</v>
      </c>
      <c r="CC109" s="59">
        <f t="shared" si="65"/>
        <v>287.02306464544483</v>
      </c>
      <c r="CD109" s="59">
        <f ca="1">AVERAGE(OFFSET($CC$3,0,0,'Données projet'!$E$12+1,1))-AVERAGE(OFFSET($H$3,0,0,'Données projet'!$E$12+1,1))</f>
        <v>177.34129362526608</v>
      </c>
      <c r="CE109" s="59">
        <f t="shared" si="94"/>
        <v>156.93407673501022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51.239534313868916</v>
      </c>
      <c r="CL109" s="21">
        <f>EXP(-LN(2)/25)*CL108+(1-EXP(-LN(2)/25))/(LN(2)/25)*Calculateur!CG109*Calculateur!CI109*VLOOKUP('Données projet'!$B$12,Paramètres!$A$1:$I$89,3,0)*0.475*44/12</f>
        <v>20.622588070801985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71.862122384670897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68.279017630575495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8.5265128291212022E-14</v>
      </c>
      <c r="CU109" s="17">
        <f>CT109*VLOOKUP('Données projet'!$B$13,Paramètres!$A$1:$I$89,3,0)*VLOOKUP('Données projet'!$B$13,Paramètres!$A$1:$I$89,5,0)</f>
        <v>5.5865712056402117E-14</v>
      </c>
      <c r="CV109" s="13">
        <f t="shared" si="95"/>
        <v>8.9811031843713517E-13</v>
      </c>
      <c r="CW109" s="20">
        <f t="shared" si="67"/>
        <v>1.6615082531095774E-12</v>
      </c>
      <c r="CX109" s="59">
        <f t="shared" si="68"/>
        <v>287.02306464544512</v>
      </c>
      <c r="CY109" s="59">
        <f ca="1">AVERAGE(OFFSET($CX$3,0,0,'Données projet'!$E$13+1,1))-AVERAGE(OFFSET($H$3,0,0,'Données projet'!$E$13+1,1))</f>
        <v>267.49254683294629</v>
      </c>
      <c r="CZ109" s="59">
        <f t="shared" si="96"/>
        <v>278.02595256967254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45.933586958428549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45.933586958428549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68.279017630575495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7.9349999999999969</v>
      </c>
      <c r="DO109" s="12">
        <f>IF('Données projet'!$A$166&gt;35,DO108+DN109-DW108,IF(A109&lt;'Données projet'!$A$166,$DL$205^A109,IF(A109='Données projet'!$A$166,'Données projet'!$B$166,DO108+DN109-DW108)))</f>
        <v>321.09000000000049</v>
      </c>
      <c r="DP109" s="17">
        <f>DO109*VLOOKUP('Données projet'!$B$14,Paramètres!$A$1:$I$89,3,0)*VLOOKUP('Données projet'!$B$14,Paramètres!$A$1:$I$89,5,0)</f>
        <v>290.52223200000043</v>
      </c>
      <c r="DQ109" s="13">
        <f t="shared" si="97"/>
        <v>69.185862279978352</v>
      </c>
      <c r="DR109" s="20">
        <f t="shared" si="70"/>
        <v>626.49159753762979</v>
      </c>
      <c r="DS109" s="59">
        <f t="shared" si="71"/>
        <v>913.51466218307326</v>
      </c>
      <c r="DT109" s="59">
        <f ca="1">AVERAGE(OFFSET($DS$3,0,0,'Données projet'!$E$14+1,1))-AVERAGE(OFFSET($H$3,0,0,'Données projet'!$E$14+1,1))</f>
        <v>602.02351907077332</v>
      </c>
      <c r="DU109" s="59">
        <f t="shared" si="98"/>
        <v>278.08067690827272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55.422609999156386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55.422609999156386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68.279017630575495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68.279017630575495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68.279017630575495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68.279017630575495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2.2000000000000002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8.0666666666666682</v>
      </c>
      <c r="H110" s="67">
        <f t="shared" si="56"/>
        <v>224.4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68.308872827144839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360.09035401555587</v>
      </c>
      <c r="T110" s="59">
        <f t="shared" si="88"/>
        <v>266.54879627869821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100.79172159655197</v>
      </c>
      <c r="AA110" s="21">
        <f>EXP(-LN(2)/25)*AA109+(1-EXP(-LN(2)/25))/(LN(2)/25)*Calculateur!V110*Calculateur!X110*VLOOKUP('Données projet'!$B$9,Paramètres!$A$1:$I$89,3,0)*0.475*44/12</f>
        <v>38.193242979298944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138.98496457585091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68.308872827144839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7.456999999999999</v>
      </c>
      <c r="AI110" s="13">
        <f>IF('Données projet'!$A$62&gt;35,AI109+AH110-AQ109,IF(A110&lt;'Données projet'!$A$62,$AF$205^A110,IF(A110='Données projet'!$A$62,'Données projet'!$B$62,AI109+AH110-AQ109)))</f>
        <v>293.03800000000001</v>
      </c>
      <c r="AJ110" s="13">
        <f>AI110*VLOOKUP('Données projet'!$B$10,Paramètres!$A$1:$I$89,3,0)*VLOOKUP('Données projet'!$B$10,Paramètres!$A$1:$I$89,5,0)</f>
        <v>246.85521120000001</v>
      </c>
      <c r="AK110" s="13">
        <f t="shared" si="89"/>
        <v>59.912036331165396</v>
      </c>
      <c r="AL110" s="20">
        <f t="shared" si="58"/>
        <v>534.28628945011303</v>
      </c>
      <c r="AM110" s="59">
        <f t="shared" si="59"/>
        <v>821.41882314964414</v>
      </c>
      <c r="AN110" s="59">
        <f ca="1">AVERAGE(OFFSET($AM$3,0,0,'Données projet'!$E$10+1,1))-AVERAGE(OFFSET($H$3,0,0,'Données projet'!$E$10+1,1))</f>
        <v>377.26246345103175</v>
      </c>
      <c r="AO110" s="59">
        <f t="shared" si="90"/>
        <v>258.25890564000258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44.406740972326702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44.406740972326702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68.308872827144839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2.2737367544323206E-13</v>
      </c>
      <c r="BE110" s="13">
        <f>BD110*VLOOKUP('Données projet'!$B$11,Paramètres!$A$1:$I$89,3,0)*VLOOKUP('Données projet'!$B$11,Paramètres!$A$1:$I$89,5,0)</f>
        <v>1.0049916454590858E-13</v>
      </c>
      <c r="BF110" s="13">
        <f t="shared" si="91"/>
        <v>1.5089081593838289E-12</v>
      </c>
      <c r="BG110" s="20">
        <f t="shared" si="61"/>
        <v>2.8030510891776262E-12</v>
      </c>
      <c r="BH110" s="59">
        <f t="shared" si="62"/>
        <v>287.13253369953384</v>
      </c>
      <c r="BI110" s="59">
        <f ca="1">AVERAGE(OFFSET($BH$3,0,0,'Données projet'!$E$11+1,1))-AVERAGE(OFFSET($H$3,0,0,'Données projet'!$E$11+1,1))</f>
        <v>333.23043896066253</v>
      </c>
      <c r="BJ110" s="59">
        <f t="shared" si="92"/>
        <v>440.63438368668983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65.070799392942149</v>
      </c>
      <c r="BQ110" s="21">
        <f>EXP(-LN(2)/25)*BQ109+(1-EXP(-LN(2)/25))/(LN(2)/25)*Calculateur!BL110*Calculateur!BN110*VLOOKUP('Données projet'!$B$11,Paramètres!$A$1:$I$89,3,0)*0.475*44/12</f>
        <v>31.896681645108959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96.967481038051105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68.308872827144839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1.1368683772161603E-13</v>
      </c>
      <c r="BZ110" s="13">
        <f>BY110*VLOOKUP('Données projet'!$B$12,Paramètres!$A$1:$I$89,3,0)*VLOOKUP('Données projet'!$B$12,Paramètres!$A$1:$I$89,5,0)</f>
        <v>4.5815795601811263E-14</v>
      </c>
      <c r="CA110" s="13">
        <f t="shared" si="93"/>
        <v>7.5374618042508364E-13</v>
      </c>
      <c r="CB110" s="20">
        <f t="shared" si="64"/>
        <v>1.392570441580175E-12</v>
      </c>
      <c r="CC110" s="59">
        <f t="shared" si="65"/>
        <v>287.13253369953242</v>
      </c>
      <c r="CD110" s="59">
        <f ca="1">AVERAGE(OFFSET($CC$3,0,0,'Données projet'!$E$12+1,1))-AVERAGE(OFFSET($H$3,0,0,'Données projet'!$E$12+1,1))</f>
        <v>177.34129362526608</v>
      </c>
      <c r="CE110" s="59">
        <f t="shared" si="94"/>
        <v>156.93407673501022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50.2347582990039</v>
      </c>
      <c r="CL110" s="21">
        <f>EXP(-LN(2)/25)*CL109+(1-EXP(-LN(2)/25))/(LN(2)/25)*Calculateur!CG110*Calculateur!CI110*VLOOKUP('Données projet'!$B$12,Paramètres!$A$1:$I$89,3,0)*0.475*44/12</f>
        <v>20.058662315511132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70.293420614515028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68.308872827144839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8.5265128291212022E-14</v>
      </c>
      <c r="CU110" s="17">
        <f>CT110*VLOOKUP('Données projet'!$B$13,Paramètres!$A$1:$I$89,3,0)*VLOOKUP('Données projet'!$B$13,Paramètres!$A$1:$I$89,5,0)</f>
        <v>5.5865712056402117E-14</v>
      </c>
      <c r="CV110" s="13">
        <f t="shared" si="95"/>
        <v>8.9811031843713517E-13</v>
      </c>
      <c r="CW110" s="20">
        <f t="shared" si="67"/>
        <v>1.6615082531095774E-12</v>
      </c>
      <c r="CX110" s="59">
        <f t="shared" si="68"/>
        <v>287.1325336995327</v>
      </c>
      <c r="CY110" s="59">
        <f ca="1">AVERAGE(OFFSET($CX$3,0,0,'Données projet'!$E$13+1,1))-AVERAGE(OFFSET($H$3,0,0,'Données projet'!$E$13+1,1))</f>
        <v>267.49254683294629</v>
      </c>
      <c r="CZ110" s="59">
        <f t="shared" si="96"/>
        <v>278.02595256967254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45.03285733489539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45.03285733489539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68.308872827144839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7.9349999999999969</v>
      </c>
      <c r="DO110" s="12">
        <f>IF('Données projet'!$A$166&gt;35,DO109+DN110-DW109,IF(A110&lt;'Données projet'!$A$166,$DL$205^A110,IF(A110='Données projet'!$A$166,'Données projet'!$B$166,DO109+DN110-DW109)))</f>
        <v>329.02500000000049</v>
      </c>
      <c r="DP110" s="17">
        <f>DO110*VLOOKUP('Données projet'!$B$14,Paramètres!$A$1:$I$89,3,0)*VLOOKUP('Données projet'!$B$14,Paramètres!$A$1:$I$89,5,0)</f>
        <v>297.70182000000045</v>
      </c>
      <c r="DQ110" s="13">
        <f t="shared" si="97"/>
        <v>70.69446125561177</v>
      </c>
      <c r="DR110" s="20">
        <f t="shared" si="70"/>
        <v>641.62352318685794</v>
      </c>
      <c r="DS110" s="59">
        <f t="shared" si="71"/>
        <v>928.75605688638893</v>
      </c>
      <c r="DT110" s="59">
        <f ca="1">AVERAGE(OFFSET($DS$3,0,0,'Données projet'!$E$14+1,1))-AVERAGE(OFFSET($H$3,0,0,'Données projet'!$E$14+1,1))</f>
        <v>602.02351907077332</v>
      </c>
      <c r="DU110" s="59">
        <f t="shared" si="98"/>
        <v>278.08067690827272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54.335806421527117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54.335806421527117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68.308872827144839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68.308872827144839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68.308872827144839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68.308872827144839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2.2000000000000002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8.0666666666666682</v>
      </c>
      <c r="H111" s="67">
        <f t="shared" si="56"/>
        <v>224.4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68.338210102799934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360.09035401555587</v>
      </c>
      <c r="T111" s="59">
        <f t="shared" si="88"/>
        <v>266.54879627869821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98.815257412923415</v>
      </c>
      <c r="AA111" s="21">
        <f>EXP(-LN(2)/25)*AA110+(1-EXP(-LN(2)/25))/(LN(2)/25)*Calculateur!V111*Calculateur!X111*VLOOKUP('Données projet'!$B$9,Paramètres!$A$1:$I$89,3,0)*0.475*44/12</f>
        <v>37.148846741534655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135.96410415445808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68.338210102799934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7.456999999999999</v>
      </c>
      <c r="AI111" s="13">
        <f>IF('Données projet'!$A$62&gt;35,AI110+AH111-AQ110,IF(A111&lt;'Données projet'!$A$62,$AF$205^A111,IF(A111='Données projet'!$A$62,'Données projet'!$B$62,AI110+AH111-AQ110)))</f>
        <v>300.495</v>
      </c>
      <c r="AJ111" s="13">
        <f>AI111*VLOOKUP('Données projet'!$B$10,Paramètres!$A$1:$I$89,3,0)*VLOOKUP('Données projet'!$B$10,Paramètres!$A$1:$I$89,5,0)</f>
        <v>253.13698800000003</v>
      </c>
      <c r="AK111" s="13">
        <f t="shared" si="89"/>
        <v>61.257191329793066</v>
      </c>
      <c r="AL111" s="20">
        <f t="shared" si="58"/>
        <v>547.56986233272289</v>
      </c>
      <c r="AM111" s="59">
        <f t="shared" si="59"/>
        <v>834.80996604298934</v>
      </c>
      <c r="AN111" s="59">
        <f ca="1">AVERAGE(OFFSET($AM$3,0,0,'Données projet'!$E$10+1,1))-AVERAGE(OFFSET($H$3,0,0,'Données projet'!$E$10+1,1))</f>
        <v>377.26246345103175</v>
      </c>
      <c r="AO111" s="59">
        <f t="shared" si="90"/>
        <v>258.25890564000258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43.535951867296902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43.535951867296902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68.338210102799934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2.2737367544323206E-13</v>
      </c>
      <c r="BE111" s="13">
        <f>BD111*VLOOKUP('Données projet'!$B$11,Paramètres!$A$1:$I$89,3,0)*VLOOKUP('Données projet'!$B$11,Paramètres!$A$1:$I$89,5,0)</f>
        <v>1.0049916454590858E-13</v>
      </c>
      <c r="BF111" s="13">
        <f t="shared" si="91"/>
        <v>1.5089081593838289E-12</v>
      </c>
      <c r="BG111" s="20">
        <f t="shared" si="61"/>
        <v>2.8030510891776262E-12</v>
      </c>
      <c r="BH111" s="59">
        <f t="shared" si="62"/>
        <v>287.24010371026918</v>
      </c>
      <c r="BI111" s="59">
        <f ca="1">AVERAGE(OFFSET($BH$3,0,0,'Données projet'!$E$11+1,1))-AVERAGE(OFFSET($H$3,0,0,'Données projet'!$E$11+1,1))</f>
        <v>333.23043896066253</v>
      </c>
      <c r="BJ111" s="59">
        <f t="shared" si="92"/>
        <v>440.63438368668983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63.794800706115197</v>
      </c>
      <c r="BQ111" s="21">
        <f>EXP(-LN(2)/25)*BQ110+(1-EXP(-LN(2)/25))/(LN(2)/25)*Calculateur!BL111*Calculateur!BN111*VLOOKUP('Données projet'!$B$11,Paramètres!$A$1:$I$89,3,0)*0.475*44/12</f>
        <v>31.024465208149866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94.81926591426506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68.338210102799934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1.1368683772161603E-13</v>
      </c>
      <c r="BZ111" s="13">
        <f>BY111*VLOOKUP('Données projet'!$B$12,Paramètres!$A$1:$I$89,3,0)*VLOOKUP('Données projet'!$B$12,Paramètres!$A$1:$I$89,5,0)</f>
        <v>4.5815795601811263E-14</v>
      </c>
      <c r="CA111" s="13">
        <f t="shared" si="93"/>
        <v>7.5374618042508364E-13</v>
      </c>
      <c r="CB111" s="20">
        <f t="shared" si="64"/>
        <v>1.392570441580175E-12</v>
      </c>
      <c r="CC111" s="59">
        <f t="shared" si="65"/>
        <v>287.24010371026776</v>
      </c>
      <c r="CD111" s="59">
        <f ca="1">AVERAGE(OFFSET($CC$3,0,0,'Données projet'!$E$12+1,1))-AVERAGE(OFFSET($H$3,0,0,'Données projet'!$E$12+1,1))</f>
        <v>177.34129362526608</v>
      </c>
      <c r="CE111" s="59">
        <f t="shared" si="94"/>
        <v>156.93407673501022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49.249685328937531</v>
      </c>
      <c r="CL111" s="21">
        <f>EXP(-LN(2)/25)*CL110+(1-EXP(-LN(2)/25))/(LN(2)/25)*Calculateur!CG111*Calculateur!CI111*VLOOKUP('Données projet'!$B$12,Paramètres!$A$1:$I$89,3,0)*0.475*44/12</f>
        <v>19.510157139654275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68.759842468591813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68.338210102799934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8.5265128291212022E-14</v>
      </c>
      <c r="CU111" s="17">
        <f>CT111*VLOOKUP('Données projet'!$B$13,Paramètres!$A$1:$I$89,3,0)*VLOOKUP('Données projet'!$B$13,Paramètres!$A$1:$I$89,5,0)</f>
        <v>5.5865712056402117E-14</v>
      </c>
      <c r="CV111" s="13">
        <f t="shared" si="95"/>
        <v>8.9811031843713517E-13</v>
      </c>
      <c r="CW111" s="20">
        <f t="shared" si="67"/>
        <v>1.6615082531095774E-12</v>
      </c>
      <c r="CX111" s="59">
        <f t="shared" si="68"/>
        <v>287.24010371026804</v>
      </c>
      <c r="CY111" s="59">
        <f ca="1">AVERAGE(OFFSET($CX$3,0,0,'Données projet'!$E$13+1,1))-AVERAGE(OFFSET($H$3,0,0,'Données projet'!$E$13+1,1))</f>
        <v>267.49254683294629</v>
      </c>
      <c r="CZ111" s="59">
        <f t="shared" si="96"/>
        <v>278.02595256967254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44.149790469888892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44.149790469888892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68.338210102799934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7.9349999999999969</v>
      </c>
      <c r="DO111" s="12">
        <f>IF('Données projet'!$A$166&gt;35,DO110+DN111-DW110,IF(A111&lt;'Données projet'!$A$166,$DL$205^A111,IF(A111='Données projet'!$A$166,'Données projet'!$B$166,DO110+DN111-DW110)))</f>
        <v>336.96000000000049</v>
      </c>
      <c r="DP111" s="17">
        <f>DO111*VLOOKUP('Données projet'!$B$14,Paramètres!$A$1:$I$89,3,0)*VLOOKUP('Données projet'!$B$14,Paramètres!$A$1:$I$89,5,0)</f>
        <v>304.88140800000042</v>
      </c>
      <c r="DQ111" s="13">
        <f t="shared" si="97"/>
        <v>72.198830820277394</v>
      </c>
      <c r="DR111" s="20">
        <f t="shared" si="70"/>
        <v>656.74808261198393</v>
      </c>
      <c r="DS111" s="59">
        <f t="shared" si="71"/>
        <v>943.98818632225039</v>
      </c>
      <c r="DT111" s="59">
        <f ca="1">AVERAGE(OFFSET($DS$3,0,0,'Données projet'!$E$14+1,1))-AVERAGE(OFFSET($H$3,0,0,'Données projet'!$E$14+1,1))</f>
        <v>602.02351907077332</v>
      </c>
      <c r="DU111" s="59">
        <f t="shared" si="98"/>
        <v>278.08067690827272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53.270314399170431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53.270314399170431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68.338210102799934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68.338210102799934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68.338210102799934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68.338210102799934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2.2000000000000002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8.0666666666666682</v>
      </c>
      <c r="H112" s="67">
        <f t="shared" si="56"/>
        <v>224.4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68.367038442310715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360.09035401555587</v>
      </c>
      <c r="T112" s="59">
        <f t="shared" si="88"/>
        <v>266.54879627869821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96.877550486411707</v>
      </c>
      <c r="AA112" s="21">
        <f>EXP(-LN(2)/25)*AA111+(1-EXP(-LN(2)/25))/(LN(2)/25)*Calculateur!V112*Calculateur!X112*VLOOKUP('Données projet'!$B$9,Paramètres!$A$1:$I$89,3,0)*0.475*44/12</f>
        <v>36.133009573814448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133.01056006022617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68.367038442310715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7.456999999999999</v>
      </c>
      <c r="AI112" s="13">
        <f>IF('Données projet'!$A$62&gt;35,AI111+AH112-AQ111,IF(A112&lt;'Données projet'!$A$62,$AF$205^A112,IF(A112='Données projet'!$A$62,'Données projet'!$B$62,AI111+AH112-AQ111)))</f>
        <v>307.952</v>
      </c>
      <c r="AJ112" s="13">
        <f>AI112*VLOOKUP('Données projet'!$B$10,Paramètres!$A$1:$I$89,3,0)*VLOOKUP('Données projet'!$B$10,Paramètres!$A$1:$I$89,5,0)</f>
        <v>259.41876480000002</v>
      </c>
      <c r="AK112" s="13">
        <f t="shared" si="89"/>
        <v>62.59846596659208</v>
      </c>
      <c r="AL112" s="20">
        <f t="shared" si="58"/>
        <v>560.84667691848119</v>
      </c>
      <c r="AM112" s="59">
        <f t="shared" si="59"/>
        <v>848.19248454028707</v>
      </c>
      <c r="AN112" s="59">
        <f ca="1">AVERAGE(OFFSET($AM$3,0,0,'Données projet'!$E$10+1,1))-AVERAGE(OFFSET($H$3,0,0,'Données projet'!$E$10+1,1))</f>
        <v>377.26246345103175</v>
      </c>
      <c r="AO112" s="59">
        <f t="shared" si="90"/>
        <v>258.25890564000258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42.68223840548783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42.68223840548783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68.367038442310715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2.2737367544323206E-13</v>
      </c>
      <c r="BE112" s="13">
        <f>BD112*VLOOKUP('Données projet'!$B$11,Paramètres!$A$1:$I$89,3,0)*VLOOKUP('Données projet'!$B$11,Paramètres!$A$1:$I$89,5,0)</f>
        <v>1.0049916454590858E-13</v>
      </c>
      <c r="BF112" s="13">
        <f t="shared" si="91"/>
        <v>1.5089081593838289E-12</v>
      </c>
      <c r="BG112" s="20">
        <f t="shared" si="61"/>
        <v>2.8030510891776262E-12</v>
      </c>
      <c r="BH112" s="59">
        <f t="shared" si="62"/>
        <v>287.34580762180872</v>
      </c>
      <c r="BI112" s="59">
        <f ca="1">AVERAGE(OFFSET($BH$3,0,0,'Données projet'!$E$11+1,1))-AVERAGE(OFFSET($H$3,0,0,'Données projet'!$E$11+1,1))</f>
        <v>333.23043896066253</v>
      </c>
      <c r="BJ112" s="59">
        <f t="shared" si="92"/>
        <v>440.63438368668983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62.543823575254571</v>
      </c>
      <c r="BQ112" s="21">
        <f>EXP(-LN(2)/25)*BQ111+(1-EXP(-LN(2)/25))/(LN(2)/25)*Calculateur!BL112*Calculateur!BN112*VLOOKUP('Données projet'!$B$11,Paramètres!$A$1:$I$89,3,0)*0.475*44/12</f>
        <v>30.176099575527289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92.719923150781852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68.367038442310715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1.1368683772161603E-13</v>
      </c>
      <c r="BZ112" s="13">
        <f>BY112*VLOOKUP('Données projet'!$B$12,Paramètres!$A$1:$I$89,3,0)*VLOOKUP('Données projet'!$B$12,Paramètres!$A$1:$I$89,5,0)</f>
        <v>4.5815795601811263E-14</v>
      </c>
      <c r="CA112" s="13">
        <f t="shared" si="93"/>
        <v>7.5374618042508364E-13</v>
      </c>
      <c r="CB112" s="20">
        <f t="shared" si="64"/>
        <v>1.392570441580175E-12</v>
      </c>
      <c r="CC112" s="59">
        <f t="shared" si="65"/>
        <v>287.3458076218073</v>
      </c>
      <c r="CD112" s="59">
        <f ca="1">AVERAGE(OFFSET($CC$3,0,0,'Données projet'!$E$12+1,1))-AVERAGE(OFFSET($H$3,0,0,'Données projet'!$E$12+1,1))</f>
        <v>177.34129362526608</v>
      </c>
      <c r="CE112" s="59">
        <f t="shared" si="94"/>
        <v>156.93407673501022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48.283929038978975</v>
      </c>
      <c r="CL112" s="21">
        <f>EXP(-LN(2)/25)*CL111+(1-EXP(-LN(2)/25))/(LN(2)/25)*Calculateur!CG112*Calculateur!CI112*VLOOKUP('Données projet'!$B$12,Paramètres!$A$1:$I$89,3,0)*0.475*44/12</f>
        <v>18.976650866675858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67.260579905654836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68.367038442310715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8.5265128291212022E-14</v>
      </c>
      <c r="CU112" s="17">
        <f>CT112*VLOOKUP('Données projet'!$B$13,Paramètres!$A$1:$I$89,3,0)*VLOOKUP('Données projet'!$B$13,Paramètres!$A$1:$I$89,5,0)</f>
        <v>5.5865712056402117E-14</v>
      </c>
      <c r="CV112" s="13">
        <f t="shared" si="95"/>
        <v>8.9811031843713517E-13</v>
      </c>
      <c r="CW112" s="20">
        <f t="shared" si="67"/>
        <v>1.6615082531095774E-12</v>
      </c>
      <c r="CX112" s="59">
        <f t="shared" si="68"/>
        <v>287.34580762180758</v>
      </c>
      <c r="CY112" s="59">
        <f ca="1">AVERAGE(OFFSET($CX$3,0,0,'Données projet'!$E$13+1,1))-AVERAGE(OFFSET($H$3,0,0,'Données projet'!$E$13+1,1))</f>
        <v>267.49254683294629</v>
      </c>
      <c r="CZ112" s="59">
        <f t="shared" si="96"/>
        <v>278.02595256967254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43.284040007487569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43.284040007487569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68.367038442310715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7.9349999999999969</v>
      </c>
      <c r="DO112" s="12">
        <f>IF('Données projet'!$A$166&gt;35,DO111+DN112-DW111,IF(A112&lt;'Données projet'!$A$166,$DL$205^A112,IF(A112='Données projet'!$A$166,'Données projet'!$B$166,DO111+DN112-DW111)))</f>
        <v>344.89500000000049</v>
      </c>
      <c r="DP112" s="17">
        <f>DO112*VLOOKUP('Données projet'!$B$14,Paramètres!$A$1:$I$89,3,0)*VLOOKUP('Données projet'!$B$14,Paramètres!$A$1:$I$89,5,0)</f>
        <v>312.06099600000044</v>
      </c>
      <c r="DQ112" s="13">
        <f t="shared" si="97"/>
        <v>73.699082033131035</v>
      </c>
      <c r="DR112" s="20">
        <f t="shared" si="70"/>
        <v>671.86546924103743</v>
      </c>
      <c r="DS112" s="59">
        <f t="shared" si="71"/>
        <v>959.21127686284331</v>
      </c>
      <c r="DT112" s="59">
        <f ca="1">AVERAGE(OFFSET($DS$3,0,0,'Données projet'!$E$14+1,1))-AVERAGE(OFFSET($H$3,0,0,'Données projet'!$E$14+1,1))</f>
        <v>602.02351907077332</v>
      </c>
      <c r="DU112" s="59">
        <f t="shared" si="98"/>
        <v>278.08067690827272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52.225716025486193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52.225716025486193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68.367038442310715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68.367038442310715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68.367038442310715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68.367038442310715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2.2000000000000002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8.0666666666666682</v>
      </c>
      <c r="H113" s="67">
        <f t="shared" si="56"/>
        <v>224.4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68.39536667458151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360.09035401555587</v>
      </c>
      <c r="T113" s="59">
        <f t="shared" si="88"/>
        <v>266.54879627869821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94.97784081084437</v>
      </c>
      <c r="AA113" s="21">
        <f>EXP(-LN(2)/25)*AA112+(1-EXP(-LN(2)/25))/(LN(2)/25)*Calculateur!V113*Calculateur!X113*VLOOKUP('Données projet'!$B$9,Paramètres!$A$1:$I$89,3,0)*0.475*44/12</f>
        <v>35.144950526866104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130.12279133771048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68.39536667458151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7.456999999999999</v>
      </c>
      <c r="AI113" s="13">
        <f>IF('Données projet'!$A$62&gt;35,AI112+AH113-AQ112,IF(A113&lt;'Données projet'!$A$62,$AF$205^A113,IF(A113='Données projet'!$A$62,'Données projet'!$B$62,AI112+AH113-AQ112)))</f>
        <v>315.40899999999999</v>
      </c>
      <c r="AJ113" s="13">
        <f>AI113*VLOOKUP('Données projet'!$B$10,Paramètres!$A$1:$I$89,3,0)*VLOOKUP('Données projet'!$B$10,Paramètres!$A$1:$I$89,5,0)</f>
        <v>265.70054160000001</v>
      </c>
      <c r="AK113" s="13">
        <f t="shared" si="89"/>
        <v>63.935965014011138</v>
      </c>
      <c r="AL113" s="20">
        <f t="shared" si="58"/>
        <v>574.11691568606932</v>
      </c>
      <c r="AM113" s="59">
        <f t="shared" si="59"/>
        <v>861.56659349286815</v>
      </c>
      <c r="AN113" s="59">
        <f ca="1">AVERAGE(OFFSET($AM$3,0,0,'Données projet'!$E$10+1,1))-AVERAGE(OFFSET($H$3,0,0,'Données projet'!$E$10+1,1))</f>
        <v>377.26246345103175</v>
      </c>
      <c r="AO113" s="59">
        <f t="shared" si="90"/>
        <v>258.25890564000258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41.845265743951039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41.845265743951039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68.39536667458151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2.2737367544323206E-13</v>
      </c>
      <c r="BE113" s="13">
        <f>BD113*VLOOKUP('Données projet'!$B$11,Paramètres!$A$1:$I$89,3,0)*VLOOKUP('Données projet'!$B$11,Paramètres!$A$1:$I$89,5,0)</f>
        <v>1.0049916454590858E-13</v>
      </c>
      <c r="BF113" s="13">
        <f t="shared" si="91"/>
        <v>1.5089081593838289E-12</v>
      </c>
      <c r="BG113" s="20">
        <f t="shared" si="61"/>
        <v>2.8030510891776262E-12</v>
      </c>
      <c r="BH113" s="59">
        <f t="shared" si="62"/>
        <v>287.44967780680167</v>
      </c>
      <c r="BI113" s="59">
        <f ca="1">AVERAGE(OFFSET($BH$3,0,0,'Données projet'!$E$11+1,1))-AVERAGE(OFFSET($H$3,0,0,'Données projet'!$E$11+1,1))</f>
        <v>333.23043896066253</v>
      </c>
      <c r="BJ113" s="59">
        <f t="shared" si="92"/>
        <v>440.63438368668983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61.31737734290941</v>
      </c>
      <c r="BQ113" s="21">
        <f>EXP(-LN(2)/25)*BQ112+(1-EXP(-LN(2)/25))/(LN(2)/25)*Calculateur!BL113*Calculateur!BN113*VLOOKUP('Données projet'!$B$11,Paramètres!$A$1:$I$89,3,0)*0.475*44/12</f>
        <v>29.350932545742388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90.668309888651805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68.39536667458151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1.1368683772161603E-13</v>
      </c>
      <c r="BZ113" s="13">
        <f>BY113*VLOOKUP('Données projet'!$B$12,Paramètres!$A$1:$I$89,3,0)*VLOOKUP('Données projet'!$B$12,Paramètres!$A$1:$I$89,5,0)</f>
        <v>4.5815795601811263E-14</v>
      </c>
      <c r="CA113" s="13">
        <f t="shared" si="93"/>
        <v>7.5374618042508364E-13</v>
      </c>
      <c r="CB113" s="20">
        <f t="shared" si="64"/>
        <v>1.392570441580175E-12</v>
      </c>
      <c r="CC113" s="59">
        <f t="shared" si="65"/>
        <v>287.44967780680025</v>
      </c>
      <c r="CD113" s="59">
        <f ca="1">AVERAGE(OFFSET($CC$3,0,0,'Données projet'!$E$12+1,1))-AVERAGE(OFFSET($H$3,0,0,'Données projet'!$E$12+1,1))</f>
        <v>177.34129362526608</v>
      </c>
      <c r="CE113" s="59">
        <f t="shared" si="94"/>
        <v>156.93407673501022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47.337110640813336</v>
      </c>
      <c r="CL113" s="21">
        <f>EXP(-LN(2)/25)*CL112+(1-EXP(-LN(2)/25))/(LN(2)/25)*Calculateur!CG113*Calculateur!CI113*VLOOKUP('Données projet'!$B$12,Paramètres!$A$1:$I$89,3,0)*0.475*44/12</f>
        <v>18.457733350787908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65.79484399160124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68.39536667458151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8.5265128291212022E-14</v>
      </c>
      <c r="CU113" s="17">
        <f>CT113*VLOOKUP('Données projet'!$B$13,Paramètres!$A$1:$I$89,3,0)*VLOOKUP('Données projet'!$B$13,Paramètres!$A$1:$I$89,5,0)</f>
        <v>5.5865712056402117E-14</v>
      </c>
      <c r="CV113" s="13">
        <f t="shared" si="95"/>
        <v>8.9811031843713517E-13</v>
      </c>
      <c r="CW113" s="20">
        <f t="shared" si="67"/>
        <v>1.6615082531095774E-12</v>
      </c>
      <c r="CX113" s="59">
        <f t="shared" si="68"/>
        <v>287.44967780680054</v>
      </c>
      <c r="CY113" s="59">
        <f ca="1">AVERAGE(OFFSET($CX$3,0,0,'Données projet'!$E$13+1,1))-AVERAGE(OFFSET($H$3,0,0,'Données projet'!$E$13+1,1))</f>
        <v>267.49254683294629</v>
      </c>
      <c r="CZ113" s="59">
        <f t="shared" si="96"/>
        <v>278.02595256967254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42.435266383598297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42.435266383598297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68.39536667458151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7.9349999999999969</v>
      </c>
      <c r="DO113" s="12">
        <f>IF('Données projet'!$A$166&gt;35,DO112+DN113-DW112,IF(A113&lt;'Données projet'!$A$166,$DL$205^A113,IF(A113='Données projet'!$A$166,'Données projet'!$B$166,DO112+DN113-DW112)))</f>
        <v>352.8300000000005</v>
      </c>
      <c r="DP113" s="17">
        <f>DO113*VLOOKUP('Données projet'!$B$14,Paramètres!$A$1:$I$89,3,0)*VLOOKUP('Données projet'!$B$14,Paramètres!$A$1:$I$89,5,0)</f>
        <v>319.24058400000041</v>
      </c>
      <c r="DQ113" s="13">
        <f t="shared" si="97"/>
        <v>75.195320551435159</v>
      </c>
      <c r="DR113" s="20">
        <f t="shared" si="70"/>
        <v>686.97586709375025</v>
      </c>
      <c r="DS113" s="59">
        <f t="shared" si="71"/>
        <v>974.42554490054908</v>
      </c>
      <c r="DT113" s="59">
        <f ca="1">AVERAGE(OFFSET($DS$3,0,0,'Données projet'!$E$14+1,1))-AVERAGE(OFFSET($H$3,0,0,'Données projet'!$E$14+1,1))</f>
        <v>602.02351907077332</v>
      </c>
      <c r="DU113" s="59">
        <f t="shared" si="98"/>
        <v>278.08067690827272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51.201601588767808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51.201601588767808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68.39536667458151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68.39536667458151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68.39536667458151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68.39536667458151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2.2000000000000002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8.0666666666666682</v>
      </c>
      <c r="H114" s="67">
        <f t="shared" si="56"/>
        <v>224.4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68.423203475354825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360.09035401555587</v>
      </c>
      <c r="T114" s="59">
        <f t="shared" si="88"/>
        <v>266.54879627869821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93.115383283306414</v>
      </c>
      <c r="AA114" s="21">
        <f>EXP(-LN(2)/25)*AA113+(1-EXP(-LN(2)/25))/(LN(2)/25)*Calculateur!V114*Calculateur!X114*VLOOKUP('Données projet'!$B$9,Paramètres!$A$1:$I$89,3,0)*0.475*44/12</f>
        <v>34.183910006516328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127.29929328982274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68.423203475354825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7.456999999999999</v>
      </c>
      <c r="AI114" s="13">
        <f>IF('Données projet'!$A$62&gt;35,AI113+AH114-AQ113,IF(A114&lt;'Données projet'!$A$62,$AF$205^A114,IF(A114='Données projet'!$A$62,'Données projet'!$B$62,AI113+AH114-AQ113)))</f>
        <v>322.86599999999999</v>
      </c>
      <c r="AJ114" s="13">
        <f>AI114*VLOOKUP('Données projet'!$B$10,Paramètres!$A$1:$I$89,3,0)*VLOOKUP('Données projet'!$B$10,Paramètres!$A$1:$I$89,5,0)</f>
        <v>271.98231840000005</v>
      </c>
      <c r="AK114" s="13">
        <f t="shared" si="89"/>
        <v>65.269788007779979</v>
      </c>
      <c r="AL114" s="20">
        <f t="shared" si="58"/>
        <v>587.38075199355023</v>
      </c>
      <c r="AM114" s="59">
        <f t="shared" si="59"/>
        <v>874.93249806985125</v>
      </c>
      <c r="AN114" s="59">
        <f ca="1">AVERAGE(OFFSET($AM$3,0,0,'Données projet'!$E$10+1,1))-AVERAGE(OFFSET($H$3,0,0,'Données projet'!$E$10+1,1))</f>
        <v>377.26246345103175</v>
      </c>
      <c r="AO114" s="59">
        <f t="shared" si="90"/>
        <v>258.25890564000258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41.024705605804066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41.024705605804066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68.423203475354825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2.2737367544323206E-13</v>
      </c>
      <c r="BE114" s="13">
        <f>BD114*VLOOKUP('Données projet'!$B$11,Paramètres!$A$1:$I$89,3,0)*VLOOKUP('Données projet'!$B$11,Paramètres!$A$1:$I$89,5,0)</f>
        <v>1.0049916454590858E-13</v>
      </c>
      <c r="BF114" s="13">
        <f t="shared" si="91"/>
        <v>1.5089081593838289E-12</v>
      </c>
      <c r="BG114" s="20">
        <f t="shared" si="61"/>
        <v>2.8030510891776262E-12</v>
      </c>
      <c r="BH114" s="59">
        <f t="shared" si="62"/>
        <v>287.5517460763038</v>
      </c>
      <c r="BI114" s="59">
        <f ca="1">AVERAGE(OFFSET($BH$3,0,0,'Données projet'!$E$11+1,1))-AVERAGE(OFFSET($H$3,0,0,'Données projet'!$E$11+1,1))</f>
        <v>333.23043896066253</v>
      </c>
      <c r="BJ114" s="59">
        <f t="shared" si="92"/>
        <v>440.63438368668983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60.114980973122201</v>
      </c>
      <c r="BQ114" s="21">
        <f>EXP(-LN(2)/25)*BQ113+(1-EXP(-LN(2)/25))/(LN(2)/25)*Calculateur!BL114*Calculateur!BN114*VLOOKUP('Données projet'!$B$11,Paramètres!$A$1:$I$89,3,0)*0.475*44/12</f>
        <v>28.548329751780603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88.6633107249028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68.423203475354825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1.1368683772161603E-13</v>
      </c>
      <c r="BZ114" s="13">
        <f>BY114*VLOOKUP('Données projet'!$B$12,Paramètres!$A$1:$I$89,3,0)*VLOOKUP('Données projet'!$B$12,Paramètres!$A$1:$I$89,5,0)</f>
        <v>4.5815795601811263E-14</v>
      </c>
      <c r="CA114" s="13">
        <f t="shared" si="93"/>
        <v>7.5374618042508364E-13</v>
      </c>
      <c r="CB114" s="20">
        <f t="shared" si="64"/>
        <v>1.392570441580175E-12</v>
      </c>
      <c r="CC114" s="59">
        <f t="shared" si="65"/>
        <v>287.55174607630238</v>
      </c>
      <c r="CD114" s="59">
        <f ca="1">AVERAGE(OFFSET($CC$3,0,0,'Données projet'!$E$12+1,1))-AVERAGE(OFFSET($H$3,0,0,'Données projet'!$E$12+1,1))</f>
        <v>177.34129362526608</v>
      </c>
      <c r="CE114" s="59">
        <f t="shared" si="94"/>
        <v>156.93407673501022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46.408858773933524</v>
      </c>
      <c r="CL114" s="21">
        <f>EXP(-LN(2)/25)*CL113+(1-EXP(-LN(2)/25))/(LN(2)/25)*Calculateur!CG114*Calculateur!CI114*VLOOKUP('Données projet'!$B$12,Paramètres!$A$1:$I$89,3,0)*0.475*44/12</f>
        <v>17.953005661660601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64.361864435594129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68.423203475354825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8.5265128291212022E-14</v>
      </c>
      <c r="CU114" s="17">
        <f>CT114*VLOOKUP('Données projet'!$B$13,Paramètres!$A$1:$I$89,3,0)*VLOOKUP('Données projet'!$B$13,Paramètres!$A$1:$I$89,5,0)</f>
        <v>5.5865712056402117E-14</v>
      </c>
      <c r="CV114" s="13">
        <f t="shared" si="95"/>
        <v>8.9811031843713517E-13</v>
      </c>
      <c r="CW114" s="20">
        <f t="shared" si="67"/>
        <v>1.6615082531095774E-12</v>
      </c>
      <c r="CX114" s="59">
        <f t="shared" si="68"/>
        <v>287.55174607630266</v>
      </c>
      <c r="CY114" s="59">
        <f ca="1">AVERAGE(OFFSET($CX$3,0,0,'Données projet'!$E$13+1,1))-AVERAGE(OFFSET($H$3,0,0,'Données projet'!$E$13+1,1))</f>
        <v>267.49254683294629</v>
      </c>
      <c r="CZ114" s="59">
        <f t="shared" si="96"/>
        <v>278.02595256967254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41.603136692772701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41.603136692772701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68.423203475354825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7.9349999999999969</v>
      </c>
      <c r="DO114" s="12">
        <f>IF('Données projet'!$A$166&gt;35,DO113+DN114-DW113,IF(A114&lt;'Données projet'!$A$166,$DL$205^A114,IF(A114='Données projet'!$A$166,'Données projet'!$B$166,DO113+DN114-DW113)))</f>
        <v>360.7650000000005</v>
      </c>
      <c r="DP114" s="17">
        <f>DO114*VLOOKUP('Données projet'!$B$14,Paramètres!$A$1:$I$89,3,0)*VLOOKUP('Données projet'!$B$14,Paramètres!$A$1:$I$89,5,0)</f>
        <v>326.42017200000043</v>
      </c>
      <c r="DQ114" s="13">
        <f t="shared" si="97"/>
        <v>76.687647008791089</v>
      </c>
      <c r="DR114" s="20">
        <f t="shared" si="70"/>
        <v>702.07945144031191</v>
      </c>
      <c r="DS114" s="59">
        <f t="shared" si="71"/>
        <v>989.63119751661293</v>
      </c>
      <c r="DT114" s="59">
        <f ca="1">AVERAGE(OFFSET($DS$3,0,0,'Données projet'!$E$14+1,1))-AVERAGE(OFFSET($H$3,0,0,'Données projet'!$E$14+1,1))</f>
        <v>602.02351907077332</v>
      </c>
      <c r="DU114" s="59">
        <f t="shared" si="98"/>
        <v>278.08067690827272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50.197569411505341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50.197569411505341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68.423203475354825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68.423203475354825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68.423203475354825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68.423203475354825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2.2000000000000002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8.0666666666666682</v>
      </c>
      <c r="H115" s="67">
        <f t="shared" si="56"/>
        <v>224.4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68.450557369868505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360.09035401555587</v>
      </c>
      <c r="T115" s="59">
        <f t="shared" si="88"/>
        <v>266.54879627869821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91.28944741189656</v>
      </c>
      <c r="AA115" s="21">
        <f>EXP(-LN(2)/25)*AA114+(1-EXP(-LN(2)/25))/(LN(2)/25)*Calculateur!V115*Calculateur!X115*VLOOKUP('Données projet'!$B$9,Paramètres!$A$1:$I$89,3,0)*0.475*44/12</f>
        <v>33.249149189734439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124.538596601631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68.450557369868505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7.456999999999999</v>
      </c>
      <c r="AI115" s="13">
        <f>IF('Données projet'!$A$62&gt;35,AI114+AH115-AQ114,IF(A115&lt;'Données projet'!$A$62,$AF$205^A115,IF(A115='Données projet'!$A$62,'Données projet'!$B$62,AI114+AH115-AQ114)))</f>
        <v>330.32299999999998</v>
      </c>
      <c r="AJ115" s="13">
        <f>AI115*VLOOKUP('Données projet'!$B$10,Paramètres!$A$1:$I$89,3,0)*VLOOKUP('Données projet'!$B$10,Paramètres!$A$1:$I$89,5,0)</f>
        <v>278.26409519999999</v>
      </c>
      <c r="AK115" s="13">
        <f t="shared" si="89"/>
        <v>66.600029623461893</v>
      </c>
      <c r="AL115" s="20">
        <f t="shared" si="58"/>
        <v>600.63835073419614</v>
      </c>
      <c r="AM115" s="59">
        <f t="shared" si="59"/>
        <v>888.29039442371391</v>
      </c>
      <c r="AN115" s="59">
        <f ca="1">AVERAGE(OFFSET($AM$3,0,0,'Données projet'!$E$10+1,1))-AVERAGE(OFFSET($H$3,0,0,'Données projet'!$E$10+1,1))</f>
        <v>377.26246345103175</v>
      </c>
      <c r="AO115" s="59">
        <f t="shared" si="90"/>
        <v>258.25890564000258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40.220236151473891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40.220236151473891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68.450557369868505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2.2737367544323206E-13</v>
      </c>
      <c r="BE115" s="13">
        <f>BD115*VLOOKUP('Données projet'!$B$11,Paramètres!$A$1:$I$89,3,0)*VLOOKUP('Données projet'!$B$11,Paramètres!$A$1:$I$89,5,0)</f>
        <v>1.0049916454590858E-13</v>
      </c>
      <c r="BF115" s="13">
        <f t="shared" si="91"/>
        <v>1.5089081593838289E-12</v>
      </c>
      <c r="BG115" s="20">
        <f t="shared" si="61"/>
        <v>2.8030510891776262E-12</v>
      </c>
      <c r="BH115" s="59">
        <f t="shared" si="62"/>
        <v>287.65204368952061</v>
      </c>
      <c r="BI115" s="59">
        <f ca="1">AVERAGE(OFFSET($BH$3,0,0,'Données projet'!$E$11+1,1))-AVERAGE(OFFSET($H$3,0,0,'Données projet'!$E$11+1,1))</f>
        <v>333.23043896066253</v>
      </c>
      <c r="BJ115" s="59">
        <f t="shared" si="92"/>
        <v>440.63438368668983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58.936162862757151</v>
      </c>
      <c r="BQ115" s="21">
        <f>EXP(-LN(2)/25)*BQ114+(1-EXP(-LN(2)/25))/(LN(2)/25)*Calculateur!BL115*Calculateur!BN115*VLOOKUP('Données projet'!$B$11,Paramètres!$A$1:$I$89,3,0)*0.475*44/12</f>
        <v>27.767674173426748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86.703837036183899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68.450557369868505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1.1368683772161603E-13</v>
      </c>
      <c r="BZ115" s="13">
        <f>BY115*VLOOKUP('Données projet'!$B$12,Paramètres!$A$1:$I$89,3,0)*VLOOKUP('Données projet'!$B$12,Paramètres!$A$1:$I$89,5,0)</f>
        <v>4.5815795601811263E-14</v>
      </c>
      <c r="CA115" s="13">
        <f t="shared" si="93"/>
        <v>7.5374618042508364E-13</v>
      </c>
      <c r="CB115" s="20">
        <f t="shared" si="64"/>
        <v>1.392570441580175E-12</v>
      </c>
      <c r="CC115" s="59">
        <f t="shared" si="65"/>
        <v>287.65204368951919</v>
      </c>
      <c r="CD115" s="59">
        <f ca="1">AVERAGE(OFFSET($CC$3,0,0,'Données projet'!$E$12+1,1))-AVERAGE(OFFSET($H$3,0,0,'Données projet'!$E$12+1,1))</f>
        <v>177.34129362526608</v>
      </c>
      <c r="CE115" s="59">
        <f t="shared" si="94"/>
        <v>156.93407673501022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45.498809359985493</v>
      </c>
      <c r="CL115" s="21">
        <f>EXP(-LN(2)/25)*CL114+(1-EXP(-LN(2)/25))/(LN(2)/25)*Calculateur!CG115*Calculateur!CI115*VLOOKUP('Données projet'!$B$12,Paramètres!$A$1:$I$89,3,0)*0.475*44/12</f>
        <v>17.462079777734957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62.96088913772045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68.450557369868505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8.5265128291212022E-14</v>
      </c>
      <c r="CU115" s="17">
        <f>CT115*VLOOKUP('Données projet'!$B$13,Paramètres!$A$1:$I$89,3,0)*VLOOKUP('Données projet'!$B$13,Paramètres!$A$1:$I$89,5,0)</f>
        <v>5.5865712056402117E-14</v>
      </c>
      <c r="CV115" s="13">
        <f t="shared" si="95"/>
        <v>8.9811031843713517E-13</v>
      </c>
      <c r="CW115" s="20">
        <f t="shared" si="67"/>
        <v>1.6615082531095774E-12</v>
      </c>
      <c r="CX115" s="59">
        <f t="shared" si="68"/>
        <v>287.65204368951947</v>
      </c>
      <c r="CY115" s="59">
        <f ca="1">AVERAGE(OFFSET($CX$3,0,0,'Données projet'!$E$13+1,1))-AVERAGE(OFFSET($H$3,0,0,'Données projet'!$E$13+1,1))</f>
        <v>267.49254683294629</v>
      </c>
      <c r="CZ115" s="59">
        <f t="shared" si="96"/>
        <v>278.02595256967254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40.787324557635195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40.787324557635195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68.450557369868505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7.9349999999999969</v>
      </c>
      <c r="DO115" s="12">
        <f>IF('Données projet'!$A$166&gt;35,DO114+DN115-DW114,IF(A115&lt;'Données projet'!$A$166,$DL$205^A115,IF(A115='Données projet'!$A$166,'Données projet'!$B$166,DO114+DN115-DW114)))</f>
        <v>368.7000000000005</v>
      </c>
      <c r="DP115" s="17">
        <f>DO115*VLOOKUP('Données projet'!$B$14,Paramètres!$A$1:$I$89,3,0)*VLOOKUP('Données projet'!$B$14,Paramètres!$A$1:$I$89,5,0)</f>
        <v>333.59976000000046</v>
      </c>
      <c r="DQ115" s="13">
        <f t="shared" si="97"/>
        <v>78.17615735915706</v>
      </c>
      <c r="DR115" s="20">
        <f t="shared" si="70"/>
        <v>717.17638940053257</v>
      </c>
      <c r="DS115" s="59">
        <f t="shared" si="71"/>
        <v>1004.8284330900503</v>
      </c>
      <c r="DT115" s="59">
        <f ca="1">AVERAGE(OFFSET($DS$3,0,0,'Données projet'!$E$14+1,1))-AVERAGE(OFFSET($H$3,0,0,'Données projet'!$E$14+1,1))</f>
        <v>602.02351907077332</v>
      </c>
      <c r="DU115" s="59">
        <f t="shared" si="98"/>
        <v>278.08067690827272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49.213225692839835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49.213225692839835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68.450557369868505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68.450557369868505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68.450557369868505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68.450557369868505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2.2000000000000002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8.0666666666666682</v>
      </c>
      <c r="H116" s="67">
        <f t="shared" si="56"/>
        <v>224.4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68.477436735466512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360.09035401555587</v>
      </c>
      <c r="T116" s="59">
        <f t="shared" si="88"/>
        <v>266.54879627869821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89.49931702921414</v>
      </c>
      <c r="AA116" s="21">
        <f>EXP(-LN(2)/25)*AA115+(1-EXP(-LN(2)/25))/(LN(2)/25)*Calculateur!V116*Calculateur!X116*VLOOKUP('Données projet'!$B$9,Paramètres!$A$1:$I$89,3,0)*0.475*44/12</f>
        <v>32.339949456644383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121.83926648585853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68.477436735466512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337.78</v>
      </c>
      <c r="AG116" s="12">
        <f>VLOOKUP(A116,'Données projet'!$A$61:$I$81,9,0)</f>
        <v>7.456999999999999</v>
      </c>
      <c r="AH116" s="12">
        <f t="array" ref="AH116">INDEX(AG:AG,MIN(IF(ISNUMBER(AG116:AG312),ROW(AG116:AG312),"")))</f>
        <v>7.456999999999999</v>
      </c>
      <c r="AI116" s="13">
        <f>IF('Données projet'!$A$62&gt;35,AI115+AH116-AQ115,IF(A116&lt;'Données projet'!$A$62,$AF$205^A116,IF(A116='Données projet'!$A$62,'Données projet'!$B$62,AI115+AH116-AQ115)))</f>
        <v>337.78</v>
      </c>
      <c r="AJ116" s="13">
        <f>AI116*VLOOKUP('Données projet'!$B$10,Paramètres!$A$1:$I$89,3,0)*VLOOKUP('Données projet'!$B$10,Paramètres!$A$1:$I$89,5,0)</f>
        <v>284.54587199999997</v>
      </c>
      <c r="AK116" s="13">
        <f t="shared" si="89"/>
        <v>67.926780018045676</v>
      </c>
      <c r="AL116" s="20">
        <f t="shared" si="58"/>
        <v>613.88986893142953</v>
      </c>
      <c r="AM116" s="59">
        <f t="shared" si="59"/>
        <v>901.64047029480673</v>
      </c>
      <c r="AN116" s="59">
        <f ca="1">AVERAGE(OFFSET($AM$3,0,0,'Données projet'!$E$10+1,1))-AVERAGE(OFFSET($H$3,0,0,'Données projet'!$E$10+1,1))</f>
        <v>377.26246345103175</v>
      </c>
      <c r="AO116" s="59">
        <f t="shared" si="90"/>
        <v>258.25890564000258</v>
      </c>
      <c r="AP116" s="15">
        <f>IF(ISNA(VLOOKUP(A116,'Données projet'!$A$61:$I$81,3,0)),0,VLOOKUP(A116,'Données projet'!$A$61:$I$81,3,0))</f>
        <v>10</v>
      </c>
      <c r="AQ116" s="15">
        <f>IF(ISNA(VLOOKUP(A116,'Données projet'!$A$61:$I$81,4,0)),0,VLOOKUP(A116,'Données projet'!$A$61:$I$81,4,0))</f>
        <v>59.52</v>
      </c>
      <c r="AR116" s="16">
        <f>IF(ISNA(VLOOKUP(A116,'Données projet'!$A$61:$I$81,5,0)),0%,VLOOKUP(A116,'Données projet'!$A$61:$I$81,5,0)*VLOOKUP('Données projet'!$B$10,Paramètres!$A$1:$I$89,7,0))</f>
        <v>0.25800000000000001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53.731938944151018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53.731938944151018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68.477436735466512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2.2737367544323206E-13</v>
      </c>
      <c r="BE116" s="13">
        <f>BD116*VLOOKUP('Données projet'!$B$11,Paramètres!$A$1:$I$89,3,0)*VLOOKUP('Données projet'!$B$11,Paramètres!$A$1:$I$89,5,0)</f>
        <v>1.0049916454590858E-13</v>
      </c>
      <c r="BF116" s="13">
        <f t="shared" si="91"/>
        <v>1.5089081593838289E-12</v>
      </c>
      <c r="BG116" s="20">
        <f t="shared" si="61"/>
        <v>2.8030510891776262E-12</v>
      </c>
      <c r="BH116" s="59">
        <f t="shared" si="62"/>
        <v>287.75060136337999</v>
      </c>
      <c r="BI116" s="59">
        <f ca="1">AVERAGE(OFFSET($BH$3,0,0,'Données projet'!$E$11+1,1))-AVERAGE(OFFSET($H$3,0,0,'Données projet'!$E$11+1,1))</f>
        <v>333.23043896066253</v>
      </c>
      <c r="BJ116" s="59">
        <f t="shared" si="92"/>
        <v>440.63438368668983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57.780460656528305</v>
      </c>
      <c r="BQ116" s="21">
        <f>EXP(-LN(2)/25)*BQ115+(1-EXP(-LN(2)/25))/(LN(2)/25)*Calculateur!BL116*Calculateur!BN116*VLOOKUP('Données projet'!$B$11,Paramètres!$A$1:$I$89,3,0)*0.475*44/12</f>
        <v>27.008365662915871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84.788826319444183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68.477436735466512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1.1368683772161603E-13</v>
      </c>
      <c r="BZ116" s="13">
        <f>BY116*VLOOKUP('Données projet'!$B$12,Paramètres!$A$1:$I$89,3,0)*VLOOKUP('Données projet'!$B$12,Paramètres!$A$1:$I$89,5,0)</f>
        <v>4.5815795601811263E-14</v>
      </c>
      <c r="CA116" s="13">
        <f t="shared" si="93"/>
        <v>7.5374618042508364E-13</v>
      </c>
      <c r="CB116" s="20">
        <f t="shared" si="64"/>
        <v>1.392570441580175E-12</v>
      </c>
      <c r="CC116" s="59">
        <f t="shared" si="65"/>
        <v>287.75060136337856</v>
      </c>
      <c r="CD116" s="59">
        <f ca="1">AVERAGE(OFFSET($CC$3,0,0,'Données projet'!$E$12+1,1))-AVERAGE(OFFSET($H$3,0,0,'Données projet'!$E$12+1,1))</f>
        <v>177.34129362526608</v>
      </c>
      <c r="CE116" s="59">
        <f t="shared" si="94"/>
        <v>156.93407673501022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44.60660545996965</v>
      </c>
      <c r="CL116" s="21">
        <f>EXP(-LN(2)/25)*CL115+(1-EXP(-LN(2)/25))/(LN(2)/25)*Calculateur!CG116*Calculateur!CI116*VLOOKUP('Données projet'!$B$12,Paramètres!$A$1:$I$89,3,0)*0.475*44/12</f>
        <v>16.984578287921927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61.591183747891577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68.477436735466512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8.5265128291212022E-14</v>
      </c>
      <c r="CU116" s="17">
        <f>CT116*VLOOKUP('Données projet'!$B$13,Paramètres!$A$1:$I$89,3,0)*VLOOKUP('Données projet'!$B$13,Paramètres!$A$1:$I$89,5,0)</f>
        <v>5.5865712056402117E-14</v>
      </c>
      <c r="CV116" s="13">
        <f t="shared" si="95"/>
        <v>8.9811031843713517E-13</v>
      </c>
      <c r="CW116" s="20">
        <f t="shared" si="67"/>
        <v>1.6615082531095774E-12</v>
      </c>
      <c r="CX116" s="59">
        <f t="shared" si="68"/>
        <v>287.75060136337885</v>
      </c>
      <c r="CY116" s="59">
        <f ca="1">AVERAGE(OFFSET($CX$3,0,0,'Données projet'!$E$13+1,1))-AVERAGE(OFFSET($H$3,0,0,'Données projet'!$E$13+1,1))</f>
        <v>267.49254683294629</v>
      </c>
      <c r="CZ116" s="59">
        <f t="shared" si="96"/>
        <v>278.02595256967254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39.987510000871467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39.987510000871467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68.477436735466512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7.9349999999999969</v>
      </c>
      <c r="DO116" s="12">
        <f>IF('Données projet'!$A$166&gt;35,DO115+DN116-DW115,IF(A116&lt;'Données projet'!$A$166,$DL$205^A116,IF(A116='Données projet'!$A$166,'Données projet'!$B$166,DO115+DN116-DW115)))</f>
        <v>376.6350000000005</v>
      </c>
      <c r="DP116" s="17">
        <f>DO116*VLOOKUP('Données projet'!$B$14,Paramètres!$A$1:$I$89,3,0)*VLOOKUP('Données projet'!$B$14,Paramètres!$A$1:$I$89,5,0)</f>
        <v>340.77934800000043</v>
      </c>
      <c r="DQ116" s="13">
        <f t="shared" si="97"/>
        <v>79.660943190415296</v>
      </c>
      <c r="DR116" s="20">
        <f t="shared" si="70"/>
        <v>732.26684048997402</v>
      </c>
      <c r="DS116" s="59">
        <f t="shared" si="71"/>
        <v>1020.0174418533512</v>
      </c>
      <c r="DT116" s="59">
        <f ca="1">AVERAGE(OFFSET($DS$3,0,0,'Données projet'!$E$14+1,1))-AVERAGE(OFFSET($H$3,0,0,'Données projet'!$E$14+1,1))</f>
        <v>602.02351907077332</v>
      </c>
      <c r="DU116" s="59">
        <f t="shared" si="98"/>
        <v>278.08067690827272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48.248184354106975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48.248184354106975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68.477436735466512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68.477436735466512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68.477436735466512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68.477436735466512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2.2000000000000002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8.0666666666666682</v>
      </c>
      <c r="H117" s="67">
        <f t="shared" si="56"/>
        <v>224.4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68.503849804164659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360.09035401555587</v>
      </c>
      <c r="T117" s="59">
        <f t="shared" si="88"/>
        <v>266.54879627869821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87.7442900114644</v>
      </c>
      <c r="AA117" s="21">
        <f>EXP(-LN(2)/25)*AA116+(1-EXP(-LN(2)/25))/(LN(2)/25)*Calculateur!V117*Calculateur!X117*VLOOKUP('Données projet'!$B$9,Paramètres!$A$1:$I$89,3,0)*0.475*44/12</f>
        <v>31.455611838068414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119.19990184953281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68.503849804164659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7.3920000000000012</v>
      </c>
      <c r="AI117" s="13">
        <f>IF('Données projet'!$A$62&gt;35,AI116+AH117-AQ116,IF(A117&lt;'Données projet'!$A$62,$AF$205^A117,IF(A117='Données projet'!$A$62,'Données projet'!$B$62,AI116+AH117-AQ116)))</f>
        <v>285.65199999999999</v>
      </c>
      <c r="AJ117" s="13">
        <f>AI117*VLOOKUP('Données projet'!$B$10,Paramètres!$A$1:$I$89,3,0)*VLOOKUP('Données projet'!$B$10,Paramètres!$A$1:$I$89,5,0)</f>
        <v>240.63324480000003</v>
      </c>
      <c r="AK117" s="13">
        <f t="shared" si="89"/>
        <v>58.575755284088402</v>
      </c>
      <c r="AL117" s="20">
        <f t="shared" si="58"/>
        <v>521.12234181312056</v>
      </c>
      <c r="AM117" s="59">
        <f t="shared" si="59"/>
        <v>808.96979109505764</v>
      </c>
      <c r="AN117" s="59">
        <f ca="1">AVERAGE(OFFSET($AM$3,0,0,'Données projet'!$E$10+1,1))-AVERAGE(OFFSET($H$3,0,0,'Données projet'!$E$10+1,1))</f>
        <v>377.26246345103175</v>
      </c>
      <c r="AO117" s="59">
        <f t="shared" si="90"/>
        <v>258.25890564000258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52.678288394702882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52.678288394702882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68.503849804164659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2.2737367544323206E-13</v>
      </c>
      <c r="BE117" s="13">
        <f>BD117*VLOOKUP('Données projet'!$B$11,Paramètres!$A$1:$I$89,3,0)*VLOOKUP('Données projet'!$B$11,Paramètres!$A$1:$I$89,5,0)</f>
        <v>1.0049916454590858E-13</v>
      </c>
      <c r="BF117" s="13">
        <f t="shared" si="91"/>
        <v>1.5089081593838289E-12</v>
      </c>
      <c r="BG117" s="20">
        <f t="shared" si="61"/>
        <v>2.8030510891776262E-12</v>
      </c>
      <c r="BH117" s="59">
        <f t="shared" si="62"/>
        <v>287.84744928193987</v>
      </c>
      <c r="BI117" s="59">
        <f ca="1">AVERAGE(OFFSET($BH$3,0,0,'Données projet'!$E$11+1,1))-AVERAGE(OFFSET($H$3,0,0,'Données projet'!$E$11+1,1))</f>
        <v>333.23043896066253</v>
      </c>
      <c r="BJ117" s="59">
        <f t="shared" si="92"/>
        <v>440.63438368668983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56.647421065654868</v>
      </c>
      <c r="BQ117" s="21">
        <f>EXP(-LN(2)/25)*BQ116+(1-EXP(-LN(2)/25))/(LN(2)/25)*Calculateur!BL117*Calculateur!BN117*VLOOKUP('Données projet'!$B$11,Paramètres!$A$1:$I$89,3,0)*0.475*44/12</f>
        <v>26.269820483555215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82.917241549210075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68.503849804164659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1.1368683772161603E-13</v>
      </c>
      <c r="BZ117" s="13">
        <f>BY117*VLOOKUP('Données projet'!$B$12,Paramètres!$A$1:$I$89,3,0)*VLOOKUP('Données projet'!$B$12,Paramètres!$A$1:$I$89,5,0)</f>
        <v>4.5815795601811263E-14</v>
      </c>
      <c r="CA117" s="13">
        <f t="shared" si="93"/>
        <v>7.5374618042508364E-13</v>
      </c>
      <c r="CB117" s="20">
        <f t="shared" si="64"/>
        <v>1.392570441580175E-12</v>
      </c>
      <c r="CC117" s="59">
        <f t="shared" si="65"/>
        <v>287.84744928193845</v>
      </c>
      <c r="CD117" s="59">
        <f ca="1">AVERAGE(OFFSET($CC$3,0,0,'Données projet'!$E$12+1,1))-AVERAGE(OFFSET($H$3,0,0,'Données projet'!$E$12+1,1))</f>
        <v>177.34129362526608</v>
      </c>
      <c r="CE117" s="59">
        <f t="shared" si="94"/>
        <v>156.93407673501022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43.731897134242473</v>
      </c>
      <c r="CL117" s="21">
        <f>EXP(-LN(2)/25)*CL116+(1-EXP(-LN(2)/25))/(LN(2)/25)*Calculateur!CG117*Calculateur!CI117*VLOOKUP('Données projet'!$B$12,Paramètres!$A$1:$I$89,3,0)*0.475*44/12</f>
        <v>16.520134101458549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60.252031235701025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68.503849804164659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8.5265128291212022E-14</v>
      </c>
      <c r="CU117" s="17">
        <f>CT117*VLOOKUP('Données projet'!$B$13,Paramètres!$A$1:$I$89,3,0)*VLOOKUP('Données projet'!$B$13,Paramètres!$A$1:$I$89,5,0)</f>
        <v>5.5865712056402117E-14</v>
      </c>
      <c r="CV117" s="13">
        <f t="shared" si="95"/>
        <v>8.9811031843713517E-13</v>
      </c>
      <c r="CW117" s="20">
        <f t="shared" si="67"/>
        <v>1.6615082531095774E-12</v>
      </c>
      <c r="CX117" s="59">
        <f t="shared" si="68"/>
        <v>287.84744928193874</v>
      </c>
      <c r="CY117" s="59">
        <f ca="1">AVERAGE(OFFSET($CX$3,0,0,'Données projet'!$E$13+1,1))-AVERAGE(OFFSET($H$3,0,0,'Données projet'!$E$13+1,1))</f>
        <v>267.49254683294629</v>
      </c>
      <c r="CZ117" s="59">
        <f t="shared" si="96"/>
        <v>278.02595256967254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39.203379319727169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39.203379319727169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68.503849804164659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>
        <f>VLOOKUP(A117,'Données projet'!$A$165:$I$185,2,0)</f>
        <v>384.57</v>
      </c>
      <c r="DM117" s="12">
        <f>VLOOKUP(A117,'Données projet'!$A$165:$I$185,9,0)</f>
        <v>7.9349999999999969</v>
      </c>
      <c r="DN117" s="12">
        <f t="array" ref="DN117">INDEX(DM:DM,MIN(IF(ISNUMBER(DM117:DM313),ROW(DM117:DM313),"")))</f>
        <v>7.9349999999999969</v>
      </c>
      <c r="DO117" s="12">
        <f>IF('Données projet'!$A$166&gt;35,DO116+DN117-DW116,IF(A117&lt;'Données projet'!$A$166,$DL$205^A117,IF(A117='Données projet'!$A$166,'Données projet'!$B$166,DO116+DN117-DW116)))</f>
        <v>384.5700000000005</v>
      </c>
      <c r="DP117" s="17">
        <f>DO117*VLOOKUP('Données projet'!$B$14,Paramètres!$A$1:$I$89,3,0)*VLOOKUP('Données projet'!$B$14,Paramètres!$A$1:$I$89,5,0)</f>
        <v>347.95893600000045</v>
      </c>
      <c r="DQ117" s="13">
        <f t="shared" si="97"/>
        <v>81.142092010767954</v>
      </c>
      <c r="DR117" s="20">
        <f t="shared" si="70"/>
        <v>747.35095711875499</v>
      </c>
      <c r="DS117" s="59">
        <f t="shared" si="71"/>
        <v>1035.198406400692</v>
      </c>
      <c r="DT117" s="59">
        <f ca="1">AVERAGE(OFFSET($DS$3,0,0,'Données projet'!$E$14+1,1))-AVERAGE(OFFSET($H$3,0,0,'Données projet'!$E$14+1,1))</f>
        <v>602.02351907077332</v>
      </c>
      <c r="DU117" s="59">
        <f t="shared" si="98"/>
        <v>278.08067690827272</v>
      </c>
      <c r="DV117" s="15">
        <f>IF(ISNA(VLOOKUP(A117,'Données projet'!$A$165:$I$185,3,0)),0,VLOOKUP(A117,'Données projet'!$A$165:$I$185,3,0))</f>
        <v>9</v>
      </c>
      <c r="DW117" s="15">
        <f>IF(ISNA(VLOOKUP(A117,'Données projet'!$A$165:$I$185,4,0)),0,VLOOKUP(A117,'Données projet'!$A$165:$I$185,4,0))</f>
        <v>56.07</v>
      </c>
      <c r="DX117" s="16">
        <f>IF(ISNA(VLOOKUP(A117,'Données projet'!$A$165:$I$185,5,0)),0%,VLOOKUP(A117,'Données projet'!$A$165:$I$185,5,0)*VLOOKUP('Données projet'!$B$14,Paramètres!$A$1:$I$89,7,0))</f>
        <v>0.25800000000000001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61.771448286126386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61.771448286126386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68.503849804164659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68.503849804164659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68.503849804164659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68.503849804164659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2.2000000000000002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8.0666666666666682</v>
      </c>
      <c r="H118" s="67">
        <f t="shared" si="56"/>
        <v>224.4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68.529804665171667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360.09035401555587</v>
      </c>
      <c r="T118" s="59">
        <f t="shared" si="88"/>
        <v>266.54879627869821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86.02367800307195</v>
      </c>
      <c r="AA118" s="21">
        <f>EXP(-LN(2)/25)*AA117+(1-EXP(-LN(2)/25))/(LN(2)/25)*Calculateur!V118*Calculateur!X118*VLOOKUP('Données projet'!$B$9,Paramètres!$A$1:$I$89,3,0)*0.475*44/12</f>
        <v>30.595456478177699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116.61913448124965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68.529804665171667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7.3920000000000012</v>
      </c>
      <c r="AI118" s="13">
        <f>IF('Données projet'!$A$62&gt;35,AI117+AH118-AQ117,IF(A118&lt;'Données projet'!$A$62,$AF$205^A118,IF(A118='Données projet'!$A$62,'Données projet'!$B$62,AI117+AH118-AQ117)))</f>
        <v>293.04399999999998</v>
      </c>
      <c r="AJ118" s="13">
        <f>AI118*VLOOKUP('Données projet'!$B$10,Paramètres!$A$1:$I$89,3,0)*VLOOKUP('Données projet'!$B$10,Paramètres!$A$1:$I$89,5,0)</f>
        <v>246.86026560000002</v>
      </c>
      <c r="AK118" s="13">
        <f t="shared" si="89"/>
        <v>59.913120249542224</v>
      </c>
      <c r="AL118" s="20">
        <f t="shared" si="58"/>
        <v>534.29698035461945</v>
      </c>
      <c r="AM118" s="59">
        <f t="shared" si="59"/>
        <v>822.23959746024889</v>
      </c>
      <c r="AN118" s="59">
        <f ca="1">AVERAGE(OFFSET($AM$3,0,0,'Données projet'!$E$10+1,1))-AVERAGE(OFFSET($H$3,0,0,'Données projet'!$E$10+1,1))</f>
        <v>377.26246345103175</v>
      </c>
      <c r="AO118" s="59">
        <f t="shared" si="90"/>
        <v>258.25890564000258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51.645299289866045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51.645299289866045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68.529804665171667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2.2737367544323206E-13</v>
      </c>
      <c r="BE118" s="13">
        <f>BD118*VLOOKUP('Données projet'!$B$11,Paramètres!$A$1:$I$89,3,0)*VLOOKUP('Données projet'!$B$11,Paramètres!$A$1:$I$89,5,0)</f>
        <v>1.0049916454590858E-13</v>
      </c>
      <c r="BF118" s="13">
        <f t="shared" si="91"/>
        <v>1.5089081593838289E-12</v>
      </c>
      <c r="BG118" s="20">
        <f t="shared" si="61"/>
        <v>2.8030510891776262E-12</v>
      </c>
      <c r="BH118" s="59">
        <f t="shared" si="62"/>
        <v>287.94261710563222</v>
      </c>
      <c r="BI118" s="59">
        <f ca="1">AVERAGE(OFFSET($BH$3,0,0,'Données projet'!$E$11+1,1))-AVERAGE(OFFSET($H$3,0,0,'Données projet'!$E$11+1,1))</f>
        <v>333.23043896066253</v>
      </c>
      <c r="BJ118" s="59">
        <f t="shared" si="92"/>
        <v>440.63438368668983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55.536599690072549</v>
      </c>
      <c r="BQ118" s="21">
        <f>EXP(-LN(2)/25)*BQ117+(1-EXP(-LN(2)/25))/(LN(2)/25)*Calculateur!BL118*Calculateur!BN118*VLOOKUP('Données projet'!$B$11,Paramètres!$A$1:$I$89,3,0)*0.475*44/12</f>
        <v>25.551470860962578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81.088070551035131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68.529804665171667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1.1368683772161603E-13</v>
      </c>
      <c r="BZ118" s="13">
        <f>BY118*VLOOKUP('Données projet'!$B$12,Paramètres!$A$1:$I$89,3,0)*VLOOKUP('Données projet'!$B$12,Paramètres!$A$1:$I$89,5,0)</f>
        <v>4.5815795601811263E-14</v>
      </c>
      <c r="CA118" s="13">
        <f t="shared" si="93"/>
        <v>7.5374618042508364E-13</v>
      </c>
      <c r="CB118" s="20">
        <f t="shared" si="64"/>
        <v>1.392570441580175E-12</v>
      </c>
      <c r="CC118" s="59">
        <f t="shared" si="65"/>
        <v>287.9426171056308</v>
      </c>
      <c r="CD118" s="59">
        <f ca="1">AVERAGE(OFFSET($CC$3,0,0,'Données projet'!$E$12+1,1))-AVERAGE(OFFSET($H$3,0,0,'Données projet'!$E$12+1,1))</f>
        <v>177.34129362526608</v>
      </c>
      <c r="CE118" s="59">
        <f t="shared" si="94"/>
        <v>156.93407673501022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42.874341305263407</v>
      </c>
      <c r="CL118" s="21">
        <f>EXP(-LN(2)/25)*CL117+(1-EXP(-LN(2)/25))/(LN(2)/25)*Calculateur!CG118*Calculateur!CI118*VLOOKUP('Données projet'!$B$12,Paramètres!$A$1:$I$89,3,0)*0.475*44/12</f>
        <v>16.068390165698069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58.942731470961476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68.529804665171667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8.5265128291212022E-14</v>
      </c>
      <c r="CU118" s="17">
        <f>CT118*VLOOKUP('Données projet'!$B$13,Paramètres!$A$1:$I$89,3,0)*VLOOKUP('Données projet'!$B$13,Paramètres!$A$1:$I$89,5,0)</f>
        <v>5.5865712056402117E-14</v>
      </c>
      <c r="CV118" s="13">
        <f t="shared" si="95"/>
        <v>8.9811031843713517E-13</v>
      </c>
      <c r="CW118" s="20">
        <f t="shared" si="67"/>
        <v>1.6615082531095774E-12</v>
      </c>
      <c r="CX118" s="59">
        <f t="shared" si="68"/>
        <v>287.94261710563109</v>
      </c>
      <c r="CY118" s="59">
        <f ca="1">AVERAGE(OFFSET($CX$3,0,0,'Données projet'!$E$13+1,1))-AVERAGE(OFFSET($H$3,0,0,'Données projet'!$E$13+1,1))</f>
        <v>267.49254683294629</v>
      </c>
      <c r="CZ118" s="59">
        <f t="shared" si="96"/>
        <v>278.02595256967254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38.434624962967618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38.434624962967618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68.529804665171667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7.9920000000000018</v>
      </c>
      <c r="DO118" s="12">
        <f>IF('Données projet'!$A$166&gt;35,DO117+DN118-DW117,IF(A118&lt;'Données projet'!$A$166,$DL$205^A118,IF(A118='Données projet'!$A$166,'Données projet'!$B$166,DO117+DN118-DW117)))</f>
        <v>336.49200000000053</v>
      </c>
      <c r="DP118" s="17">
        <f>DO118*VLOOKUP('Données projet'!$B$14,Paramètres!$A$1:$I$89,3,0)*VLOOKUP('Données projet'!$B$14,Paramètres!$A$1:$I$89,5,0)</f>
        <v>304.45796160000049</v>
      </c>
      <c r="DQ118" s="13">
        <f t="shared" si="97"/>
        <v>72.11021964481435</v>
      </c>
      <c r="DR118" s="20">
        <f t="shared" si="70"/>
        <v>655.85624900138566</v>
      </c>
      <c r="DS118" s="59">
        <f t="shared" si="71"/>
        <v>943.7988661070151</v>
      </c>
      <c r="DT118" s="59">
        <f ca="1">AVERAGE(OFFSET($DS$3,0,0,'Données projet'!$E$14+1,1))-AVERAGE(OFFSET($H$3,0,0,'Données projet'!$E$14+1,1))</f>
        <v>602.02351907077332</v>
      </c>
      <c r="DU118" s="59">
        <f t="shared" si="98"/>
        <v>278.08067690827272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60.560147862098624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60.560147862098624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68.529804665171667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68.529804665171667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68.529804665171667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68.529804665171667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2.2000000000000002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8.0666666666666682</v>
      </c>
      <c r="H119" s="67">
        <f t="shared" si="56"/>
        <v>224.4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68.555309267366582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360.09035401555587</v>
      </c>
      <c r="T119" s="59">
        <f t="shared" si="88"/>
        <v>266.54879627869821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84.336806146694386</v>
      </c>
      <c r="AA119" s="21">
        <f>EXP(-LN(2)/25)*AA118+(1-EXP(-LN(2)/25))/(LN(2)/25)*Calculateur!V119*Calculateur!X119*VLOOKUP('Données projet'!$B$9,Paramètres!$A$1:$I$89,3,0)*0.475*44/12</f>
        <v>29.7588221118368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114.09562825853118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68.555309267366582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7.3920000000000012</v>
      </c>
      <c r="AI119" s="13">
        <f>IF('Données projet'!$A$62&gt;35,AI118+AH119-AQ118,IF(A119&lt;'Données projet'!$A$62,$AF$205^A119,IF(A119='Données projet'!$A$62,'Données projet'!$B$62,AI118+AH119-AQ118)))</f>
        <v>300.43599999999998</v>
      </c>
      <c r="AJ119" s="13">
        <f>AI119*VLOOKUP('Données projet'!$B$10,Paramètres!$A$1:$I$89,3,0)*VLOOKUP('Données projet'!$B$10,Paramètres!$A$1:$I$89,5,0)</f>
        <v>253.08728640000004</v>
      </c>
      <c r="AK119" s="13">
        <f t="shared" si="89"/>
        <v>61.246563795569969</v>
      </c>
      <c r="AL119" s="20">
        <f t="shared" si="58"/>
        <v>547.46478909061773</v>
      </c>
      <c r="AM119" s="59">
        <f t="shared" si="59"/>
        <v>835.50092307096179</v>
      </c>
      <c r="AN119" s="59">
        <f ca="1">AVERAGE(OFFSET($AM$3,0,0,'Données projet'!$E$10+1,1))-AVERAGE(OFFSET($H$3,0,0,'Données projet'!$E$10+1,1))</f>
        <v>377.26246345103175</v>
      </c>
      <c r="AO119" s="59">
        <f t="shared" si="90"/>
        <v>258.25890564000258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50.632566471313922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50.632566471313922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68.555309267366582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2.2737367544323206E-13</v>
      </c>
      <c r="BE119" s="13">
        <f>BD119*VLOOKUP('Données projet'!$B$11,Paramètres!$A$1:$I$89,3,0)*VLOOKUP('Données projet'!$B$11,Paramètres!$A$1:$I$89,5,0)</f>
        <v>1.0049916454590858E-13</v>
      </c>
      <c r="BF119" s="13">
        <f t="shared" si="91"/>
        <v>1.5089081593838289E-12</v>
      </c>
      <c r="BG119" s="20">
        <f t="shared" si="61"/>
        <v>2.8030510891776262E-12</v>
      </c>
      <c r="BH119" s="59">
        <f t="shared" si="62"/>
        <v>288.0361339803469</v>
      </c>
      <c r="BI119" s="59">
        <f ca="1">AVERAGE(OFFSET($BH$3,0,0,'Données projet'!$E$11+1,1))-AVERAGE(OFFSET($H$3,0,0,'Données projet'!$E$11+1,1))</f>
        <v>333.23043896066253</v>
      </c>
      <c r="BJ119" s="59">
        <f t="shared" si="92"/>
        <v>440.63438368668983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54.44756084413126</v>
      </c>
      <c r="BQ119" s="21">
        <f>EXP(-LN(2)/25)*BQ118+(1-EXP(-LN(2)/25))/(LN(2)/25)*Calculateur!BL119*Calculateur!BN119*VLOOKUP('Données projet'!$B$11,Paramètres!$A$1:$I$89,3,0)*0.475*44/12</f>
        <v>24.8527645465761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79.300325390707357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68.555309267366582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1.1368683772161603E-13</v>
      </c>
      <c r="BZ119" s="13">
        <f>BY119*VLOOKUP('Données projet'!$B$12,Paramètres!$A$1:$I$89,3,0)*VLOOKUP('Données projet'!$B$12,Paramètres!$A$1:$I$89,5,0)</f>
        <v>4.5815795601811263E-14</v>
      </c>
      <c r="CA119" s="13">
        <f t="shared" si="93"/>
        <v>7.5374618042508364E-13</v>
      </c>
      <c r="CB119" s="20">
        <f t="shared" si="64"/>
        <v>1.392570441580175E-12</v>
      </c>
      <c r="CC119" s="59">
        <f t="shared" si="65"/>
        <v>288.03613398034548</v>
      </c>
      <c r="CD119" s="59">
        <f ca="1">AVERAGE(OFFSET($CC$3,0,0,'Données projet'!$E$12+1,1))-AVERAGE(OFFSET($H$3,0,0,'Données projet'!$E$12+1,1))</f>
        <v>177.34129362526608</v>
      </c>
      <c r="CE119" s="59">
        <f t="shared" si="94"/>
        <v>156.93407673501022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42.033601623033213</v>
      </c>
      <c r="CL119" s="21">
        <f>EXP(-LN(2)/25)*CL118+(1-EXP(-LN(2)/25))/(LN(2)/25)*Calculateur!CG119*Calculateur!CI119*VLOOKUP('Données projet'!$B$12,Paramètres!$A$1:$I$89,3,0)*0.475*44/12</f>
        <v>15.628999191617142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57.662600814650354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68.555309267366582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8.5265128291212022E-14</v>
      </c>
      <c r="CU119" s="17">
        <f>CT119*VLOOKUP('Données projet'!$B$13,Paramètres!$A$1:$I$89,3,0)*VLOOKUP('Données projet'!$B$13,Paramètres!$A$1:$I$89,5,0)</f>
        <v>5.5865712056402117E-14</v>
      </c>
      <c r="CV119" s="13">
        <f t="shared" si="95"/>
        <v>8.9811031843713517E-13</v>
      </c>
      <c r="CW119" s="20">
        <f t="shared" si="67"/>
        <v>1.6615082531095774E-12</v>
      </c>
      <c r="CX119" s="59">
        <f t="shared" si="68"/>
        <v>288.03613398034577</v>
      </c>
      <c r="CY119" s="59">
        <f ca="1">AVERAGE(OFFSET($CX$3,0,0,'Données projet'!$E$13+1,1))-AVERAGE(OFFSET($H$3,0,0,'Données projet'!$E$13+1,1))</f>
        <v>267.49254683294629</v>
      </c>
      <c r="CZ119" s="59">
        <f t="shared" si="96"/>
        <v>278.02595256967254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37.680945410250267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37.680945410250267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68.555309267366582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7.9920000000000018</v>
      </c>
      <c r="DO119" s="12">
        <f>IF('Données projet'!$A$166&gt;35,DO118+DN119-DW118,IF(A119&lt;'Données projet'!$A$166,$DL$205^A119,IF(A119='Données projet'!$A$166,'Données projet'!$B$166,DO118+DN119-DW118)))</f>
        <v>344.48400000000055</v>
      </c>
      <c r="DP119" s="17">
        <f>DO119*VLOOKUP('Données projet'!$B$14,Paramètres!$A$1:$I$89,3,0)*VLOOKUP('Données projet'!$B$14,Paramètres!$A$1:$I$89,5,0)</f>
        <v>311.68912320000049</v>
      </c>
      <c r="DQ119" s="13">
        <f t="shared" si="97"/>
        <v>73.621474685301479</v>
      </c>
      <c r="DR119" s="20">
        <f t="shared" si="70"/>
        <v>671.08262465023415</v>
      </c>
      <c r="DS119" s="59">
        <f t="shared" si="71"/>
        <v>959.11875863057821</v>
      </c>
      <c r="DT119" s="59">
        <f ca="1">AVERAGE(OFFSET($DS$3,0,0,'Données projet'!$E$14+1,1))-AVERAGE(OFFSET($H$3,0,0,'Données projet'!$E$14+1,1))</f>
        <v>602.02351907077332</v>
      </c>
      <c r="DU119" s="59">
        <f t="shared" si="98"/>
        <v>278.08067690827272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59.372600300565736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59.372600300565736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68.555309267366582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68.555309267366582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68.555309267366582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68.555309267366582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2.2000000000000002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8.0666666666666682</v>
      </c>
      <c r="H120" s="67">
        <f t="shared" si="56"/>
        <v>224.4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68.580371421733162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360.09035401555587</v>
      </c>
      <c r="T120" s="59">
        <f t="shared" si="88"/>
        <v>266.54879627869821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82.683012818530145</v>
      </c>
      <c r="AA120" s="21">
        <f>EXP(-LN(2)/25)*AA119+(1-EXP(-LN(2)/25))/(LN(2)/25)*Calculateur!V120*Calculateur!X120*VLOOKUP('Données projet'!$B$9,Paramètres!$A$1:$I$89,3,0)*0.475*44/12</f>
        <v>28.945065556240181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111.62807837477033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68.580371421733162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7.3920000000000012</v>
      </c>
      <c r="AI120" s="13">
        <f>IF('Données projet'!$A$62&gt;35,AI119+AH120-AQ119,IF(A120&lt;'Données projet'!$A$62,$AF$205^A120,IF(A120='Données projet'!$A$62,'Données projet'!$B$62,AI119+AH120-AQ119)))</f>
        <v>307.82799999999997</v>
      </c>
      <c r="AJ120" s="13">
        <f>AI120*VLOOKUP('Données projet'!$B$10,Paramètres!$A$1:$I$89,3,0)*VLOOKUP('Données projet'!$B$10,Paramètres!$A$1:$I$89,5,0)</f>
        <v>259.31430719999997</v>
      </c>
      <c r="AK120" s="13">
        <f t="shared" si="89"/>
        <v>62.57619350426765</v>
      </c>
      <c r="AL120" s="20">
        <f t="shared" si="58"/>
        <v>560.62595539326617</v>
      </c>
      <c r="AM120" s="59">
        <f t="shared" si="59"/>
        <v>848.75398393962109</v>
      </c>
      <c r="AN120" s="59">
        <f ca="1">AVERAGE(OFFSET($AM$3,0,0,'Données projet'!$E$10+1,1))-AVERAGE(OFFSET($H$3,0,0,'Données projet'!$E$10+1,1))</f>
        <v>377.26246345103175</v>
      </c>
      <c r="AO120" s="59">
        <f t="shared" si="90"/>
        <v>258.25890564000258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49.639692725627576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49.639692725627576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68.580371421733162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2.2737367544323206E-13</v>
      </c>
      <c r="BE120" s="13">
        <f>BD120*VLOOKUP('Données projet'!$B$11,Paramètres!$A$1:$I$89,3,0)*VLOOKUP('Données projet'!$B$11,Paramètres!$A$1:$I$89,5,0)</f>
        <v>1.0049916454590858E-13</v>
      </c>
      <c r="BF120" s="13">
        <f t="shared" si="91"/>
        <v>1.5089081593838289E-12</v>
      </c>
      <c r="BG120" s="20">
        <f t="shared" si="61"/>
        <v>2.8030510891776262E-12</v>
      </c>
      <c r="BH120" s="59">
        <f t="shared" si="62"/>
        <v>288.12802854635771</v>
      </c>
      <c r="BI120" s="59">
        <f ca="1">AVERAGE(OFFSET($BH$3,0,0,'Données projet'!$E$11+1,1))-AVERAGE(OFFSET($H$3,0,0,'Données projet'!$E$11+1,1))</f>
        <v>333.23043896066253</v>
      </c>
      <c r="BJ120" s="59">
        <f t="shared" si="92"/>
        <v>440.63438368668983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53.37987738571077</v>
      </c>
      <c r="BQ120" s="21">
        <f>EXP(-LN(2)/25)*BQ119+(1-EXP(-LN(2)/25))/(LN(2)/25)*Calculateur!BL120*Calculateur!BN120*VLOOKUP('Données projet'!$B$11,Paramètres!$A$1:$I$89,3,0)*0.475*44/12</f>
        <v>24.173164393099892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77.553041778810666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68.580371421733162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1.1368683772161603E-13</v>
      </c>
      <c r="BZ120" s="13">
        <f>BY120*VLOOKUP('Données projet'!$B$12,Paramètres!$A$1:$I$89,3,0)*VLOOKUP('Données projet'!$B$12,Paramètres!$A$1:$I$89,5,0)</f>
        <v>4.5815795601811263E-14</v>
      </c>
      <c r="CA120" s="13">
        <f t="shared" si="93"/>
        <v>7.5374618042508364E-13</v>
      </c>
      <c r="CB120" s="20">
        <f t="shared" si="64"/>
        <v>1.392570441580175E-12</v>
      </c>
      <c r="CC120" s="59">
        <f t="shared" si="65"/>
        <v>288.12802854635629</v>
      </c>
      <c r="CD120" s="59">
        <f ca="1">AVERAGE(OFFSET($CC$3,0,0,'Données projet'!$E$12+1,1))-AVERAGE(OFFSET($H$3,0,0,'Données projet'!$E$12+1,1))</f>
        <v>177.34129362526608</v>
      </c>
      <c r="CE120" s="59">
        <f t="shared" si="94"/>
        <v>156.93407673501022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41.209348333170986</v>
      </c>
      <c r="CL120" s="21">
        <f>EXP(-LN(2)/25)*CL119+(1-EXP(-LN(2)/25))/(LN(2)/25)*Calculateur!CG120*Calculateur!CI120*VLOOKUP('Données projet'!$B$12,Paramètres!$A$1:$I$89,3,0)*0.475*44/12</f>
        <v>15.201623386829024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56.410971720000006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68.580371421733162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8.5265128291212022E-14</v>
      </c>
      <c r="CU120" s="17">
        <f>CT120*VLOOKUP('Données projet'!$B$13,Paramètres!$A$1:$I$89,3,0)*VLOOKUP('Données projet'!$B$13,Paramètres!$A$1:$I$89,5,0)</f>
        <v>5.5865712056402117E-14</v>
      </c>
      <c r="CV120" s="13">
        <f t="shared" si="95"/>
        <v>8.9811031843713517E-13</v>
      </c>
      <c r="CW120" s="20">
        <f t="shared" si="67"/>
        <v>1.6615082531095774E-12</v>
      </c>
      <c r="CX120" s="59">
        <f t="shared" si="68"/>
        <v>288.12802854635657</v>
      </c>
      <c r="CY120" s="59">
        <f ca="1">AVERAGE(OFFSET($CX$3,0,0,'Données projet'!$E$13+1,1))-AVERAGE(OFFSET($H$3,0,0,'Données projet'!$E$13+1,1))</f>
        <v>267.49254683294629</v>
      </c>
      <c r="CZ120" s="59">
        <f t="shared" si="96"/>
        <v>278.02595256967254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36.942045053862564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36.942045053862564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68.580371421733162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7.9920000000000018</v>
      </c>
      <c r="DO120" s="12">
        <f>IF('Données projet'!$A$166&gt;35,DO119+DN120-DW119,IF(A120&lt;'Données projet'!$A$166,$DL$205^A120,IF(A120='Données projet'!$A$166,'Données projet'!$B$166,DO119+DN120-DW119)))</f>
        <v>352.47600000000057</v>
      </c>
      <c r="DP120" s="17">
        <f>DO120*VLOOKUP('Données projet'!$B$14,Paramètres!$A$1:$I$89,3,0)*VLOOKUP('Données projet'!$B$14,Paramètres!$A$1:$I$89,5,0)</f>
        <v>318.9202848000005</v>
      </c>
      <c r="DQ120" s="13">
        <f t="shared" si="97"/>
        <v>75.128653745521831</v>
      </c>
      <c r="DR120" s="20">
        <f t="shared" si="70"/>
        <v>686.30190130011806</v>
      </c>
      <c r="DS120" s="59">
        <f t="shared" si="71"/>
        <v>974.42992984647299</v>
      </c>
      <c r="DT120" s="59">
        <f ca="1">AVERAGE(OFFSET($DS$3,0,0,'Données projet'!$E$14+1,1))-AVERAGE(OFFSET($H$3,0,0,'Données projet'!$E$14+1,1))</f>
        <v>602.02351907077332</v>
      </c>
      <c r="DU120" s="59">
        <f t="shared" si="98"/>
        <v>278.08067690827272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58.208339822382015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58.208339822382015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68.580371421733162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68.580371421733162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68.580371421733162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68.580371421733162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2.2000000000000002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8.0666666666666682</v>
      </c>
      <c r="H121" s="67">
        <f t="shared" si="56"/>
        <v>224.4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68.604998803752054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360.09035401555587</v>
      </c>
      <c r="T121" s="59">
        <f t="shared" si="88"/>
        <v>266.54879627869821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81.061649368816873</v>
      </c>
      <c r="AA121" s="21">
        <f>EXP(-LN(2)/25)*AA120+(1-EXP(-LN(2)/25))/(LN(2)/25)*Calculateur!V121*Calculateur!X121*VLOOKUP('Données projet'!$B$9,Paramètres!$A$1:$I$89,3,0)*0.475*44/12</f>
        <v>28.153561216449951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109.21521058526682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68.604998803752054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7.3920000000000012</v>
      </c>
      <c r="AI121" s="13">
        <f>IF('Données projet'!$A$62&gt;35,AI120+AH121-AQ120,IF(A121&lt;'Données projet'!$A$62,$AF$205^A121,IF(A121='Données projet'!$A$62,'Données projet'!$B$62,AI120+AH121-AQ120)))</f>
        <v>315.21999999999997</v>
      </c>
      <c r="AJ121" s="13">
        <f>AI121*VLOOKUP('Données projet'!$B$10,Paramètres!$A$1:$I$89,3,0)*VLOOKUP('Données projet'!$B$10,Paramètres!$A$1:$I$89,5,0)</f>
        <v>265.54132799999996</v>
      </c>
      <c r="AK121" s="13">
        <f t="shared" si="89"/>
        <v>63.90211149624934</v>
      </c>
      <c r="AL121" s="20">
        <f t="shared" si="58"/>
        <v>573.78065712263424</v>
      </c>
      <c r="AM121" s="59">
        <f t="shared" si="59"/>
        <v>861.99898606972511</v>
      </c>
      <c r="AN121" s="59">
        <f ca="1">AVERAGE(OFFSET($AM$3,0,0,'Données projet'!$E$10+1,1))-AVERAGE(OFFSET($H$3,0,0,'Données projet'!$E$10+1,1))</f>
        <v>377.26246345103175</v>
      </c>
      <c r="AO121" s="59">
        <f t="shared" si="90"/>
        <v>258.25890564000258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48.666288628500958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48.666288628500958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68.604998803752054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2.2737367544323206E-13</v>
      </c>
      <c r="BE121" s="13">
        <f>BD121*VLOOKUP('Données projet'!$B$11,Paramètres!$A$1:$I$89,3,0)*VLOOKUP('Données projet'!$B$11,Paramètres!$A$1:$I$89,5,0)</f>
        <v>1.0049916454590858E-13</v>
      </c>
      <c r="BF121" s="13">
        <f t="shared" si="91"/>
        <v>1.5089081593838289E-12</v>
      </c>
      <c r="BG121" s="20">
        <f t="shared" si="61"/>
        <v>2.8030510891776262E-12</v>
      </c>
      <c r="BH121" s="59">
        <f t="shared" si="62"/>
        <v>288.21832894709365</v>
      </c>
      <c r="BI121" s="59">
        <f ca="1">AVERAGE(OFFSET($BH$3,0,0,'Données projet'!$E$11+1,1))-AVERAGE(OFFSET($H$3,0,0,'Données projet'!$E$11+1,1))</f>
        <v>333.23043896066253</v>
      </c>
      <c r="BJ121" s="59">
        <f t="shared" si="92"/>
        <v>440.63438368668983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52.333130548687301</v>
      </c>
      <c r="BQ121" s="21">
        <f>EXP(-LN(2)/25)*BQ120+(1-EXP(-LN(2)/25))/(LN(2)/25)*Calculateur!BL121*Calculateur!BN121*VLOOKUP('Données projet'!$B$11,Paramètres!$A$1:$I$89,3,0)*0.475*44/12</f>
        <v>23.51214794155911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75.845278490246415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68.604998803752054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1.1368683772161603E-13</v>
      </c>
      <c r="BZ121" s="13">
        <f>BY121*VLOOKUP('Données projet'!$B$12,Paramètres!$A$1:$I$89,3,0)*VLOOKUP('Données projet'!$B$12,Paramètres!$A$1:$I$89,5,0)</f>
        <v>4.5815795601811263E-14</v>
      </c>
      <c r="CA121" s="13">
        <f t="shared" si="93"/>
        <v>7.5374618042508364E-13</v>
      </c>
      <c r="CB121" s="20">
        <f t="shared" si="64"/>
        <v>1.392570441580175E-12</v>
      </c>
      <c r="CC121" s="59">
        <f t="shared" si="65"/>
        <v>288.21832894709223</v>
      </c>
      <c r="CD121" s="59">
        <f ca="1">AVERAGE(OFFSET($CC$3,0,0,'Données projet'!$E$12+1,1))-AVERAGE(OFFSET($H$3,0,0,'Données projet'!$E$12+1,1))</f>
        <v>177.34129362526608</v>
      </c>
      <c r="CE121" s="59">
        <f t="shared" si="94"/>
        <v>156.93407673501022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40.401258147578091</v>
      </c>
      <c r="CL121" s="21">
        <f>EXP(-LN(2)/25)*CL120+(1-EXP(-LN(2)/25))/(LN(2)/25)*Calculateur!CG121*Calculateur!CI121*VLOOKUP('Données projet'!$B$12,Paramètres!$A$1:$I$89,3,0)*0.475*44/12</f>
        <v>14.785934195897553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55.187192343475644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68.604998803752054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8.5265128291212022E-14</v>
      </c>
      <c r="CU121" s="17">
        <f>CT121*VLOOKUP('Données projet'!$B$13,Paramètres!$A$1:$I$89,3,0)*VLOOKUP('Données projet'!$B$13,Paramètres!$A$1:$I$89,5,0)</f>
        <v>5.5865712056402117E-14</v>
      </c>
      <c r="CV121" s="13">
        <f t="shared" si="95"/>
        <v>8.9811031843713517E-13</v>
      </c>
      <c r="CW121" s="20">
        <f t="shared" si="67"/>
        <v>1.6615082531095774E-12</v>
      </c>
      <c r="CX121" s="59">
        <f t="shared" si="68"/>
        <v>288.21832894709252</v>
      </c>
      <c r="CY121" s="59">
        <f ca="1">AVERAGE(OFFSET($CX$3,0,0,'Données projet'!$E$13+1,1))-AVERAGE(OFFSET($H$3,0,0,'Données projet'!$E$13+1,1))</f>
        <v>267.49254683294629</v>
      </c>
      <c r="CZ121" s="59">
        <f t="shared" si="96"/>
        <v>278.02595256967254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36.217634082778908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36.217634082778908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68.604998803752054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7.9920000000000018</v>
      </c>
      <c r="DO121" s="12">
        <f>IF('Données projet'!$A$166&gt;35,DO120+DN121-DW120,IF(A121&lt;'Données projet'!$A$166,$DL$205^A121,IF(A121='Données projet'!$A$166,'Données projet'!$B$166,DO120+DN121-DW120)))</f>
        <v>360.46800000000059</v>
      </c>
      <c r="DP121" s="17">
        <f>DO121*VLOOKUP('Données projet'!$B$14,Paramètres!$A$1:$I$89,3,0)*VLOOKUP('Données projet'!$B$14,Paramètres!$A$1:$I$89,5,0)</f>
        <v>326.15144640000051</v>
      </c>
      <c r="DQ121" s="13">
        <f t="shared" si="97"/>
        <v>76.631859883081802</v>
      </c>
      <c r="DR121" s="20">
        <f t="shared" si="70"/>
        <v>701.51425844303503</v>
      </c>
      <c r="DS121" s="59">
        <f t="shared" si="71"/>
        <v>989.7325873901259</v>
      </c>
      <c r="DT121" s="59">
        <f ca="1">AVERAGE(OFFSET($DS$3,0,0,'Données projet'!$E$14+1,1))-AVERAGE(OFFSET($H$3,0,0,'Données projet'!$E$14+1,1))</f>
        <v>602.02351907077332</v>
      </c>
      <c r="DU121" s="59">
        <f t="shared" si="98"/>
        <v>278.08067690827272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57.066909782046707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57.066909782046707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68.604998803752054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68.604998803752054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68.604998803752054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68.604998803752054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2.2000000000000002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8.0666666666666682</v>
      </c>
      <c r="H122" s="67">
        <f t="shared" si="56"/>
        <v>224.4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68.629198955751505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360.09035401555587</v>
      </c>
      <c r="T122" s="59">
        <f t="shared" si="88"/>
        <v>266.54879627869821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79.472079867418429</v>
      </c>
      <c r="AA122" s="21">
        <f>EXP(-LN(2)/25)*AA121+(1-EXP(-LN(2)/25))/(LN(2)/25)*Calculateur!V122*Calculateur!X122*VLOOKUP('Données projet'!$B$9,Paramètres!$A$1:$I$89,3,0)*0.475*44/12</f>
        <v>27.383700604454688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106.85578047187312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68.629198955751505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7.3920000000000012</v>
      </c>
      <c r="AI122" s="13">
        <f>IF('Données projet'!$A$62&gt;35,AI121+AH122-AQ121,IF(A122&lt;'Données projet'!$A$62,$AF$205^A122,IF(A122='Données projet'!$A$62,'Données projet'!$B$62,AI121+AH122-AQ121)))</f>
        <v>322.61199999999997</v>
      </c>
      <c r="AJ122" s="13">
        <f>AI122*VLOOKUP('Données projet'!$B$10,Paramètres!$A$1:$I$89,3,0)*VLOOKUP('Données projet'!$B$10,Paramètres!$A$1:$I$89,5,0)</f>
        <v>271.76834880000001</v>
      </c>
      <c r="AK122" s="13">
        <f t="shared" si="89"/>
        <v>65.224414829377835</v>
      </c>
      <c r="AL122" s="20">
        <f t="shared" si="58"/>
        <v>586.92906332116638</v>
      </c>
      <c r="AM122" s="59">
        <f t="shared" si="59"/>
        <v>875.23612615892193</v>
      </c>
      <c r="AN122" s="59">
        <f ca="1">AVERAGE(OFFSET($AM$3,0,0,'Données projet'!$E$10+1,1))-AVERAGE(OFFSET($H$3,0,0,'Données projet'!$E$10+1,1))</f>
        <v>377.26246345103175</v>
      </c>
      <c r="AO122" s="59">
        <f t="shared" si="90"/>
        <v>258.25890564000258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47.711972392001115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47.711972392001115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68.629198955751505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2.2737367544323206E-13</v>
      </c>
      <c r="BE122" s="13">
        <f>BD122*VLOOKUP('Données projet'!$B$11,Paramètres!$A$1:$I$89,3,0)*VLOOKUP('Données projet'!$B$11,Paramètres!$A$1:$I$89,5,0)</f>
        <v>1.0049916454590858E-13</v>
      </c>
      <c r="BF122" s="13">
        <f t="shared" si="91"/>
        <v>1.5089081593838289E-12</v>
      </c>
      <c r="BG122" s="20">
        <f t="shared" si="61"/>
        <v>2.8030510891776262E-12</v>
      </c>
      <c r="BH122" s="59">
        <f t="shared" si="62"/>
        <v>288.30706283775828</v>
      </c>
      <c r="BI122" s="59">
        <f ca="1">AVERAGE(OFFSET($BH$3,0,0,'Données projet'!$E$11+1,1))-AVERAGE(OFFSET($H$3,0,0,'Données projet'!$E$11+1,1))</f>
        <v>333.23043896066253</v>
      </c>
      <c r="BJ122" s="59">
        <f t="shared" si="92"/>
        <v>440.63438368668983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51.306909778685331</v>
      </c>
      <c r="BQ122" s="21">
        <f>EXP(-LN(2)/25)*BQ121+(1-EXP(-LN(2)/25))/(LN(2)/25)*Calculateur!BL122*Calculateur!BN122*VLOOKUP('Données projet'!$B$11,Paramètres!$A$1:$I$89,3,0)*0.475*44/12</f>
        <v>22.869207019647053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74.176116798332387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68.629198955751505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1.1368683772161603E-13</v>
      </c>
      <c r="BZ122" s="13">
        <f>BY122*VLOOKUP('Données projet'!$B$12,Paramètres!$A$1:$I$89,3,0)*VLOOKUP('Données projet'!$B$12,Paramètres!$A$1:$I$89,5,0)</f>
        <v>4.5815795601811263E-14</v>
      </c>
      <c r="CA122" s="13">
        <f t="shared" si="93"/>
        <v>7.5374618042508364E-13</v>
      </c>
      <c r="CB122" s="20">
        <f t="shared" si="64"/>
        <v>1.392570441580175E-12</v>
      </c>
      <c r="CC122" s="59">
        <f t="shared" si="65"/>
        <v>288.30706283775686</v>
      </c>
      <c r="CD122" s="59">
        <f ca="1">AVERAGE(OFFSET($CC$3,0,0,'Données projet'!$E$12+1,1))-AVERAGE(OFFSET($H$3,0,0,'Données projet'!$E$12+1,1))</f>
        <v>177.34129362526608</v>
      </c>
      <c r="CE122" s="59">
        <f t="shared" si="94"/>
        <v>156.93407673501022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39.609014117638324</v>
      </c>
      <c r="CL122" s="21">
        <f>EXP(-LN(2)/25)*CL121+(1-EXP(-LN(2)/25))/(LN(2)/25)*Calculateur!CG122*Calculateur!CI122*VLOOKUP('Données projet'!$B$12,Paramètres!$A$1:$I$89,3,0)*0.475*44/12</f>
        <v>14.381612047752249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53.990626165390573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68.629198955751505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8.5265128291212022E-14</v>
      </c>
      <c r="CU122" s="17">
        <f>CT122*VLOOKUP('Données projet'!$B$13,Paramètres!$A$1:$I$89,3,0)*VLOOKUP('Données projet'!$B$13,Paramètres!$A$1:$I$89,5,0)</f>
        <v>5.5865712056402117E-14</v>
      </c>
      <c r="CV122" s="13">
        <f t="shared" si="95"/>
        <v>8.9811031843713517E-13</v>
      </c>
      <c r="CW122" s="20">
        <f t="shared" si="67"/>
        <v>1.6615082531095774E-12</v>
      </c>
      <c r="CX122" s="59">
        <f t="shared" si="68"/>
        <v>288.30706283775714</v>
      </c>
      <c r="CY122" s="59">
        <f ca="1">AVERAGE(OFFSET($CX$3,0,0,'Données projet'!$E$13+1,1))-AVERAGE(OFFSET($H$3,0,0,'Données projet'!$E$13+1,1))</f>
        <v>267.49254683294629</v>
      </c>
      <c r="CZ122" s="59">
        <f t="shared" si="96"/>
        <v>278.02595256967254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35.507428368991143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35.507428368991143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68.629198955751505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7.9920000000000018</v>
      </c>
      <c r="DO122" s="12">
        <f>IF('Données projet'!$A$166&gt;35,DO121+DN122-DW121,IF(A122&lt;'Données projet'!$A$166,$DL$205^A122,IF(A122='Données projet'!$A$166,'Données projet'!$B$166,DO121+DN122-DW121)))</f>
        <v>368.4600000000006</v>
      </c>
      <c r="DP122" s="17">
        <f>DO122*VLOOKUP('Données projet'!$B$14,Paramètres!$A$1:$I$89,3,0)*VLOOKUP('Données projet'!$B$14,Paramètres!$A$1:$I$89,5,0)</f>
        <v>333.38260800000052</v>
      </c>
      <c r="DQ122" s="13">
        <f t="shared" si="97"/>
        <v>78.13119132485231</v>
      </c>
      <c r="DR122" s="20">
        <f t="shared" si="70"/>
        <v>716.71986715745197</v>
      </c>
      <c r="DS122" s="59">
        <f t="shared" si="71"/>
        <v>1005.0269299952074</v>
      </c>
      <c r="DT122" s="59">
        <f ca="1">AVERAGE(OFFSET($DS$3,0,0,'Données projet'!$E$14+1,1))-AVERAGE(OFFSET($H$3,0,0,'Données projet'!$E$14+1,1))</f>
        <v>602.02351907077332</v>
      </c>
      <c r="DU122" s="59">
        <f t="shared" si="98"/>
        <v>278.08067690827272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55.947862488598794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55.947862488598794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68.629198955751505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68.629198955751505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68.629198955751505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68.629198955751505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2.2000000000000002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8.0666666666666682</v>
      </c>
      <c r="H123" s="67">
        <f t="shared" si="56"/>
        <v>224.4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68.6529792892172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360.09035401555587</v>
      </c>
      <c r="T123" s="59">
        <f t="shared" si="88"/>
        <v>266.54879627869821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77.913680854400738</v>
      </c>
      <c r="AA123" s="21">
        <f>EXP(-LN(2)/25)*AA122+(1-EXP(-LN(2)/25))/(LN(2)/25)*Calculateur!V123*Calculateur!X123*VLOOKUP('Données projet'!$B$9,Paramètres!$A$1:$I$89,3,0)*0.475*44/12</f>
        <v>26.634891871379647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104.54857272578039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68.6529792892172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7.3920000000000012</v>
      </c>
      <c r="AI123" s="13">
        <f>IF('Données projet'!$A$62&gt;35,AI122+AH123-AQ122,IF(A123&lt;'Données projet'!$A$62,$AF$205^A123,IF(A123='Données projet'!$A$62,'Données projet'!$B$62,AI122+AH123-AQ122)))</f>
        <v>330.00399999999996</v>
      </c>
      <c r="AJ123" s="13">
        <f>AI123*VLOOKUP('Données projet'!$B$10,Paramètres!$A$1:$I$89,3,0)*VLOOKUP('Données projet'!$B$10,Paramètres!$A$1:$I$89,5,0)</f>
        <v>277.9953696</v>
      </c>
      <c r="AK123" s="13">
        <f t="shared" si="89"/>
        <v>66.543195859920587</v>
      </c>
      <c r="AL123" s="20">
        <f t="shared" si="58"/>
        <v>600.07133484269514</v>
      </c>
      <c r="AM123" s="59">
        <f t="shared" si="59"/>
        <v>888.4655922364916</v>
      </c>
      <c r="AN123" s="59">
        <f ca="1">AVERAGE(OFFSET($AM$3,0,0,'Données projet'!$E$10+1,1))-AVERAGE(OFFSET($H$3,0,0,'Données projet'!$E$10+1,1))</f>
        <v>377.26246345103175</v>
      </c>
      <c r="AO123" s="59">
        <f t="shared" si="90"/>
        <v>258.25890564000258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46.776369714823602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46.776369714823602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68.6529792892172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2.2737367544323206E-13</v>
      </c>
      <c r="BE123" s="13">
        <f>BD123*VLOOKUP('Données projet'!$B$11,Paramètres!$A$1:$I$89,3,0)*VLOOKUP('Données projet'!$B$11,Paramètres!$A$1:$I$89,5,0)</f>
        <v>1.0049916454590858E-13</v>
      </c>
      <c r="BF123" s="13">
        <f t="shared" si="91"/>
        <v>1.5089081593838289E-12</v>
      </c>
      <c r="BG123" s="20">
        <f t="shared" si="61"/>
        <v>2.8030510891776262E-12</v>
      </c>
      <c r="BH123" s="59">
        <f t="shared" si="62"/>
        <v>288.39425739379919</v>
      </c>
      <c r="BI123" s="59">
        <f ca="1">AVERAGE(OFFSET($BH$3,0,0,'Données projet'!$E$11+1,1))-AVERAGE(OFFSET($H$3,0,0,'Données projet'!$E$11+1,1))</f>
        <v>333.23043896066253</v>
      </c>
      <c r="BJ123" s="59">
        <f t="shared" si="92"/>
        <v>440.63438368668983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50.300812572050241</v>
      </c>
      <c r="BQ123" s="21">
        <f>EXP(-LN(2)/25)*BQ122+(1-EXP(-LN(2)/25))/(LN(2)/25)*Calculateur!BL123*Calculateur!BN123*VLOOKUP('Données projet'!$B$11,Paramètres!$A$1:$I$89,3,0)*0.475*44/12</f>
        <v>22.243847351055475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72.544659923105712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68.6529792892172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1.1368683772161603E-13</v>
      </c>
      <c r="BZ123" s="13">
        <f>BY123*VLOOKUP('Données projet'!$B$12,Paramètres!$A$1:$I$89,3,0)*VLOOKUP('Données projet'!$B$12,Paramètres!$A$1:$I$89,5,0)</f>
        <v>4.5815795601811263E-14</v>
      </c>
      <c r="CA123" s="13">
        <f t="shared" si="93"/>
        <v>7.5374618042508364E-13</v>
      </c>
      <c r="CB123" s="20">
        <f t="shared" si="64"/>
        <v>1.392570441580175E-12</v>
      </c>
      <c r="CC123" s="59">
        <f t="shared" si="65"/>
        <v>288.39425739379777</v>
      </c>
      <c r="CD123" s="59">
        <f ca="1">AVERAGE(OFFSET($CC$3,0,0,'Données projet'!$E$12+1,1))-AVERAGE(OFFSET($H$3,0,0,'Données projet'!$E$12+1,1))</f>
        <v>177.34129362526608</v>
      </c>
      <c r="CE123" s="59">
        <f t="shared" si="94"/>
        <v>156.93407673501022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38.832305509904536</v>
      </c>
      <c r="CL123" s="21">
        <f>EXP(-LN(2)/25)*CL122+(1-EXP(-LN(2)/25))/(LN(2)/25)*Calculateur!CG123*Calculateur!CI123*VLOOKUP('Données projet'!$B$12,Paramètres!$A$1:$I$89,3,0)*0.475*44/12</f>
        <v>13.988346110010356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52.820651619914891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68.6529792892172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8.5265128291212022E-14</v>
      </c>
      <c r="CU123" s="17">
        <f>CT123*VLOOKUP('Données projet'!$B$13,Paramètres!$A$1:$I$89,3,0)*VLOOKUP('Données projet'!$B$13,Paramètres!$A$1:$I$89,5,0)</f>
        <v>5.5865712056402117E-14</v>
      </c>
      <c r="CV123" s="13">
        <f t="shared" si="95"/>
        <v>8.9811031843713517E-13</v>
      </c>
      <c r="CW123" s="20">
        <f t="shared" si="67"/>
        <v>1.6615082531095774E-12</v>
      </c>
      <c r="CX123" s="59">
        <f t="shared" si="68"/>
        <v>288.39425739379806</v>
      </c>
      <c r="CY123" s="59">
        <f ca="1">AVERAGE(OFFSET($CX$3,0,0,'Données projet'!$E$13+1,1))-AVERAGE(OFFSET($H$3,0,0,'Données projet'!$E$13+1,1))</f>
        <v>267.49254683294629</v>
      </c>
      <c r="CZ123" s="59">
        <f t="shared" si="96"/>
        <v>278.02595256967254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34.811149356068043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34.811149356068043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68.6529792892172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7.9920000000000018</v>
      </c>
      <c r="DO123" s="12">
        <f>IF('Données projet'!$A$166&gt;35,DO122+DN123-DW122,IF(A123&lt;'Données projet'!$A$166,$DL$205^A123,IF(A123='Données projet'!$A$166,'Données projet'!$B$166,DO122+DN123-DW122)))</f>
        <v>376.45200000000062</v>
      </c>
      <c r="DP123" s="17">
        <f>DO123*VLOOKUP('Données projet'!$B$14,Paramètres!$A$1:$I$89,3,0)*VLOOKUP('Données projet'!$B$14,Paramètres!$A$1:$I$89,5,0)</f>
        <v>340.61376960000058</v>
      </c>
      <c r="DQ123" s="13">
        <f t="shared" si="97"/>
        <v>79.626741793195919</v>
      </c>
      <c r="DR123" s="20">
        <f t="shared" si="70"/>
        <v>731.9188906764839</v>
      </c>
      <c r="DS123" s="59">
        <f t="shared" si="71"/>
        <v>1020.3131480702802</v>
      </c>
      <c r="DT123" s="59">
        <f ca="1">AVERAGE(OFFSET($DS$3,0,0,'Données projet'!$E$14+1,1))-AVERAGE(OFFSET($H$3,0,0,'Données projet'!$E$14+1,1))</f>
        <v>602.02351907077332</v>
      </c>
      <c r="DU123" s="59">
        <f t="shared" si="98"/>
        <v>278.08067690827272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54.850759030023944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54.850759030023944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68.6529792892172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68.6529792892172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68.6529792892172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68.6529792892172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2.2000000000000002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8.0666666666666682</v>
      </c>
      <c r="H124" s="67">
        <f t="shared" si="56"/>
        <v>224.4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68.676347087062126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360.09035401555587</v>
      </c>
      <c r="T124" s="59">
        <f t="shared" si="88"/>
        <v>266.54879627869821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76.38584109549879</v>
      </c>
      <c r="AA124" s="21">
        <f>EXP(-LN(2)/25)*AA123+(1-EXP(-LN(2)/25))/(LN(2)/25)*Calculateur!V124*Calculateur!X124*VLOOKUP('Données projet'!$B$9,Paramètres!$A$1:$I$89,3,0)*0.475*44/12</f>
        <v>25.906559352488681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102.29240044798748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68.676347087062126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7.3920000000000012</v>
      </c>
      <c r="AI124" s="13">
        <f>IF('Données projet'!$A$62&gt;35,AI123+AH124-AQ123,IF(A124&lt;'Données projet'!$A$62,$AF$205^A124,IF(A124='Données projet'!$A$62,'Données projet'!$B$62,AI123+AH124-AQ123)))</f>
        <v>337.39599999999996</v>
      </c>
      <c r="AJ124" s="13">
        <f>AI124*VLOOKUP('Données projet'!$B$10,Paramètres!$A$1:$I$89,3,0)*VLOOKUP('Données projet'!$B$10,Paramètres!$A$1:$I$89,5,0)</f>
        <v>284.22239039999999</v>
      </c>
      <c r="AK124" s="13">
        <f t="shared" si="89"/>
        <v>67.858542570434679</v>
      </c>
      <c r="AL124" s="20">
        <f t="shared" si="58"/>
        <v>613.20762492350696</v>
      </c>
      <c r="AM124" s="59">
        <f t="shared" si="59"/>
        <v>901.68756424273477</v>
      </c>
      <c r="AN124" s="59">
        <f ca="1">AVERAGE(OFFSET($AM$3,0,0,'Données projet'!$E$10+1,1))-AVERAGE(OFFSET($H$3,0,0,'Données projet'!$E$10+1,1))</f>
        <v>377.26246345103175</v>
      </c>
      <c r="AO124" s="59">
        <f t="shared" si="90"/>
        <v>258.25890564000258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45.859113635484256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45.859113635484256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68.676347087062126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2.2737367544323206E-13</v>
      </c>
      <c r="BE124" s="13">
        <f>BD124*VLOOKUP('Données projet'!$B$11,Paramètres!$A$1:$I$89,3,0)*VLOOKUP('Données projet'!$B$11,Paramètres!$A$1:$I$89,5,0)</f>
        <v>1.0049916454590858E-13</v>
      </c>
      <c r="BF124" s="13">
        <f t="shared" si="91"/>
        <v>1.5089081593838289E-12</v>
      </c>
      <c r="BG124" s="20">
        <f t="shared" si="61"/>
        <v>2.8030510891776262E-12</v>
      </c>
      <c r="BH124" s="59">
        <f t="shared" si="62"/>
        <v>288.4799393192306</v>
      </c>
      <c r="BI124" s="59">
        <f ca="1">AVERAGE(OFFSET($BH$3,0,0,'Données projet'!$E$11+1,1))-AVERAGE(OFFSET($H$3,0,0,'Données projet'!$E$11+1,1))</f>
        <v>333.23043896066253</v>
      </c>
      <c r="BJ124" s="59">
        <f t="shared" si="92"/>
        <v>440.63438368668983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49.314444317978563</v>
      </c>
      <c r="BQ124" s="21">
        <f>EXP(-LN(2)/25)*BQ123+(1-EXP(-LN(2)/25))/(LN(2)/25)*Calculateur!BL124*Calculateur!BN124*VLOOKUP('Données projet'!$B$11,Paramètres!$A$1:$I$89,3,0)*0.475*44/12</f>
        <v>21.635588175487769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70.950032493466324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68.676347087062126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1.1368683772161603E-13</v>
      </c>
      <c r="BZ124" s="13">
        <f>BY124*VLOOKUP('Données projet'!$B$12,Paramètres!$A$1:$I$89,3,0)*VLOOKUP('Données projet'!$B$12,Paramètres!$A$1:$I$89,5,0)</f>
        <v>4.5815795601811263E-14</v>
      </c>
      <c r="CA124" s="13">
        <f t="shared" si="93"/>
        <v>7.5374618042508364E-13</v>
      </c>
      <c r="CB124" s="20">
        <f t="shared" si="64"/>
        <v>1.392570441580175E-12</v>
      </c>
      <c r="CC124" s="59">
        <f t="shared" si="65"/>
        <v>288.47993931922917</v>
      </c>
      <c r="CD124" s="59">
        <f ca="1">AVERAGE(OFFSET($CC$3,0,0,'Données projet'!$E$12+1,1))-AVERAGE(OFFSET($H$3,0,0,'Données projet'!$E$12+1,1))</f>
        <v>177.34129362526608</v>
      </c>
      <c r="CE124" s="59">
        <f t="shared" si="94"/>
        <v>156.93407673501022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38.070827684222934</v>
      </c>
      <c r="CL124" s="21">
        <f>EXP(-LN(2)/25)*CL123+(1-EXP(-LN(2)/25))/(LN(2)/25)*Calculateur!CG124*Calculateur!CI124*VLOOKUP('Données projet'!$B$12,Paramètres!$A$1:$I$89,3,0)*0.475*44/12</f>
        <v>13.605834050016972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51.676661734239907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68.676347087062126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8.5265128291212022E-14</v>
      </c>
      <c r="CU124" s="17">
        <f>CT124*VLOOKUP('Données projet'!$B$13,Paramètres!$A$1:$I$89,3,0)*VLOOKUP('Données projet'!$B$13,Paramètres!$A$1:$I$89,5,0)</f>
        <v>5.5865712056402117E-14</v>
      </c>
      <c r="CV124" s="13">
        <f t="shared" si="95"/>
        <v>8.9811031843713517E-13</v>
      </c>
      <c r="CW124" s="20">
        <f t="shared" si="67"/>
        <v>1.6615082531095774E-12</v>
      </c>
      <c r="CX124" s="59">
        <f t="shared" si="68"/>
        <v>288.47993931922946</v>
      </c>
      <c r="CY124" s="59">
        <f ca="1">AVERAGE(OFFSET($CX$3,0,0,'Données projet'!$E$13+1,1))-AVERAGE(OFFSET($H$3,0,0,'Données projet'!$E$13+1,1))</f>
        <v>267.49254683294629</v>
      </c>
      <c r="CZ124" s="59">
        <f t="shared" si="96"/>
        <v>278.02595256967254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34.128523949900099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34.128523949900099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68.676347087062126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7.9920000000000018</v>
      </c>
      <c r="DO124" s="12">
        <f>IF('Données projet'!$A$166&gt;35,DO123+DN124-DW123,IF(A124&lt;'Données projet'!$A$166,$DL$205^A124,IF(A124='Données projet'!$A$166,'Données projet'!$B$166,DO123+DN124-DW123)))</f>
        <v>384.44400000000064</v>
      </c>
      <c r="DP124" s="17">
        <f>DO124*VLOOKUP('Données projet'!$B$14,Paramètres!$A$1:$I$89,3,0)*VLOOKUP('Données projet'!$B$14,Paramètres!$A$1:$I$89,5,0)</f>
        <v>347.84493120000059</v>
      </c>
      <c r="DQ124" s="13">
        <f t="shared" si="97"/>
        <v>81.11860080370937</v>
      </c>
      <c r="DR124" s="20">
        <f t="shared" si="70"/>
        <v>747.11148490646144</v>
      </c>
      <c r="DS124" s="59">
        <f t="shared" si="71"/>
        <v>1035.5914242256893</v>
      </c>
      <c r="DT124" s="59">
        <f ca="1">AVERAGE(OFFSET($DS$3,0,0,'Données projet'!$E$14+1,1))-AVERAGE(OFFSET($H$3,0,0,'Données projet'!$E$14+1,1))</f>
        <v>602.02351907077332</v>
      </c>
      <c r="DU124" s="59">
        <f t="shared" si="98"/>
        <v>278.08067690827272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53.775169101104709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53.775169101104709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68.676347087062126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68.676347087062126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68.676347087062126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68.676347087062126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2.2000000000000002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8.0666666666666682</v>
      </c>
      <c r="H125" s="67">
        <f t="shared" si="56"/>
        <v>224.4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68.699309505857016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360.09035401555587</v>
      </c>
      <c r="T125" s="59">
        <f t="shared" si="88"/>
        <v>266.54879627869821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74.887961342378674</v>
      </c>
      <c r="AA125" s="21">
        <f>EXP(-LN(2)/25)*AA124+(1-EXP(-LN(2)/25))/(LN(2)/25)*Calculateur!V125*Calculateur!X125*VLOOKUP('Données projet'!$B$9,Paramètres!$A$1:$I$89,3,0)*0.475*44/12</f>
        <v>25.198143124628132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100.08610446700681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68.699309505857016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7.3920000000000012</v>
      </c>
      <c r="AI125" s="13">
        <f>IF('Données projet'!$A$62&gt;35,AI124+AH125-AQ124,IF(A125&lt;'Données projet'!$A$62,$AF$205^A125,IF(A125='Données projet'!$A$62,'Données projet'!$B$62,AI124+AH125-AQ124)))</f>
        <v>344.78799999999995</v>
      </c>
      <c r="AJ125" s="13">
        <f>AI125*VLOOKUP('Données projet'!$B$10,Paramètres!$A$1:$I$89,3,0)*VLOOKUP('Données projet'!$B$10,Paramètres!$A$1:$I$89,5,0)</f>
        <v>290.44941119999999</v>
      </c>
      <c r="AK125" s="13">
        <f t="shared" si="89"/>
        <v>69.17053886810632</v>
      </c>
      <c r="AL125" s="20">
        <f t="shared" si="58"/>
        <v>626.33807970195176</v>
      </c>
      <c r="AM125" s="59">
        <f t="shared" si="59"/>
        <v>914.90221455676078</v>
      </c>
      <c r="AN125" s="59">
        <f ca="1">AVERAGE(OFFSET($AM$3,0,0,'Données projet'!$E$10+1,1))-AVERAGE(OFFSET($H$3,0,0,'Données projet'!$E$10+1,1))</f>
        <v>377.26246345103175</v>
      </c>
      <c r="AO125" s="59">
        <f t="shared" si="90"/>
        <v>258.25890564000258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44.95984438838979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44.95984438838979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68.699309505857016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2.2737367544323206E-13</v>
      </c>
      <c r="BE125" s="13">
        <f>BD125*VLOOKUP('Données projet'!$B$11,Paramètres!$A$1:$I$89,3,0)*VLOOKUP('Données projet'!$B$11,Paramètres!$A$1:$I$89,5,0)</f>
        <v>1.0049916454590858E-13</v>
      </c>
      <c r="BF125" s="13">
        <f t="shared" si="91"/>
        <v>1.5089081593838289E-12</v>
      </c>
      <c r="BG125" s="20">
        <f t="shared" si="61"/>
        <v>2.8030510891776262E-12</v>
      </c>
      <c r="BH125" s="59">
        <f t="shared" si="62"/>
        <v>288.56413485481187</v>
      </c>
      <c r="BI125" s="59">
        <f ca="1">AVERAGE(OFFSET($BH$3,0,0,'Données projet'!$E$11+1,1))-AVERAGE(OFFSET($H$3,0,0,'Données projet'!$E$11+1,1))</f>
        <v>333.23043896066253</v>
      </c>
      <c r="BJ125" s="59">
        <f t="shared" si="92"/>
        <v>440.63438368668983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48.347418143744001</v>
      </c>
      <c r="BQ125" s="21">
        <f>EXP(-LN(2)/25)*BQ124+(1-EXP(-LN(2)/25))/(LN(2)/25)*Calculateur!BL125*Calculateur!BN125*VLOOKUP('Données projet'!$B$11,Paramètres!$A$1:$I$89,3,0)*0.475*44/12</f>
        <v>21.043961879062923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69.391380022806928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68.699309505857016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1.1368683772161603E-13</v>
      </c>
      <c r="BZ125" s="13">
        <f>BY125*VLOOKUP('Données projet'!$B$12,Paramètres!$A$1:$I$89,3,0)*VLOOKUP('Données projet'!$B$12,Paramètres!$A$1:$I$89,5,0)</f>
        <v>4.5815795601811263E-14</v>
      </c>
      <c r="CA125" s="13">
        <f t="shared" si="93"/>
        <v>7.5374618042508364E-13</v>
      </c>
      <c r="CB125" s="20">
        <f t="shared" si="64"/>
        <v>1.392570441580175E-12</v>
      </c>
      <c r="CC125" s="59">
        <f t="shared" si="65"/>
        <v>288.56413485481045</v>
      </c>
      <c r="CD125" s="59">
        <f ca="1">AVERAGE(OFFSET($CC$3,0,0,'Données projet'!$E$12+1,1))-AVERAGE(OFFSET($H$3,0,0,'Données projet'!$E$12+1,1))</f>
        <v>177.34129362526608</v>
      </c>
      <c r="CE125" s="59">
        <f t="shared" si="94"/>
        <v>156.93407673501022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37.324281974247334</v>
      </c>
      <c r="CL125" s="21">
        <f>EXP(-LN(2)/25)*CL124+(1-EXP(-LN(2)/25))/(LN(2)/25)*Calculateur!CG125*Calculateur!CI125*VLOOKUP('Données projet'!$B$12,Paramètres!$A$1:$I$89,3,0)*0.475*44/12</f>
        <v>13.233781802419541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50.558063776666877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68.699309505857016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8.5265128291212022E-14</v>
      </c>
      <c r="CU125" s="17">
        <f>CT125*VLOOKUP('Données projet'!$B$13,Paramètres!$A$1:$I$89,3,0)*VLOOKUP('Données projet'!$B$13,Paramètres!$A$1:$I$89,5,0)</f>
        <v>5.5865712056402117E-14</v>
      </c>
      <c r="CV125" s="13">
        <f t="shared" si="95"/>
        <v>8.9811031843713517E-13</v>
      </c>
      <c r="CW125" s="20">
        <f t="shared" si="67"/>
        <v>1.6615082531095774E-12</v>
      </c>
      <c r="CX125" s="59">
        <f t="shared" si="68"/>
        <v>288.56413485481073</v>
      </c>
      <c r="CY125" s="59">
        <f ca="1">AVERAGE(OFFSET($CX$3,0,0,'Données projet'!$E$13+1,1))-AVERAGE(OFFSET($H$3,0,0,'Données projet'!$E$13+1,1))</f>
        <v>267.49254683294629</v>
      </c>
      <c r="CZ125" s="59">
        <f t="shared" si="96"/>
        <v>278.02595256967254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33.459284411586722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33.459284411586722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68.699309505857016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7.9920000000000018</v>
      </c>
      <c r="DO125" s="12">
        <f>IF('Données projet'!$A$166&gt;35,DO124+DN125-DW124,IF(A125&lt;'Données projet'!$A$166,$DL$205^A125,IF(A125='Données projet'!$A$166,'Données projet'!$B$166,DO124+DN125-DW124)))</f>
        <v>392.43600000000066</v>
      </c>
      <c r="DP125" s="17">
        <f>DO125*VLOOKUP('Données projet'!$B$14,Paramètres!$A$1:$I$89,3,0)*VLOOKUP('Données projet'!$B$14,Paramètres!$A$1:$I$89,5,0)</f>
        <v>355.07609280000059</v>
      </c>
      <c r="DQ125" s="13">
        <f t="shared" si="97"/>
        <v>82.606853937508674</v>
      </c>
      <c r="DR125" s="20">
        <f t="shared" si="70"/>
        <v>762.29779890116197</v>
      </c>
      <c r="DS125" s="59">
        <f t="shared" si="71"/>
        <v>1050.861933755971</v>
      </c>
      <c r="DT125" s="59">
        <f ca="1">AVERAGE(OFFSET($DS$3,0,0,'Données projet'!$E$14+1,1))-AVERAGE(OFFSET($H$3,0,0,'Données projet'!$E$14+1,1))</f>
        <v>602.02351907077332</v>
      </c>
      <c r="DU125" s="59">
        <f t="shared" si="98"/>
        <v>278.08067690827272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52.720670834646505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52.720670834646505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68.699309505857016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68.699309505857016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68.699309505857016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68.699309505857016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2.2000000000000002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8.0666666666666682</v>
      </c>
      <c r="H126" s="67">
        <f t="shared" si="56"/>
        <v>224.4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68.721873578022084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360.09035401555587</v>
      </c>
      <c r="T126" s="59">
        <f t="shared" si="88"/>
        <v>266.54879627869821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73.419454097600806</v>
      </c>
      <c r="AA126" s="21">
        <f>EXP(-LN(2)/25)*AA125+(1-EXP(-LN(2)/25))/(LN(2)/25)*Calculateur!V126*Calculateur!X126*VLOOKUP('Données projet'!$B$9,Paramètres!$A$1:$I$89,3,0)*0.475*44/12</f>
        <v>24.50909857577242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97.928552673373218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68.721873578022084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352.18</v>
      </c>
      <c r="AG126" s="12">
        <f>VLOOKUP(A126,'Données projet'!$A$61:$I$81,9,0)</f>
        <v>7.3920000000000012</v>
      </c>
      <c r="AH126" s="12">
        <f t="array" ref="AH126">INDEX(AG:AG,MIN(IF(ISNUMBER(AG126:AG322),ROW(AG126:AG322),"")))</f>
        <v>7.3920000000000012</v>
      </c>
      <c r="AI126" s="13">
        <f>IF('Données projet'!$A$62&gt;35,AI125+AH126-AQ125,IF(A126&lt;'Données projet'!$A$62,$AF$205^A126,IF(A126='Données projet'!$A$62,'Données projet'!$B$62,AI125+AH126-AQ125)))</f>
        <v>352.17999999999995</v>
      </c>
      <c r="AJ126" s="13">
        <f>AI126*VLOOKUP('Données projet'!$B$10,Paramètres!$A$1:$I$89,3,0)*VLOOKUP('Données projet'!$B$10,Paramètres!$A$1:$I$89,5,0)</f>
        <v>296.67643200000003</v>
      </c>
      <c r="AK126" s="13">
        <f t="shared" si="89"/>
        <v>70.479264856783857</v>
      </c>
      <c r="AL126" s="20">
        <f t="shared" si="58"/>
        <v>639.46283869223191</v>
      </c>
      <c r="AM126" s="59">
        <f t="shared" si="59"/>
        <v>928.10970847831288</v>
      </c>
      <c r="AN126" s="59">
        <f ca="1">AVERAGE(OFFSET($AM$3,0,0,'Données projet'!$E$10+1,1))-AVERAGE(OFFSET($H$3,0,0,'Données projet'!$E$10+1,1))</f>
        <v>377.26246345103175</v>
      </c>
      <c r="AO126" s="59">
        <f t="shared" si="90"/>
        <v>258.25890564000258</v>
      </c>
      <c r="AP126" s="15">
        <f>IF(ISNA(VLOOKUP(A126,'Données projet'!$A$61:$I$81,3,0)),0,VLOOKUP(A126,'Données projet'!$A$61:$I$81,3,0))</f>
        <v>11</v>
      </c>
      <c r="AQ126" s="15">
        <f>IF(ISNA(VLOOKUP(A126,'Données projet'!$A$61:$I$81,4,0)),0,VLOOKUP(A126,'Données projet'!$A$61:$I$81,4,0))</f>
        <v>175.3</v>
      </c>
      <c r="AR126" s="16">
        <f>IF(ISNA(VLOOKUP(A126,'Données projet'!$A$61:$I$81,5,0)),0%,VLOOKUP(A126,'Données projet'!$A$61:$I$81,5,0)*VLOOKUP('Données projet'!$B$10,Paramètres!$A$1:$I$89,7,0))</f>
        <v>0.25800000000000001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86.19614626159705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86.19614626159705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68.721873578022084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2.2737367544323206E-13</v>
      </c>
      <c r="BE126" s="13">
        <f>BD126*VLOOKUP('Données projet'!$B$11,Paramètres!$A$1:$I$89,3,0)*VLOOKUP('Données projet'!$B$11,Paramètres!$A$1:$I$89,5,0)</f>
        <v>1.0049916454590858E-13</v>
      </c>
      <c r="BF126" s="13">
        <f t="shared" si="91"/>
        <v>1.5089081593838289E-12</v>
      </c>
      <c r="BG126" s="20">
        <f t="shared" si="61"/>
        <v>2.8030510891776262E-12</v>
      </c>
      <c r="BH126" s="59">
        <f t="shared" si="62"/>
        <v>288.64686978608376</v>
      </c>
      <c r="BI126" s="59">
        <f ca="1">AVERAGE(OFFSET($BH$3,0,0,'Données projet'!$E$11+1,1))-AVERAGE(OFFSET($H$3,0,0,'Données projet'!$E$11+1,1))</f>
        <v>333.23043896066253</v>
      </c>
      <c r="BJ126" s="59">
        <f t="shared" si="92"/>
        <v>440.63438368668983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47.399354762958453</v>
      </c>
      <c r="BQ126" s="21">
        <f>EXP(-LN(2)/25)*BQ125+(1-EXP(-LN(2)/25))/(LN(2)/25)*Calculateur!BL126*Calculateur!BN126*VLOOKUP('Données projet'!$B$11,Paramètres!$A$1:$I$89,3,0)*0.475*44/12</f>
        <v>20.468513634826088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67.867868397784548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68.721873578022084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1.1368683772161603E-13</v>
      </c>
      <c r="BZ126" s="13">
        <f>BY126*VLOOKUP('Données projet'!$B$12,Paramètres!$A$1:$I$89,3,0)*VLOOKUP('Données projet'!$B$12,Paramètres!$A$1:$I$89,5,0)</f>
        <v>4.5815795601811263E-14</v>
      </c>
      <c r="CA126" s="13">
        <f t="shared" si="93"/>
        <v>7.5374618042508364E-13</v>
      </c>
      <c r="CB126" s="20">
        <f t="shared" si="64"/>
        <v>1.392570441580175E-12</v>
      </c>
      <c r="CC126" s="59">
        <f t="shared" si="65"/>
        <v>288.64686978608233</v>
      </c>
      <c r="CD126" s="59">
        <f ca="1">AVERAGE(OFFSET($CC$3,0,0,'Données projet'!$E$12+1,1))-AVERAGE(OFFSET($H$3,0,0,'Données projet'!$E$12+1,1))</f>
        <v>177.34129362526608</v>
      </c>
      <c r="CE126" s="59">
        <f t="shared" si="94"/>
        <v>156.93407673501022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36.592375570296433</v>
      </c>
      <c r="CL126" s="21">
        <f>EXP(-LN(2)/25)*CL125+(1-EXP(-LN(2)/25))/(LN(2)/25)*Calculateur!CG126*Calculateur!CI126*VLOOKUP('Données projet'!$B$12,Paramètres!$A$1:$I$89,3,0)*0.475*44/12</f>
        <v>12.87190334309804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49.464278913394473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68.721873578022084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8.5265128291212022E-14</v>
      </c>
      <c r="CU126" s="17">
        <f>CT126*VLOOKUP('Données projet'!$B$13,Paramètres!$A$1:$I$89,3,0)*VLOOKUP('Données projet'!$B$13,Paramètres!$A$1:$I$89,5,0)</f>
        <v>5.5865712056402117E-14</v>
      </c>
      <c r="CV126" s="13">
        <f t="shared" si="95"/>
        <v>8.9811031843713517E-13</v>
      </c>
      <c r="CW126" s="20">
        <f t="shared" si="67"/>
        <v>1.6615082531095774E-12</v>
      </c>
      <c r="CX126" s="59">
        <f t="shared" si="68"/>
        <v>288.64686978608262</v>
      </c>
      <c r="CY126" s="59">
        <f ca="1">AVERAGE(OFFSET($CX$3,0,0,'Données projet'!$E$13+1,1))-AVERAGE(OFFSET($H$3,0,0,'Données projet'!$E$13+1,1))</f>
        <v>267.49254683294629</v>
      </c>
      <c r="CZ126" s="59">
        <f t="shared" si="96"/>
        <v>278.02595256967254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32.803168252423859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32.803168252423859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68.721873578022084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7.9920000000000018</v>
      </c>
      <c r="DO126" s="12">
        <f>IF('Données projet'!$A$166&gt;35,DO125+DN126-DW125,IF(A126&lt;'Données projet'!$A$166,$DL$205^A126,IF(A126='Données projet'!$A$166,'Données projet'!$B$166,DO125+DN126-DW125)))</f>
        <v>400.42800000000068</v>
      </c>
      <c r="DP126" s="17">
        <f>DO126*VLOOKUP('Données projet'!$B$14,Paramètres!$A$1:$I$89,3,0)*VLOOKUP('Données projet'!$B$14,Paramètres!$A$1:$I$89,5,0)</f>
        <v>362.3072544000006</v>
      </c>
      <c r="DQ126" s="13">
        <f t="shared" si="97"/>
        <v>84.09158309070763</v>
      </c>
      <c r="DR126" s="20">
        <f t="shared" si="70"/>
        <v>777.4779752963168</v>
      </c>
      <c r="DS126" s="59">
        <f t="shared" si="71"/>
        <v>1066.1248450823978</v>
      </c>
      <c r="DT126" s="59">
        <f ca="1">AVERAGE(OFFSET($DS$3,0,0,'Données projet'!$E$14+1,1))-AVERAGE(OFFSET($H$3,0,0,'Données projet'!$E$14+1,1))</f>
        <v>602.02351907077332</v>
      </c>
      <c r="DU126" s="59">
        <f t="shared" si="98"/>
        <v>278.08067690827272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51.686850636013112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51.686850636013112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68.721873578022084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68.721873578022084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68.721873578022084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68.721873578022084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2.2000000000000002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8.0666666666666682</v>
      </c>
      <c r="H127" s="67">
        <f t="shared" si="56"/>
        <v>224.4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68.744046213980809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360.09035401555587</v>
      </c>
      <c r="T127" s="59">
        <f t="shared" si="88"/>
        <v>266.54879627869821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71.979743384192048</v>
      </c>
      <c r="AA127" s="21">
        <f>EXP(-LN(2)/25)*AA126+(1-EXP(-LN(2)/25))/(LN(2)/25)*Calculateur!V127*Calculateur!X127*VLOOKUP('Données projet'!$B$9,Paramètres!$A$1:$I$89,3,0)*0.475*44/12</f>
        <v>23.838895986340447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95.818639370532495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68.744046213980809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4.085000000000008</v>
      </c>
      <c r="AI127" s="13">
        <f>IF('Données projet'!$A$62&gt;35,AI126+AH127-AQ126,IF(A127&lt;'Données projet'!$A$62,$AF$205^A127,IF(A127='Données projet'!$A$62,'Données projet'!$B$62,AI126+AH127-AQ126)))</f>
        <v>180.96499999999997</v>
      </c>
      <c r="AJ127" s="13">
        <f>AI127*VLOOKUP('Données projet'!$B$10,Paramètres!$A$1:$I$89,3,0)*VLOOKUP('Données projet'!$B$10,Paramètres!$A$1:$I$89,5,0)</f>
        <v>152.44491600000001</v>
      </c>
      <c r="AK127" s="13">
        <f t="shared" si="89"/>
        <v>39.133677652296996</v>
      </c>
      <c r="AL127" s="20">
        <f t="shared" si="58"/>
        <v>333.6660506110839</v>
      </c>
      <c r="AM127" s="59">
        <f t="shared" si="59"/>
        <v>622.3942200623469</v>
      </c>
      <c r="AN127" s="59">
        <f ca="1">AVERAGE(OFFSET($AM$3,0,0,'Données projet'!$E$10+1,1))-AVERAGE(OFFSET($H$3,0,0,'Données projet'!$E$10+1,1))</f>
        <v>377.26246345103175</v>
      </c>
      <c r="AO127" s="59">
        <f t="shared" si="90"/>
        <v>258.25890564000258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84.505892407865062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84.505892407865062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68.744046213980809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2.2737367544323206E-13</v>
      </c>
      <c r="BE127" s="13">
        <f>BD127*VLOOKUP('Données projet'!$B$11,Paramètres!$A$1:$I$89,3,0)*VLOOKUP('Données projet'!$B$11,Paramètres!$A$1:$I$89,5,0)</f>
        <v>1.0049916454590858E-13</v>
      </c>
      <c r="BF127" s="13">
        <f t="shared" si="91"/>
        <v>1.5089081593838289E-12</v>
      </c>
      <c r="BG127" s="20">
        <f t="shared" si="61"/>
        <v>2.8030510891776262E-12</v>
      </c>
      <c r="BH127" s="59">
        <f t="shared" si="62"/>
        <v>288.72816945126579</v>
      </c>
      <c r="BI127" s="59">
        <f ca="1">AVERAGE(OFFSET($BH$3,0,0,'Données projet'!$E$11+1,1))-AVERAGE(OFFSET($H$3,0,0,'Données projet'!$E$11+1,1))</f>
        <v>333.23043896066253</v>
      </c>
      <c r="BJ127" s="59">
        <f t="shared" si="92"/>
        <v>440.63438368668983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46.469882326808545</v>
      </c>
      <c r="BQ127" s="21">
        <f>EXP(-LN(2)/25)*BQ126+(1-EXP(-LN(2)/25))/(LN(2)/25)*Calculateur!BL127*Calculateur!BN127*VLOOKUP('Données projet'!$B$11,Paramètres!$A$1:$I$89,3,0)*0.475*44/12</f>
        <v>19.908801053089419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66.378683379897964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68.744046213980809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1.1368683772161603E-13</v>
      </c>
      <c r="BZ127" s="13">
        <f>BY127*VLOOKUP('Données projet'!$B$12,Paramètres!$A$1:$I$89,3,0)*VLOOKUP('Données projet'!$B$12,Paramètres!$A$1:$I$89,5,0)</f>
        <v>4.5815795601811263E-14</v>
      </c>
      <c r="CA127" s="13">
        <f t="shared" si="93"/>
        <v>7.5374618042508364E-13</v>
      </c>
      <c r="CB127" s="20">
        <f t="shared" si="64"/>
        <v>1.392570441580175E-12</v>
      </c>
      <c r="CC127" s="59">
        <f t="shared" si="65"/>
        <v>288.72816945126436</v>
      </c>
      <c r="CD127" s="59">
        <f ca="1">AVERAGE(OFFSET($CC$3,0,0,'Données projet'!$E$12+1,1))-AVERAGE(OFFSET($H$3,0,0,'Données projet'!$E$12+1,1))</f>
        <v>177.34129362526608</v>
      </c>
      <c r="CE127" s="59">
        <f t="shared" si="94"/>
        <v>156.93407673501022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35.874821404508182</v>
      </c>
      <c r="CL127" s="21">
        <f>EXP(-LN(2)/25)*CL126+(1-EXP(-LN(2)/25))/(LN(2)/25)*Calculateur!CG127*Calculateur!CI127*VLOOKUP('Données projet'!$B$12,Paramètres!$A$1:$I$89,3,0)*0.475*44/12</f>
        <v>12.519920469277046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48.394741873785229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68.744046213980809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8.5265128291212022E-14</v>
      </c>
      <c r="CU127" s="17">
        <f>CT127*VLOOKUP('Données projet'!$B$13,Paramètres!$A$1:$I$89,3,0)*VLOOKUP('Données projet'!$B$13,Paramètres!$A$1:$I$89,5,0)</f>
        <v>5.5865712056402117E-14</v>
      </c>
      <c r="CV127" s="13">
        <f t="shared" si="95"/>
        <v>8.9811031843713517E-13</v>
      </c>
      <c r="CW127" s="20">
        <f t="shared" si="67"/>
        <v>1.6615082531095774E-12</v>
      </c>
      <c r="CX127" s="59">
        <f t="shared" si="68"/>
        <v>288.72816945126465</v>
      </c>
      <c r="CY127" s="59">
        <f ca="1">AVERAGE(OFFSET($CX$3,0,0,'Données projet'!$E$13+1,1))-AVERAGE(OFFSET($H$3,0,0,'Données projet'!$E$13+1,1))</f>
        <v>267.49254683294629</v>
      </c>
      <c r="CZ127" s="59">
        <f t="shared" si="96"/>
        <v>278.02595256967254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32.159918130950842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32.159918130950842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68.744046213980809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>
        <f>VLOOKUP(A127,'Données projet'!$A$165:$I$185,2,0)</f>
        <v>408.42</v>
      </c>
      <c r="DM127" s="12">
        <f>VLOOKUP(A127,'Données projet'!$A$165:$I$185,9,0)</f>
        <v>7.9920000000000018</v>
      </c>
      <c r="DN127" s="12">
        <f t="array" ref="DN127">INDEX(DM:DM,MIN(IF(ISNUMBER(DM127:DM323),ROW(DM127:DM323),"")))</f>
        <v>7.9920000000000018</v>
      </c>
      <c r="DO127" s="12">
        <f>IF('Données projet'!$A$166&gt;35,DO126+DN127-DW126,IF(A127&lt;'Données projet'!$A$166,$DL$205^A127,IF(A127='Données projet'!$A$166,'Données projet'!$B$166,DO126+DN127-DW126)))</f>
        <v>408.4200000000007</v>
      </c>
      <c r="DP127" s="17">
        <f>DO127*VLOOKUP('Données projet'!$B$14,Paramètres!$A$1:$I$89,3,0)*VLOOKUP('Données projet'!$B$14,Paramètres!$A$1:$I$89,5,0)</f>
        <v>369.53841600000061</v>
      </c>
      <c r="DQ127" s="13">
        <f t="shared" si="97"/>
        <v>85.572866703416025</v>
      </c>
      <c r="DR127" s="20">
        <f t="shared" si="70"/>
        <v>792.65215070845068</v>
      </c>
      <c r="DS127" s="59">
        <f t="shared" si="71"/>
        <v>1081.3803201597136</v>
      </c>
      <c r="DT127" s="59">
        <f ca="1">AVERAGE(OFFSET($DS$3,0,0,'Données projet'!$E$14+1,1))-AVERAGE(OFFSET($H$3,0,0,'Données projet'!$E$14+1,1))</f>
        <v>602.02351907077332</v>
      </c>
      <c r="DU127" s="59">
        <f t="shared" si="98"/>
        <v>278.08067690827272</v>
      </c>
      <c r="DV127" s="15">
        <f>IF(ISNA(VLOOKUP(A127,'Données projet'!$A$165:$I$185,3,0)),0,VLOOKUP(A127,'Données projet'!$A$165:$I$185,3,0))</f>
        <v>10</v>
      </c>
      <c r="DW127" s="15">
        <f>IF(ISNA(VLOOKUP(A127,'Données projet'!$A$165:$I$185,4,0)),0,VLOOKUP(A127,'Données projet'!$A$165:$I$185,4,0))</f>
        <v>52.53</v>
      </c>
      <c r="DX127" s="16">
        <f>IF(ISNA(VLOOKUP(A127,'Données projet'!$A$165:$I$185,5,0)),0%,VLOOKUP(A127,'Données projet'!$A$165:$I$185,5,0)*VLOOKUP('Données projet'!$B$14,Paramètres!$A$1:$I$89,7,0))</f>
        <v>0.25800000000000001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64.229154721898368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64.229154721898368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68.744046213980809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68.744046213980809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68.744046213980809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68.744046213980809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2.2000000000000002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8.0666666666666682</v>
      </c>
      <c r="H128" s="67">
        <f t="shared" si="56"/>
        <v>224.4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68.765834204276217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360.09035401555587</v>
      </c>
      <c r="T128" s="59">
        <f t="shared" si="88"/>
        <v>266.54879627869821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70.568264519736417</v>
      </c>
      <c r="AA128" s="21">
        <f>EXP(-LN(2)/25)*AA127+(1-EXP(-LN(2)/25))/(LN(2)/25)*Calculateur!V128*Calculateur!X128*VLOOKUP('Données projet'!$B$9,Paramètres!$A$1:$I$89,3,0)*0.475*44/12</f>
        <v>23.187020121960913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93.75528464169733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68.765834204276217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185.05</v>
      </c>
      <c r="AG128" s="12">
        <f>VLOOKUP(A128,'Données projet'!$A$61:$I$81,9,0)</f>
        <v>4.085000000000008</v>
      </c>
      <c r="AH128" s="12">
        <f t="array" ref="AH128">INDEX(AG:AG,MIN(IF(ISNUMBER(AG128:AG324),ROW(AG128:AG324),"")))</f>
        <v>4.085000000000008</v>
      </c>
      <c r="AI128" s="13">
        <f>IF('Données projet'!$A$62&gt;35,AI127+AH128-AQ127,IF(A128&lt;'Données projet'!$A$62,$AF$205^A128,IF(A128='Données projet'!$A$62,'Données projet'!$B$62,AI127+AH128-AQ127)))</f>
        <v>185.04999999999998</v>
      </c>
      <c r="AJ128" s="13">
        <f>AI128*VLOOKUP('Données projet'!$B$10,Paramètres!$A$1:$I$89,3,0)*VLOOKUP('Données projet'!$B$10,Paramètres!$A$1:$I$89,5,0)</f>
        <v>155.88612000000001</v>
      </c>
      <c r="AK128" s="13">
        <f t="shared" si="89"/>
        <v>39.913216292713308</v>
      </c>
      <c r="AL128" s="20">
        <f t="shared" si="58"/>
        <v>341.01717737647567</v>
      </c>
      <c r="AM128" s="59">
        <f t="shared" si="59"/>
        <v>629.82523612548846</v>
      </c>
      <c r="AN128" s="59">
        <f ca="1">AVERAGE(OFFSET($AM$3,0,0,'Données projet'!$E$10+1,1))-AVERAGE(OFFSET($H$3,0,0,'Données projet'!$E$10+1,1))</f>
        <v>377.26246345103175</v>
      </c>
      <c r="AO128" s="59">
        <f t="shared" si="90"/>
        <v>258.25890564000258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60.7</v>
      </c>
      <c r="AR128" s="16">
        <f>IF(ISNA(VLOOKUP(A128,'Données projet'!$A$61:$I$81,5,0)),0%,VLOOKUP(A128,'Données projet'!$A$61:$I$81,5,0)*VLOOKUP('Données projet'!$B$10,Paramètres!$A$1:$I$89,7,0))</f>
        <v>0.25800000000000001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97.432689709472925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97.432689709472925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68.765834204276217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2.2737367544323206E-13</v>
      </c>
      <c r="BE128" s="13">
        <f>BD128*VLOOKUP('Données projet'!$B$11,Paramètres!$A$1:$I$89,3,0)*VLOOKUP('Données projet'!$B$11,Paramètres!$A$1:$I$89,5,0)</f>
        <v>1.0049916454590858E-13</v>
      </c>
      <c r="BF128" s="13">
        <f t="shared" si="91"/>
        <v>1.5089081593838289E-12</v>
      </c>
      <c r="BG128" s="20">
        <f t="shared" si="61"/>
        <v>2.8030510891776262E-12</v>
      </c>
      <c r="BH128" s="59">
        <f t="shared" si="62"/>
        <v>288.80805874901557</v>
      </c>
      <c r="BI128" s="59">
        <f ca="1">AVERAGE(OFFSET($BH$3,0,0,'Données projet'!$E$11+1,1))-AVERAGE(OFFSET($H$3,0,0,'Données projet'!$E$11+1,1))</f>
        <v>333.23043896066253</v>
      </c>
      <c r="BJ128" s="59">
        <f t="shared" si="92"/>
        <v>440.63438368668983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45.558636278209327</v>
      </c>
      <c r="BQ128" s="21">
        <f>EXP(-LN(2)/25)*BQ127+(1-EXP(-LN(2)/25))/(LN(2)/25)*Calculateur!BL128*Calculateur!BN128*VLOOKUP('Données projet'!$B$11,Paramètres!$A$1:$I$89,3,0)*0.475*44/12</f>
        <v>19.364393841334344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64.923030119543668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68.765834204276217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1.1368683772161603E-13</v>
      </c>
      <c r="BZ128" s="13">
        <f>BY128*VLOOKUP('Données projet'!$B$12,Paramètres!$A$1:$I$89,3,0)*VLOOKUP('Données projet'!$B$12,Paramètres!$A$1:$I$89,5,0)</f>
        <v>4.5815795601811263E-14</v>
      </c>
      <c r="CA128" s="13">
        <f t="shared" si="93"/>
        <v>7.5374618042508364E-13</v>
      </c>
      <c r="CB128" s="20">
        <f t="shared" si="64"/>
        <v>1.392570441580175E-12</v>
      </c>
      <c r="CC128" s="59">
        <f t="shared" si="65"/>
        <v>288.80805874901415</v>
      </c>
      <c r="CD128" s="59">
        <f ca="1">AVERAGE(OFFSET($CC$3,0,0,'Données projet'!$E$12+1,1))-AVERAGE(OFFSET($H$3,0,0,'Données projet'!$E$12+1,1))</f>
        <v>177.34129362526608</v>
      </c>
      <c r="CE128" s="59">
        <f t="shared" si="94"/>
        <v>156.93407673501022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35.171338038246219</v>
      </c>
      <c r="CL128" s="21">
        <f>EXP(-LN(2)/25)*CL127+(1-EXP(-LN(2)/25))/(LN(2)/25)*Calculateur!CG128*Calculateur!CI128*VLOOKUP('Données projet'!$B$12,Paramètres!$A$1:$I$89,3,0)*0.475*44/12</f>
        <v>12.177562585650662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47.348900623896881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68.765834204276217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8.5265128291212022E-14</v>
      </c>
      <c r="CU128" s="17">
        <f>CT128*VLOOKUP('Données projet'!$B$13,Paramètres!$A$1:$I$89,3,0)*VLOOKUP('Données projet'!$B$13,Paramètres!$A$1:$I$89,5,0)</f>
        <v>5.5865712056402117E-14</v>
      </c>
      <c r="CV128" s="13">
        <f t="shared" si="95"/>
        <v>8.9811031843713517E-13</v>
      </c>
      <c r="CW128" s="20">
        <f t="shared" si="67"/>
        <v>1.6615082531095774E-12</v>
      </c>
      <c r="CX128" s="59">
        <f t="shared" si="68"/>
        <v>288.80805874901444</v>
      </c>
      <c r="CY128" s="59">
        <f ca="1">AVERAGE(OFFSET($CX$3,0,0,'Données projet'!$E$13+1,1))-AVERAGE(OFFSET($H$3,0,0,'Données projet'!$E$13+1,1))</f>
        <v>267.49254683294629</v>
      </c>
      <c r="CZ128" s="59">
        <f t="shared" si="96"/>
        <v>278.02595256967254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31.529281752016075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31.529281752016075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68.765834204276217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8.0699999999999985</v>
      </c>
      <c r="DO128" s="12">
        <f>IF('Données projet'!$A$166&gt;35,DO127+DN128-DW127,IF(A128&lt;'Données projet'!$A$166,$DL$205^A128,IF(A128='Données projet'!$A$166,'Données projet'!$B$166,DO127+DN128-DW127)))</f>
        <v>363.96000000000072</v>
      </c>
      <c r="DP128" s="17">
        <f>DO128*VLOOKUP('Données projet'!$B$14,Paramètres!$A$1:$I$89,3,0)*VLOOKUP('Données projet'!$B$14,Paramètres!$A$1:$I$89,5,0)</f>
        <v>329.31100800000064</v>
      </c>
      <c r="DQ128" s="13">
        <f t="shared" si="97"/>
        <v>77.287444180583748</v>
      </c>
      <c r="DR128" s="20">
        <f t="shared" si="70"/>
        <v>708.15897088118447</v>
      </c>
      <c r="DS128" s="59">
        <f t="shared" si="71"/>
        <v>996.9670296301972</v>
      </c>
      <c r="DT128" s="59">
        <f ca="1">AVERAGE(OFFSET($DS$3,0,0,'Données projet'!$E$14+1,1))-AVERAGE(OFFSET($H$3,0,0,'Données projet'!$E$14+1,1))</f>
        <v>602.02351907077332</v>
      </c>
      <c r="DU128" s="59">
        <f t="shared" si="98"/>
        <v>278.08067690827272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62.969660173718019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62.969660173718019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68.765834204276217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68.765834204276217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68.765834204276217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68.765834204276217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2.2000000000000002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8.0666666666666682</v>
      </c>
      <c r="H129" s="67">
        <f t="shared" si="56"/>
        <v>224.4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68.787244221650667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360.09035401555587</v>
      </c>
      <c r="T129" s="59">
        <f t="shared" si="88"/>
        <v>266.54879627869821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69.184463894895657</v>
      </c>
      <c r="AA129" s="21">
        <f>EXP(-LN(2)/25)*AA128+(1-EXP(-LN(2)/25))/(LN(2)/25)*Calculateur!V129*Calculateur!X129*VLOOKUP('Données projet'!$B$9,Paramètres!$A$1:$I$89,3,0)*0.475*44/12</f>
        <v>22.552969837373499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91.737433732269153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68.787244221650667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2.7899999999999991</v>
      </c>
      <c r="AI129" s="13">
        <f>IF('Données projet'!$A$62&gt;35,AI128+AH129-AQ128,IF(A129&lt;'Données projet'!$A$62,$AF$205^A129,IF(A129='Données projet'!$A$62,'Données projet'!$B$62,AI128+AH129-AQ128)))</f>
        <v>127.13999999999997</v>
      </c>
      <c r="AJ129" s="13">
        <f>AI129*VLOOKUP('Données projet'!$B$10,Paramètres!$A$1:$I$89,3,0)*VLOOKUP('Données projet'!$B$10,Paramètres!$A$1:$I$89,5,0)</f>
        <v>107.10273599999999</v>
      </c>
      <c r="AK129" s="13">
        <f t="shared" si="89"/>
        <v>28.647309778652222</v>
      </c>
      <c r="AL129" s="20">
        <f t="shared" si="58"/>
        <v>236.43132973115257</v>
      </c>
      <c r="AM129" s="59">
        <f t="shared" si="59"/>
        <v>525.31789187720506</v>
      </c>
      <c r="AN129" s="59">
        <f ca="1">AVERAGE(OFFSET($AM$3,0,0,'Données projet'!$E$10+1,1))-AVERAGE(OFFSET($H$3,0,0,'Données projet'!$E$10+1,1))</f>
        <v>377.26246345103175</v>
      </c>
      <c r="AO129" s="59">
        <f t="shared" si="90"/>
        <v>258.25890564000258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95.522094092342854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95.522094092342854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68.787244221650667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2.2737367544323206E-13</v>
      </c>
      <c r="BE129" s="13">
        <f>BD129*VLOOKUP('Données projet'!$B$11,Paramètres!$A$1:$I$89,3,0)*VLOOKUP('Données projet'!$B$11,Paramètres!$A$1:$I$89,5,0)</f>
        <v>1.0049916454590858E-13</v>
      </c>
      <c r="BF129" s="13">
        <f t="shared" si="91"/>
        <v>1.5089081593838289E-12</v>
      </c>
      <c r="BG129" s="20">
        <f t="shared" si="61"/>
        <v>2.8030510891776262E-12</v>
      </c>
      <c r="BH129" s="59">
        <f t="shared" si="62"/>
        <v>288.88656214605521</v>
      </c>
      <c r="BI129" s="59">
        <f ca="1">AVERAGE(OFFSET($BH$3,0,0,'Données projet'!$E$11+1,1))-AVERAGE(OFFSET($H$3,0,0,'Données projet'!$E$11+1,1))</f>
        <v>333.23043896066253</v>
      </c>
      <c r="BJ129" s="59">
        <f t="shared" si="92"/>
        <v>440.63438368668983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44.665259208817936</v>
      </c>
      <c r="BQ129" s="21">
        <f>EXP(-LN(2)/25)*BQ128+(1-EXP(-LN(2)/25))/(LN(2)/25)*Calculateur!BL129*Calculateur!BN129*VLOOKUP('Données projet'!$B$11,Paramètres!$A$1:$I$89,3,0)*0.475*44/12</f>
        <v>18.834873473413843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63.500132682231779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68.787244221650667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1.1368683772161603E-13</v>
      </c>
      <c r="BZ129" s="13">
        <f>BY129*VLOOKUP('Données projet'!$B$12,Paramètres!$A$1:$I$89,3,0)*VLOOKUP('Données projet'!$B$12,Paramètres!$A$1:$I$89,5,0)</f>
        <v>4.5815795601811263E-14</v>
      </c>
      <c r="CA129" s="13">
        <f t="shared" si="93"/>
        <v>7.5374618042508364E-13</v>
      </c>
      <c r="CB129" s="20">
        <f t="shared" si="64"/>
        <v>1.392570441580175E-12</v>
      </c>
      <c r="CC129" s="59">
        <f t="shared" si="65"/>
        <v>288.88656214605379</v>
      </c>
      <c r="CD129" s="59">
        <f ca="1">AVERAGE(OFFSET($CC$3,0,0,'Données projet'!$E$12+1,1))-AVERAGE(OFFSET($H$3,0,0,'Données projet'!$E$12+1,1))</f>
        <v>177.34129362526608</v>
      </c>
      <c r="CE129" s="59">
        <f t="shared" si="94"/>
        <v>156.93407673501022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34.481649551714163</v>
      </c>
      <c r="CL129" s="21">
        <f>EXP(-LN(2)/25)*CL128+(1-EXP(-LN(2)/25))/(LN(2)/25)*Calculateur!CG129*Calculateur!CI129*VLOOKUP('Données projet'!$B$12,Paramètres!$A$1:$I$89,3,0)*0.475*44/12</f>
        <v>11.84456649635586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46.326216048070023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68.787244221650667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8.5265128291212022E-14</v>
      </c>
      <c r="CU129" s="17">
        <f>CT129*VLOOKUP('Données projet'!$B$13,Paramètres!$A$1:$I$89,3,0)*VLOOKUP('Données projet'!$B$13,Paramètres!$A$1:$I$89,5,0)</f>
        <v>5.5865712056402117E-14</v>
      </c>
      <c r="CV129" s="13">
        <f t="shared" si="95"/>
        <v>8.9811031843713517E-13</v>
      </c>
      <c r="CW129" s="20">
        <f t="shared" si="67"/>
        <v>1.6615082531095774E-12</v>
      </c>
      <c r="CX129" s="59">
        <f t="shared" si="68"/>
        <v>288.88656214605408</v>
      </c>
      <c r="CY129" s="59">
        <f ca="1">AVERAGE(OFFSET($CX$3,0,0,'Données projet'!$E$13+1,1))-AVERAGE(OFFSET($H$3,0,0,'Données projet'!$E$13+1,1))</f>
        <v>267.49254683294629</v>
      </c>
      <c r="CZ129" s="59">
        <f t="shared" si="96"/>
        <v>278.02595256967254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30.911011767822011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30.911011767822011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68.787244221650667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8.0699999999999985</v>
      </c>
      <c r="DO129" s="12">
        <f>IF('Données projet'!$A$166&gt;35,DO128+DN129-DW128,IF(A129&lt;'Données projet'!$A$166,$DL$205^A129,IF(A129='Données projet'!$A$166,'Données projet'!$B$166,DO128+DN129-DW128)))</f>
        <v>372.03000000000071</v>
      </c>
      <c r="DP129" s="17">
        <f>DO129*VLOOKUP('Données projet'!$B$14,Paramètres!$A$1:$I$89,3,0)*VLOOKUP('Données projet'!$B$14,Paramètres!$A$1:$I$89,5,0)</f>
        <v>336.61274400000065</v>
      </c>
      <c r="DQ129" s="13">
        <f t="shared" si="97"/>
        <v>78.799710600410648</v>
      </c>
      <c r="DR129" s="20">
        <f t="shared" si="70"/>
        <v>723.51002509571629</v>
      </c>
      <c r="DS129" s="59">
        <f t="shared" si="71"/>
        <v>1012.3965872417687</v>
      </c>
      <c r="DT129" s="59">
        <f ca="1">AVERAGE(OFFSET($DS$3,0,0,'Données projet'!$E$14+1,1))-AVERAGE(OFFSET($H$3,0,0,'Données projet'!$E$14+1,1))</f>
        <v>602.02351907077332</v>
      </c>
      <c r="DU129" s="59">
        <f t="shared" si="98"/>
        <v>278.08067690827272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61.73486354541167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61.73486354541167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68.787244221650667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68.787244221650667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68.787244221650667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68.787244221650667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2.2000000000000002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8.0666666666666682</v>
      </c>
      <c r="H130" s="67">
        <f t="shared" si="56"/>
        <v>224.4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68.808282823089286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360.09035401555587</v>
      </c>
      <c r="T130" s="59">
        <f t="shared" si="88"/>
        <v>266.54879627869821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67.827798756272983</v>
      </c>
      <c r="AA130" s="21">
        <f>EXP(-LN(2)/25)*AA129+(1-EXP(-LN(2)/25))/(LN(2)/25)*Calculateur!V130*Calculateur!X130*VLOOKUP('Données projet'!$B$9,Paramètres!$A$1:$I$89,3,0)*0.475*44/12</f>
        <v>21.936257691161384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89.764056447434371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68.808282823089286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129.93</v>
      </c>
      <c r="AG130" s="12">
        <f>VLOOKUP(A130,'Données projet'!$A$61:$I$81,9,0)</f>
        <v>2.7899999999999991</v>
      </c>
      <c r="AH130" s="12">
        <f t="array" ref="AH130">INDEX(AG:AG,MIN(IF(ISNUMBER(AG130:AG326),ROW(AG130:AG326),"")))</f>
        <v>2.7899999999999991</v>
      </c>
      <c r="AI130" s="13">
        <f>IF('Données projet'!$A$62&gt;35,AI129+AH130-AQ129,IF(A130&lt;'Données projet'!$A$62,$AF$205^A130,IF(A130='Données projet'!$A$62,'Données projet'!$B$62,AI129+AH130-AQ129)))</f>
        <v>129.92999999999998</v>
      </c>
      <c r="AJ130" s="13">
        <f>AI130*VLOOKUP('Données projet'!$B$10,Paramètres!$A$1:$I$89,3,0)*VLOOKUP('Données projet'!$B$10,Paramètres!$A$1:$I$89,5,0)</f>
        <v>109.45303200000001</v>
      </c>
      <c r="AK130" s="13">
        <f t="shared" si="89"/>
        <v>29.202077281958992</v>
      </c>
      <c r="AL130" s="20">
        <f t="shared" si="58"/>
        <v>241.4909819994119</v>
      </c>
      <c r="AM130" s="59">
        <f t="shared" si="59"/>
        <v>530.45468568407262</v>
      </c>
      <c r="AN130" s="59">
        <f ca="1">AVERAGE(OFFSET($AM$3,0,0,'Données projet'!$E$10+1,1))-AVERAGE(OFFSET($H$3,0,0,'Données projet'!$E$10+1,1))</f>
        <v>377.26246345103175</v>
      </c>
      <c r="AO130" s="59">
        <f t="shared" si="90"/>
        <v>258.25890564000258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39.56</v>
      </c>
      <c r="AR130" s="16">
        <f>IF(ISNA(VLOOKUP(A130,'Données projet'!$A$61:$I$81,5,0)),0%,VLOOKUP(A130,'Données projet'!$A$61:$I$81,5,0)*VLOOKUP('Données projet'!$B$10,Paramètres!$A$1:$I$89,7,0))</f>
        <v>0.25800000000000001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103.15373070529095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103.15373070529095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68.808282823089286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2.2737367544323206E-13</v>
      </c>
      <c r="BE130" s="13">
        <f>BD130*VLOOKUP('Données projet'!$B$11,Paramètres!$A$1:$I$89,3,0)*VLOOKUP('Données projet'!$B$11,Paramètres!$A$1:$I$89,5,0)</f>
        <v>1.0049916454590858E-13</v>
      </c>
      <c r="BF130" s="13">
        <f t="shared" si="91"/>
        <v>1.5089081593838289E-12</v>
      </c>
      <c r="BG130" s="20">
        <f t="shared" si="61"/>
        <v>2.8030510891776262E-12</v>
      </c>
      <c r="BH130" s="59">
        <f t="shared" si="62"/>
        <v>288.96370368466353</v>
      </c>
      <c r="BI130" s="59">
        <f ca="1">AVERAGE(OFFSET($BH$3,0,0,'Données projet'!$E$11+1,1))-AVERAGE(OFFSET($H$3,0,0,'Données projet'!$E$11+1,1))</f>
        <v>333.23043896066253</v>
      </c>
      <c r="BJ130" s="59">
        <f t="shared" si="92"/>
        <v>440.63438368668983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43.789400718851098</v>
      </c>
      <c r="BQ130" s="21">
        <f>EXP(-LN(2)/25)*BQ129+(1-EXP(-LN(2)/25))/(LN(2)/25)*Calculateur!BL130*Calculateur!BN130*VLOOKUP('Données projet'!$B$11,Paramètres!$A$1:$I$89,3,0)*0.475*44/12</f>
        <v>18.319832867800393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62.109233586651492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68.808282823089286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1.1368683772161603E-13</v>
      </c>
      <c r="BZ130" s="13">
        <f>BY130*VLOOKUP('Données projet'!$B$12,Paramètres!$A$1:$I$89,3,0)*VLOOKUP('Données projet'!$B$12,Paramètres!$A$1:$I$89,5,0)</f>
        <v>4.5815795601811263E-14</v>
      </c>
      <c r="CA130" s="13">
        <f t="shared" si="93"/>
        <v>7.5374618042508364E-13</v>
      </c>
      <c r="CB130" s="20">
        <f t="shared" si="64"/>
        <v>1.392570441580175E-12</v>
      </c>
      <c r="CC130" s="59">
        <f t="shared" si="65"/>
        <v>288.96370368466211</v>
      </c>
      <c r="CD130" s="59">
        <f ca="1">AVERAGE(OFFSET($CC$3,0,0,'Données projet'!$E$12+1,1))-AVERAGE(OFFSET($H$3,0,0,'Données projet'!$E$12+1,1))</f>
        <v>177.34129362526608</v>
      </c>
      <c r="CE130" s="59">
        <f t="shared" si="94"/>
        <v>156.93407673501022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33.805485435734568</v>
      </c>
      <c r="CL130" s="21">
        <f>EXP(-LN(2)/25)*CL129+(1-EXP(-LN(2)/25))/(LN(2)/25)*Calculateur!CG130*Calculateur!CI130*VLOOKUP('Données projet'!$B$12,Paramètres!$A$1:$I$89,3,0)*0.475*44/12</f>
        <v>11.520676202634329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45.326161638368895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68.808282823089286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8.5265128291212022E-14</v>
      </c>
      <c r="CU130" s="17">
        <f>CT130*VLOOKUP('Données projet'!$B$13,Paramètres!$A$1:$I$89,3,0)*VLOOKUP('Données projet'!$B$13,Paramètres!$A$1:$I$89,5,0)</f>
        <v>5.5865712056402117E-14</v>
      </c>
      <c r="CV130" s="13">
        <f t="shared" si="95"/>
        <v>8.9811031843713517E-13</v>
      </c>
      <c r="CW130" s="20">
        <f t="shared" si="67"/>
        <v>1.6615082531095774E-12</v>
      </c>
      <c r="CX130" s="59">
        <f t="shared" si="68"/>
        <v>288.96370368466239</v>
      </c>
      <c r="CY130" s="59">
        <f ca="1">AVERAGE(OFFSET($CX$3,0,0,'Données projet'!$E$13+1,1))-AVERAGE(OFFSET($H$3,0,0,'Données projet'!$E$13+1,1))</f>
        <v>267.49254683294629</v>
      </c>
      <c r="CZ130" s="59">
        <f t="shared" si="96"/>
        <v>278.02595256967254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30.304865680910535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30.304865680910535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68.808282823089286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8.0699999999999985</v>
      </c>
      <c r="DO130" s="12">
        <f>IF('Données projet'!$A$166&gt;35,DO129+DN130-DW129,IF(A130&lt;'Données projet'!$A$166,$DL$205^A130,IF(A130='Données projet'!$A$166,'Données projet'!$B$166,DO129+DN130-DW129)))</f>
        <v>380.1000000000007</v>
      </c>
      <c r="DP130" s="17">
        <f>DO130*VLOOKUP('Données projet'!$B$14,Paramètres!$A$1:$I$89,3,0)*VLOOKUP('Données projet'!$B$14,Paramètres!$A$1:$I$89,5,0)</f>
        <v>343.91448000000065</v>
      </c>
      <c r="DQ130" s="13">
        <f t="shared" si="97"/>
        <v>80.308163160675235</v>
      </c>
      <c r="DR130" s="20">
        <f t="shared" si="70"/>
        <v>738.85443683817709</v>
      </c>
      <c r="DS130" s="59">
        <f t="shared" si="71"/>
        <v>1027.8181405228379</v>
      </c>
      <c r="DT130" s="59">
        <f ca="1">AVERAGE(OFFSET($DS$3,0,0,'Données projet'!$E$14+1,1))-AVERAGE(OFFSET($H$3,0,0,'Données projet'!$E$14+1,1))</f>
        <v>602.02351907077332</v>
      </c>
      <c r="DU130" s="59">
        <f t="shared" si="98"/>
        <v>278.08067690827272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60.524280525834833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60.524280525834833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68.808282823089286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68.808282823089286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68.808282823089286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68.808282823089286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2.2000000000000002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8.0666666666666682</v>
      </c>
      <c r="H131" s="67">
        <f t="shared" si="56"/>
        <v>224.4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68.828956451828219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360.09035401555587</v>
      </c>
      <c r="T131" s="59">
        <f t="shared" si="88"/>
        <v>266.54879627869821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66.497736993534673</v>
      </c>
      <c r="AA131" s="21">
        <f>EXP(-LN(2)/25)*AA130+(1-EXP(-LN(2)/25))/(LN(2)/25)*Calculateur!V131*Calculateur!X131*VLOOKUP('Données projet'!$B$9,Paramètres!$A$1:$I$89,3,0)*0.475*44/12</f>
        <v>21.336409571018919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87.834146564553592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68.828956451828219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2.0666666666666629</v>
      </c>
      <c r="AI131" s="13">
        <f>IF('Données projet'!$A$62&gt;35,AI130+AH131-AQ130,IF(A131&lt;'Données projet'!$A$62,$AF$205^A131,IF(A131='Données projet'!$A$62,'Données projet'!$B$62,AI130+AH131-AQ130)))</f>
        <v>92.436666666666639</v>
      </c>
      <c r="AJ131" s="13">
        <f>AI131*VLOOKUP('Données projet'!$B$10,Paramètres!$A$1:$I$89,3,0)*VLOOKUP('Données projet'!$B$10,Paramètres!$A$1:$I$89,5,0)</f>
        <v>77.868647999999993</v>
      </c>
      <c r="AK131" s="13">
        <f t="shared" si="89"/>
        <v>21.615241321016015</v>
      </c>
      <c r="AL131" s="20">
        <f t="shared" si="58"/>
        <v>173.26777390076953</v>
      </c>
      <c r="AM131" s="59">
        <f t="shared" si="59"/>
        <v>462.3072808908064</v>
      </c>
      <c r="AN131" s="59">
        <f ca="1">AVERAGE(OFFSET($AM$3,0,0,'Données projet'!$E$10+1,1))-AVERAGE(OFFSET($H$3,0,0,'Données projet'!$E$10+1,1))</f>
        <v>377.26246345103175</v>
      </c>
      <c r="AO131" s="59">
        <f t="shared" si="90"/>
        <v>258.25890564000258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101.13094896372334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101.13094896372334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68.828956451828219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2.2737367544323206E-13</v>
      </c>
      <c r="BE131" s="13">
        <f>BD131*VLOOKUP('Données projet'!$B$11,Paramètres!$A$1:$I$89,3,0)*VLOOKUP('Données projet'!$B$11,Paramètres!$A$1:$I$89,5,0)</f>
        <v>1.0049916454590858E-13</v>
      </c>
      <c r="BF131" s="13">
        <f t="shared" si="91"/>
        <v>1.5089081593838289E-12</v>
      </c>
      <c r="BG131" s="20">
        <f t="shared" si="61"/>
        <v>2.8030510891776262E-12</v>
      </c>
      <c r="BH131" s="59">
        <f t="shared" si="62"/>
        <v>289.03950699003963</v>
      </c>
      <c r="BI131" s="59">
        <f ca="1">AVERAGE(OFFSET($BH$3,0,0,'Données projet'!$E$11+1,1))-AVERAGE(OFFSET($H$3,0,0,'Données projet'!$E$11+1,1))</f>
        <v>333.23043896066253</v>
      </c>
      <c r="BJ131" s="59">
        <f t="shared" si="92"/>
        <v>440.63438368668983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42.930717279651581</v>
      </c>
      <c r="BQ131" s="21">
        <f>EXP(-LN(2)/25)*BQ130+(1-EXP(-LN(2)/25))/(LN(2)/25)*Calculateur!BL131*Calculateur!BN131*VLOOKUP('Données projet'!$B$11,Paramètres!$A$1:$I$89,3,0)*0.475*44/12</f>
        <v>17.81887607463225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60.749593354283832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68.828956451828219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1.1368683772161603E-13</v>
      </c>
      <c r="BZ131" s="13">
        <f>BY131*VLOOKUP('Données projet'!$B$12,Paramètres!$A$1:$I$89,3,0)*VLOOKUP('Données projet'!$B$12,Paramètres!$A$1:$I$89,5,0)</f>
        <v>4.5815795601811263E-14</v>
      </c>
      <c r="CA131" s="13">
        <f t="shared" si="93"/>
        <v>7.5374618042508364E-13</v>
      </c>
      <c r="CB131" s="20">
        <f t="shared" si="64"/>
        <v>1.392570441580175E-12</v>
      </c>
      <c r="CC131" s="59">
        <f t="shared" si="65"/>
        <v>289.03950699003821</v>
      </c>
      <c r="CD131" s="59">
        <f ca="1">AVERAGE(OFFSET($CC$3,0,0,'Données projet'!$E$12+1,1))-AVERAGE(OFFSET($H$3,0,0,'Données projet'!$E$12+1,1))</f>
        <v>177.34129362526608</v>
      </c>
      <c r="CE131" s="59">
        <f t="shared" si="94"/>
        <v>156.93407673501022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33.142580485649944</v>
      </c>
      <c r="CL131" s="21">
        <f>EXP(-LN(2)/25)*CL130+(1-EXP(-LN(2)/25))/(LN(2)/25)*Calculateur!CG131*Calculateur!CI131*VLOOKUP('Données projet'!$B$12,Paramètres!$A$1:$I$89,3,0)*0.475*44/12</f>
        <v>11.205642706027263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44.348223191677207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68.828956451828219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8.5265128291212022E-14</v>
      </c>
      <c r="CU131" s="17">
        <f>CT131*VLOOKUP('Données projet'!$B$13,Paramètres!$A$1:$I$89,3,0)*VLOOKUP('Données projet'!$B$13,Paramètres!$A$1:$I$89,5,0)</f>
        <v>5.5865712056402117E-14</v>
      </c>
      <c r="CV131" s="13">
        <f t="shared" si="95"/>
        <v>8.9811031843713517E-13</v>
      </c>
      <c r="CW131" s="20">
        <f t="shared" si="67"/>
        <v>1.6615082531095774E-12</v>
      </c>
      <c r="CX131" s="59">
        <f t="shared" si="68"/>
        <v>289.03950699003849</v>
      </c>
      <c r="CY131" s="59">
        <f ca="1">AVERAGE(OFFSET($CX$3,0,0,'Données projet'!$E$13+1,1))-AVERAGE(OFFSET($H$3,0,0,'Données projet'!$E$13+1,1))</f>
        <v>267.49254683294629</v>
      </c>
      <c r="CZ131" s="59">
        <f t="shared" si="96"/>
        <v>278.02595256967254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29.710605749050785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29.710605749050785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68.828956451828219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8.0699999999999985</v>
      </c>
      <c r="DO131" s="12">
        <f>IF('Données projet'!$A$166&gt;35,DO130+DN131-DW130,IF(A131&lt;'Données projet'!$A$166,$DL$205^A131,IF(A131='Données projet'!$A$166,'Données projet'!$B$166,DO130+DN131-DW130)))</f>
        <v>388.1700000000007</v>
      </c>
      <c r="DP131" s="17">
        <f>DO131*VLOOKUP('Données projet'!$B$14,Paramètres!$A$1:$I$89,3,0)*VLOOKUP('Données projet'!$B$14,Paramètres!$A$1:$I$89,5,0)</f>
        <v>351.2162160000006</v>
      </c>
      <c r="DQ131" s="13">
        <f t="shared" si="97"/>
        <v>81.812892161752615</v>
      </c>
      <c r="DR131" s="20">
        <f t="shared" si="70"/>
        <v>754.19236338172016</v>
      </c>
      <c r="DS131" s="59">
        <f t="shared" si="71"/>
        <v>1043.2318703717569</v>
      </c>
      <c r="DT131" s="59">
        <f ca="1">AVERAGE(OFFSET($DS$3,0,0,'Données projet'!$E$14+1,1))-AVERAGE(OFFSET($H$3,0,0,'Données projet'!$E$14+1,1))</f>
        <v>602.02351907077332</v>
      </c>
      <c r="DU131" s="59">
        <f t="shared" si="98"/>
        <v>278.08067690827272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59.337436300889166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59.337436300889166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68.828956451828219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68.828956451828219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68.828956451828219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68.828956451828219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2.2000000000000002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8.0666666666666682</v>
      </c>
      <c r="H132" s="67">
        <f t="shared" ref="H132:H195" si="110">(B132+E132+F132)*44/12+(C132+D132)*0.475*44/12</f>
        <v>224.4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68.84927143932785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360.09035401555587</v>
      </c>
      <c r="T132" s="59">
        <f t="shared" si="88"/>
        <v>266.54879627869821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65.193756930706101</v>
      </c>
      <c r="AA132" s="21">
        <f>EXP(-LN(2)/25)*AA131+(1-EXP(-LN(2)/25))/(LN(2)/25)*Calculateur!V132*Calculateur!X132*VLOOKUP('Données projet'!$B$9,Paramètres!$A$1:$I$89,3,0)*0.475*44/12</f>
        <v>20.752964329266394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85.946721259972492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68.84927143932785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2.0666666666666629</v>
      </c>
      <c r="AI132" s="13">
        <f>IF('Données projet'!$A$62&gt;35,AI131+AH132-AQ131,IF(A132&lt;'Données projet'!$A$62,$AF$205^A132,IF(A132='Données projet'!$A$62,'Données projet'!$B$62,AI131+AH132-AQ131)))</f>
        <v>94.503333333333302</v>
      </c>
      <c r="AJ132" s="13">
        <f>AI132*VLOOKUP('Données projet'!$B$10,Paramètres!$A$1:$I$89,3,0)*VLOOKUP('Données projet'!$B$10,Paramètres!$A$1:$I$89,5,0)</f>
        <v>79.60960799999998</v>
      </c>
      <c r="AK132" s="13">
        <f t="shared" si="89"/>
        <v>22.04170409618445</v>
      </c>
      <c r="AL132" s="20">
        <f t="shared" ref="AL132:AL153" si="112">(AJ132+AK132)*0.475*44/12</f>
        <v>177.0427019008545</v>
      </c>
      <c r="AM132" s="59">
        <f t="shared" ref="AM132:AM195" si="113">AL132+(AD132+AE132)*44/12</f>
        <v>466.15669717839</v>
      </c>
      <c r="AN132" s="59">
        <f ca="1">AVERAGE(OFFSET($AM$3,0,0,'Données projet'!$E$10+1,1))-AVERAGE(OFFSET($H$3,0,0,'Données projet'!$E$10+1,1))</f>
        <v>377.26246345103175</v>
      </c>
      <c r="AO132" s="59">
        <f t="shared" si="90"/>
        <v>258.25890564000258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99.147832738332824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99.147832738332824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68.84927143932785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2.2737367544323206E-13</v>
      </c>
      <c r="BE132" s="13">
        <f>BD132*VLOOKUP('Données projet'!$B$11,Paramètres!$A$1:$I$89,3,0)*VLOOKUP('Données projet'!$B$11,Paramètres!$A$1:$I$89,5,0)</f>
        <v>1.0049916454590858E-13</v>
      </c>
      <c r="BF132" s="13">
        <f t="shared" si="91"/>
        <v>1.5089081593838289E-12</v>
      </c>
      <c r="BG132" s="20">
        <f t="shared" ref="BG132:BG153" si="115">(BE132+BF132)*0.475*44/12</f>
        <v>2.8030510891776262E-12</v>
      </c>
      <c r="BH132" s="59">
        <f t="shared" ref="BH132:BH195" si="116">BG132+(AY132+AZ132)*44/12</f>
        <v>289.11399527753827</v>
      </c>
      <c r="BI132" s="59">
        <f ca="1">AVERAGE(OFFSET($BH$3,0,0,'Données projet'!$E$11+1,1))-AVERAGE(OFFSET($H$3,0,0,'Données projet'!$E$11+1,1))</f>
        <v>333.23043896066253</v>
      </c>
      <c r="BJ132" s="59">
        <f t="shared" si="92"/>
        <v>440.63438368668983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42.088872098949587</v>
      </c>
      <c r="BQ132" s="21">
        <f>EXP(-LN(2)/25)*BQ131+(1-EXP(-LN(2)/25))/(LN(2)/25)*Calculateur!BL132*Calculateur!BN132*VLOOKUP('Données projet'!$B$11,Paramètres!$A$1:$I$89,3,0)*0.475*44/12</f>
        <v>17.331617971317463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59.42049007026705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68.84927143932785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1.1368683772161603E-13</v>
      </c>
      <c r="BZ132" s="13">
        <f>BY132*VLOOKUP('Données projet'!$B$12,Paramètres!$A$1:$I$89,3,0)*VLOOKUP('Données projet'!$B$12,Paramètres!$A$1:$I$89,5,0)</f>
        <v>4.5815795601811263E-14</v>
      </c>
      <c r="CA132" s="13">
        <f t="shared" si="93"/>
        <v>7.5374618042508364E-13</v>
      </c>
      <c r="CB132" s="20">
        <f t="shared" ref="CB132:CB153" si="118">(BZ132+CA132)*0.475*44/12</f>
        <v>1.392570441580175E-12</v>
      </c>
      <c r="CC132" s="59">
        <f t="shared" ref="CC132:CC195" si="119">CB132+(BT132+BU132)*44/12</f>
        <v>289.11399527753684</v>
      </c>
      <c r="CD132" s="59">
        <f ca="1">AVERAGE(OFFSET($CC$3,0,0,'Données projet'!$E$12+1,1))-AVERAGE(OFFSET($H$3,0,0,'Données projet'!$E$12+1,1))</f>
        <v>177.34129362526608</v>
      </c>
      <c r="CE132" s="59">
        <f t="shared" si="94"/>
        <v>156.93407673501022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32.492674697304381</v>
      </c>
      <c r="CL132" s="21">
        <f>EXP(-LN(2)/25)*CL131+(1-EXP(-LN(2)/25))/(LN(2)/25)*Calculateur!CG132*Calculateur!CI132*VLOOKUP('Données projet'!$B$12,Paramètres!$A$1:$I$89,3,0)*0.475*44/12</f>
        <v>10.899223816951809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43.391898514256191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68.84927143932785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8.5265128291212022E-14</v>
      </c>
      <c r="CU132" s="17">
        <f>CT132*VLOOKUP('Données projet'!$B$13,Paramètres!$A$1:$I$89,3,0)*VLOOKUP('Données projet'!$B$13,Paramètres!$A$1:$I$89,5,0)</f>
        <v>5.5865712056402117E-14</v>
      </c>
      <c r="CV132" s="13">
        <f t="shared" si="95"/>
        <v>8.9811031843713517E-13</v>
      </c>
      <c r="CW132" s="20">
        <f t="shared" ref="CW132:CW153" si="121">(CU132+CV132)*0.475*44/12</f>
        <v>1.6615082531095774E-12</v>
      </c>
      <c r="CX132" s="59">
        <f t="shared" ref="CX132:CX195" si="122">CW132+(CO132+CP132)*44/12</f>
        <v>289.11399527753713</v>
      </c>
      <c r="CY132" s="59">
        <f ca="1">AVERAGE(OFFSET($CX$3,0,0,'Données projet'!$E$13+1,1))-AVERAGE(OFFSET($H$3,0,0,'Données projet'!$E$13+1,1))</f>
        <v>267.49254683294629</v>
      </c>
      <c r="CZ132" s="59">
        <f t="shared" si="96"/>
        <v>278.02595256967254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29.127998891992039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29.127998891992039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68.84927143932785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8.0699999999999985</v>
      </c>
      <c r="DO132" s="12">
        <f>IF('Données projet'!$A$166&gt;35,DO131+DN132-DW131,IF(A132&lt;'Données projet'!$A$166,$DL$205^A132,IF(A132='Données projet'!$A$166,'Données projet'!$B$166,DO131+DN132-DW131)))</f>
        <v>396.24000000000069</v>
      </c>
      <c r="DP132" s="17">
        <f>DO132*VLOOKUP('Données projet'!$B$14,Paramètres!$A$1:$I$89,3,0)*VLOOKUP('Données projet'!$B$14,Paramètres!$A$1:$I$89,5,0)</f>
        <v>358.51795200000061</v>
      </c>
      <c r="DQ132" s="13">
        <f t="shared" si="97"/>
        <v>83.313983934777241</v>
      </c>
      <c r="DR132" s="20">
        <f t="shared" ref="DR132:DR153" si="124">(DP132+DQ132)*0.475*44/12</f>
        <v>769.52395508640473</v>
      </c>
      <c r="DS132" s="59">
        <f t="shared" ref="DS132:DS195" si="125">DR132+(DJ132+DK132)*44/12</f>
        <v>1058.6379503639403</v>
      </c>
      <c r="DT132" s="59">
        <f ca="1">AVERAGE(OFFSET($DS$3,0,0,'Données projet'!$E$14+1,1))-AVERAGE(OFFSET($H$3,0,0,'Données projet'!$E$14+1,1))</f>
        <v>602.02351907077332</v>
      </c>
      <c r="DU132" s="59">
        <f t="shared" si="98"/>
        <v>278.08067690827272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58.173865367291185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58.173865367291185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68.84927143932785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68.84927143932785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68.84927143932785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68.84927143932785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2.2000000000000002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8.0666666666666682</v>
      </c>
      <c r="H133" s="67">
        <f t="shared" si="110"/>
        <v>224.4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68.869234007211858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360.09035401555587</v>
      </c>
      <c r="T133" s="59">
        <f t="shared" ref="T133:T196" si="142">$T$3</f>
        <v>266.54879627869821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63.915347121560288</v>
      </c>
      <c r="AA133" s="21">
        <f>EXP(-LN(2)/25)*AA132+(1-EXP(-LN(2)/25))/(LN(2)/25)*Calculateur!V133*Calculateur!X133*VLOOKUP('Données projet'!$B$9,Paramètres!$A$1:$I$89,3,0)*0.475*44/12</f>
        <v>20.18547342833164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84.100820549891921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68.869234007211858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96.57</v>
      </c>
      <c r="AG133" s="12">
        <f>VLOOKUP(A133,'Données projet'!$A$61:$I$81,9,0)</f>
        <v>2.0666666666666629</v>
      </c>
      <c r="AH133" s="12">
        <f t="array" ref="AH133">INDEX(AG:AG,MIN(IF(ISNUMBER(AG133:AG329),ROW(AG133:AG329),"")))</f>
        <v>2.0666666666666629</v>
      </c>
      <c r="AI133" s="13">
        <f>IF('Données projet'!$A$62&gt;35,AI132+AH133-AQ132,IF(A133&lt;'Données projet'!$A$62,$AF$205^A133,IF(A133='Données projet'!$A$62,'Données projet'!$B$62,AI132+AH133-AQ132)))</f>
        <v>96.569999999999965</v>
      </c>
      <c r="AJ133" s="13">
        <f>AI133*VLOOKUP('Données projet'!$B$10,Paramètres!$A$1:$I$89,3,0)*VLOOKUP('Données projet'!$B$10,Paramètres!$A$1:$I$89,5,0)</f>
        <v>81.350567999999981</v>
      </c>
      <c r="AK133" s="13">
        <f t="shared" ref="AK133:AK153" si="143">EXP(-1.0587+0.8836*LN(AJ133)+0.284)</f>
        <v>22.467082591541637</v>
      </c>
      <c r="AL133" s="20">
        <f t="shared" si="112"/>
        <v>180.81574144693499</v>
      </c>
      <c r="AM133" s="59">
        <f t="shared" si="113"/>
        <v>470.00293280671178</v>
      </c>
      <c r="AN133" s="59">
        <f ca="1">AVERAGE(OFFSET($AM$3,0,0,'Données projet'!$E$10+1,1))-AVERAGE(OFFSET($H$3,0,0,'Données projet'!$E$10+1,1))</f>
        <v>377.26246345103175</v>
      </c>
      <c r="AO133" s="59">
        <f t="shared" ref="AO133:AO196" si="144">$AO$3</f>
        <v>258.25890564000258</v>
      </c>
      <c r="AP133" s="15">
        <f>IF(ISNA(VLOOKUP(A133,'Données projet'!$A$61:$I$81,3,0)),0,VLOOKUP(A133,'Données projet'!$A$61:$I$81,3,0))</f>
        <v>14</v>
      </c>
      <c r="AQ133" s="15">
        <f>IF(ISNA(VLOOKUP(A133,'Données projet'!$A$61:$I$81,4,0)),0,VLOOKUP(A133,'Données projet'!$A$61:$I$81,4,0))</f>
        <v>96.57</v>
      </c>
      <c r="AR133" s="16">
        <f>IF(ISNA(VLOOKUP(A133,'Données projet'!$A$61:$I$81,5,0)),0%,VLOOKUP(A133,'Données projet'!$A$61:$I$81,5,0)*VLOOKUP('Données projet'!$B$10,Paramètres!$A$1:$I$89,7,0))</f>
        <v>0.25800000000000001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120.40571017934347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120.40571017934347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68.869234007211858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2.2737367544323206E-13</v>
      </c>
      <c r="BE133" s="13">
        <f>BD133*VLOOKUP('Données projet'!$B$11,Paramètres!$A$1:$I$89,3,0)*VLOOKUP('Données projet'!$B$11,Paramètres!$A$1:$I$89,5,0)</f>
        <v>1.0049916454590858E-13</v>
      </c>
      <c r="BF133" s="13">
        <f t="shared" ref="BF133:BF153" si="145">EXP(-1.0587+0.8836*LN(BE133)+0.284)</f>
        <v>1.5089081593838289E-12</v>
      </c>
      <c r="BG133" s="20">
        <f t="shared" si="115"/>
        <v>2.8030510891776262E-12</v>
      </c>
      <c r="BH133" s="59">
        <f t="shared" si="116"/>
        <v>289.1871913597796</v>
      </c>
      <c r="BI133" s="59">
        <f ca="1">AVERAGE(OFFSET($BH$3,0,0,'Données projet'!$E$11+1,1))-AVERAGE(OFFSET($H$3,0,0,'Données projet'!$E$11+1,1))</f>
        <v>333.23043896066253</v>
      </c>
      <c r="BJ133" s="59">
        <f t="shared" ref="BJ133:BJ196" si="146">$BJ$3</f>
        <v>440.63438368668983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41.263534988766295</v>
      </c>
      <c r="BQ133" s="21">
        <f>EXP(-LN(2)/25)*BQ132+(1-EXP(-LN(2)/25))/(LN(2)/25)*Calculateur!BL133*Calculateur!BN133*VLOOKUP('Données projet'!$B$11,Paramètres!$A$1:$I$89,3,0)*0.475*44/12</f>
        <v>16.857683966461611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58.121218955227903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68.869234007211858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1.1368683772161603E-13</v>
      </c>
      <c r="BZ133" s="13">
        <f>BY133*VLOOKUP('Données projet'!$B$12,Paramètres!$A$1:$I$89,3,0)*VLOOKUP('Données projet'!$B$12,Paramètres!$A$1:$I$89,5,0)</f>
        <v>4.5815795601811263E-14</v>
      </c>
      <c r="CA133" s="13">
        <f t="shared" ref="CA133:CA153" si="147">EXP(-1.0587+0.8836*LN(BZ133)+0.284)</f>
        <v>7.5374618042508364E-13</v>
      </c>
      <c r="CB133" s="20">
        <f t="shared" si="118"/>
        <v>1.392570441580175E-12</v>
      </c>
      <c r="CC133" s="59">
        <f t="shared" si="119"/>
        <v>289.18719135977818</v>
      </c>
      <c r="CD133" s="59">
        <f ca="1">AVERAGE(OFFSET($CC$3,0,0,'Données projet'!$E$12+1,1))-AVERAGE(OFFSET($H$3,0,0,'Données projet'!$E$12+1,1))</f>
        <v>177.34129362526608</v>
      </c>
      <c r="CE133" s="59">
        <f t="shared" ref="CE133:CE196" si="148">$CE$3</f>
        <v>156.93407673501022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31.855513165064885</v>
      </c>
      <c r="CL133" s="21">
        <f>EXP(-LN(2)/25)*CL132+(1-EXP(-LN(2)/25))/(LN(2)/25)*Calculateur!CG133*Calculateur!CI133*VLOOKUP('Données projet'!$B$12,Paramètres!$A$1:$I$89,3,0)*0.475*44/12</f>
        <v>10.601183968511991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42.456697133576874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68.869234007211858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8.5265128291212022E-14</v>
      </c>
      <c r="CU133" s="17">
        <f>CT133*VLOOKUP('Données projet'!$B$13,Paramètres!$A$1:$I$89,3,0)*VLOOKUP('Données projet'!$B$13,Paramètres!$A$1:$I$89,5,0)</f>
        <v>5.5865712056402117E-14</v>
      </c>
      <c r="CV133" s="13">
        <f t="shared" ref="CV133:CV153" si="149">EXP(-1.0587+0.8836*LN(CU133)+0.284)</f>
        <v>8.9811031843713517E-13</v>
      </c>
      <c r="CW133" s="20">
        <f t="shared" si="121"/>
        <v>1.6615082531095774E-12</v>
      </c>
      <c r="CX133" s="59">
        <f t="shared" si="122"/>
        <v>289.18719135977847</v>
      </c>
      <c r="CY133" s="59">
        <f ca="1">AVERAGE(OFFSET($CX$3,0,0,'Données projet'!$E$13+1,1))-AVERAGE(OFFSET($H$3,0,0,'Données projet'!$E$13+1,1))</f>
        <v>267.49254683294629</v>
      </c>
      <c r="CZ133" s="59">
        <f t="shared" ref="CZ133:CZ196" si="150">$CZ$3</f>
        <v>278.02595256967254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28.556816600045121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28.556816600045121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68.869234007211858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8.0699999999999985</v>
      </c>
      <c r="DO133" s="12">
        <f>IF('Données projet'!$A$166&gt;35,DO132+DN133-DW132,IF(A133&lt;'Données projet'!$A$166,$DL$205^A133,IF(A133='Données projet'!$A$166,'Données projet'!$B$166,DO132+DN133-DW132)))</f>
        <v>404.31000000000068</v>
      </c>
      <c r="DP133" s="17">
        <f>DO133*VLOOKUP('Données projet'!$B$14,Paramètres!$A$1:$I$89,3,0)*VLOOKUP('Données projet'!$B$14,Paramètres!$A$1:$I$89,5,0)</f>
        <v>365.81968800000061</v>
      </c>
      <c r="DQ133" s="13">
        <f t="shared" ref="DQ133:DQ153" si="151">EXP(-1.0587+0.8836*LN(DP133)+0.284)</f>
        <v>84.811521093342051</v>
      </c>
      <c r="DR133" s="20">
        <f t="shared" si="124"/>
        <v>784.84935583757169</v>
      </c>
      <c r="DS133" s="59">
        <f t="shared" si="125"/>
        <v>1074.0365471973485</v>
      </c>
      <c r="DT133" s="59">
        <f ca="1">AVERAGE(OFFSET($DS$3,0,0,'Données projet'!$E$14+1,1))-AVERAGE(OFFSET($H$3,0,0,'Données projet'!$E$14+1,1))</f>
        <v>602.02351907077332</v>
      </c>
      <c r="DU133" s="59">
        <f t="shared" ref="DU133:DU196" si="152">$DU$3</f>
        <v>278.08067690827272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57.033111349992865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57.033111349992865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68.869234007211858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68.869234007211858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68.869234007211858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68.869234007211858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2.2000000000000002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8.0666666666666682</v>
      </c>
      <c r="H134" s="67">
        <f t="shared" si="110"/>
        <v>224.4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68.888850269172693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360.09035401555587</v>
      </c>
      <c r="T134" s="59">
        <f t="shared" si="142"/>
        <v>266.54879627869821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62.662006149018836</v>
      </c>
      <c r="AA134" s="21">
        <f>EXP(-LN(2)/25)*AA133+(1-EXP(-LN(2)/25))/(LN(2)/25)*Calculateur!V134*Calculateur!X134*VLOOKUP('Données projet'!$B$9,Paramètres!$A$1:$I$89,3,0)*0.475*44/12</f>
        <v>19.633500595925998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82.295506744944831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68.888850269172693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-2.8421709430404007E-14</v>
      </c>
      <c r="AJ134" s="13">
        <f>AI134*VLOOKUP('Données projet'!$B$10,Paramètres!$A$1:$I$89,3,0)*VLOOKUP('Données projet'!$B$10,Paramètres!$A$1:$I$89,5,0)</f>
        <v>-2.3942448024172337E-14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377.26246345103175</v>
      </c>
      <c r="AO134" s="59">
        <f t="shared" si="144"/>
        <v>258.25890564000258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118.04462764295813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118.04462764295813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68.888850269172693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2.2737367544323206E-13</v>
      </c>
      <c r="BE134" s="13">
        <f>BD134*VLOOKUP('Données projet'!$B$11,Paramètres!$A$1:$I$89,3,0)*VLOOKUP('Données projet'!$B$11,Paramètres!$A$1:$I$89,5,0)</f>
        <v>1.0049916454590858E-13</v>
      </c>
      <c r="BF134" s="13">
        <f t="shared" si="145"/>
        <v>1.5089081593838289E-12</v>
      </c>
      <c r="BG134" s="20">
        <f t="shared" si="115"/>
        <v>2.8030510891776262E-12</v>
      </c>
      <c r="BH134" s="59">
        <f t="shared" si="116"/>
        <v>289.259117653636</v>
      </c>
      <c r="BI134" s="59">
        <f ca="1">AVERAGE(OFFSET($BH$3,0,0,'Données projet'!$E$11+1,1))-AVERAGE(OFFSET($H$3,0,0,'Données projet'!$E$11+1,1))</f>
        <v>333.23043896066253</v>
      </c>
      <c r="BJ134" s="59">
        <f t="shared" si="146"/>
        <v>440.63438368668983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40.454382235907772</v>
      </c>
      <c r="BQ134" s="21">
        <f>EXP(-LN(2)/25)*BQ133+(1-EXP(-LN(2)/25))/(LN(2)/25)*Calculateur!BL134*Calculateur!BN134*VLOOKUP('Données projet'!$B$11,Paramètres!$A$1:$I$89,3,0)*0.475*44/12</f>
        <v>16.396709711891646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56.851091947799418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68.888850269172693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1.1368683772161603E-13</v>
      </c>
      <c r="BZ134" s="13">
        <f>BY134*VLOOKUP('Données projet'!$B$12,Paramètres!$A$1:$I$89,3,0)*VLOOKUP('Données projet'!$B$12,Paramètres!$A$1:$I$89,5,0)</f>
        <v>4.5815795601811263E-14</v>
      </c>
      <c r="CA134" s="13">
        <f t="shared" si="147"/>
        <v>7.5374618042508364E-13</v>
      </c>
      <c r="CB134" s="20">
        <f t="shared" si="118"/>
        <v>1.392570441580175E-12</v>
      </c>
      <c r="CC134" s="59">
        <f t="shared" si="119"/>
        <v>289.25911765363458</v>
      </c>
      <c r="CD134" s="59">
        <f ca="1">AVERAGE(OFFSET($CC$3,0,0,'Données projet'!$E$12+1,1))-AVERAGE(OFFSET($H$3,0,0,'Données projet'!$E$12+1,1))</f>
        <v>177.34129362526608</v>
      </c>
      <c r="CE134" s="59">
        <f t="shared" si="148"/>
        <v>156.93407673501022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31.230845981842446</v>
      </c>
      <c r="CL134" s="21">
        <f>EXP(-LN(2)/25)*CL133+(1-EXP(-LN(2)/25))/(LN(2)/25)*Calculateur!CG134*Calculateur!CI134*VLOOKUP('Données projet'!$B$12,Paramètres!$A$1:$I$89,3,0)*0.475*44/12</f>
        <v>10.311294035400996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41.54214001724344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68.888850269172693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8.5265128291212022E-14</v>
      </c>
      <c r="CU134" s="17">
        <f>CT134*VLOOKUP('Données projet'!$B$13,Paramètres!$A$1:$I$89,3,0)*VLOOKUP('Données projet'!$B$13,Paramètres!$A$1:$I$89,5,0)</f>
        <v>5.5865712056402117E-14</v>
      </c>
      <c r="CV134" s="13">
        <f t="shared" si="149"/>
        <v>8.9811031843713517E-13</v>
      </c>
      <c r="CW134" s="20">
        <f t="shared" si="121"/>
        <v>1.6615082531095774E-12</v>
      </c>
      <c r="CX134" s="59">
        <f t="shared" si="122"/>
        <v>289.25911765363486</v>
      </c>
      <c r="CY134" s="59">
        <f ca="1">AVERAGE(OFFSET($CX$3,0,0,'Données projet'!$E$13+1,1))-AVERAGE(OFFSET($H$3,0,0,'Données projet'!$E$13+1,1))</f>
        <v>267.49254683294629</v>
      </c>
      <c r="CZ134" s="59">
        <f t="shared" si="150"/>
        <v>278.02595256967254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27.996834844456483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27.996834844456483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68.888850269172693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8.0699999999999985</v>
      </c>
      <c r="DO134" s="12">
        <f>IF('Données projet'!$A$166&gt;35,DO133+DN134-DW133,IF(A134&lt;'Données projet'!$A$166,$DL$205^A134,IF(A134='Données projet'!$A$166,'Données projet'!$B$166,DO133+DN134-DW133)))</f>
        <v>412.38000000000068</v>
      </c>
      <c r="DP134" s="17">
        <f>DO134*VLOOKUP('Données projet'!$B$14,Paramètres!$A$1:$I$89,3,0)*VLOOKUP('Données projet'!$B$14,Paramètres!$A$1:$I$89,5,0)</f>
        <v>373.12142400000062</v>
      </c>
      <c r="DQ134" s="13">
        <f t="shared" si="151"/>
        <v>86.305582764533938</v>
      </c>
      <c r="DR134" s="20">
        <f t="shared" si="124"/>
        <v>800.16870344823099</v>
      </c>
      <c r="DS134" s="59">
        <f t="shared" si="125"/>
        <v>1089.4278211018641</v>
      </c>
      <c r="DT134" s="59">
        <f ca="1">AVERAGE(OFFSET($DS$3,0,0,'Données projet'!$E$14+1,1))-AVERAGE(OFFSET($H$3,0,0,'Données projet'!$E$14+1,1))</f>
        <v>602.02351907077332</v>
      </c>
      <c r="DU134" s="59">
        <f t="shared" si="152"/>
        <v>278.08067690827272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55.914726823182519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55.914726823182519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68.888850269172693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68.888850269172693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68.888850269172693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68.888850269172693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2.2000000000000002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8.0666666666666682</v>
      </c>
      <c r="H135" s="67">
        <f t="shared" si="110"/>
        <v>224.4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68.908126232843898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360.09035401555587</v>
      </c>
      <c r="T135" s="59">
        <f t="shared" si="142"/>
        <v>266.54879627869821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61.433242428486409</v>
      </c>
      <c r="AA135" s="21">
        <f>EXP(-LN(2)/25)*AA134+(1-EXP(-LN(2)/25))/(LN(2)/25)*Calculateur!V135*Calculateur!X135*VLOOKUP('Données projet'!$B$9,Paramètres!$A$1:$I$89,3,0)*0.475*44/12</f>
        <v>19.096621489649479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80.529863918135888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68.908126232843898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-2.8421709430404007E-14</v>
      </c>
      <c r="AJ135" s="13">
        <f>AI135*VLOOKUP('Données projet'!$B$10,Paramètres!$A$1:$I$89,3,0)*VLOOKUP('Données projet'!$B$10,Paramètres!$A$1:$I$89,5,0)</f>
        <v>-2.3942448024172337E-14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377.26246345103175</v>
      </c>
      <c r="AO135" s="59">
        <f t="shared" si="144"/>
        <v>258.25890564000258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115.72984449499316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115.72984449499316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68.908126232843898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2.2737367544323206E-13</v>
      </c>
      <c r="BE135" s="13">
        <f>BD135*VLOOKUP('Données projet'!$B$11,Paramètres!$A$1:$I$89,3,0)*VLOOKUP('Données projet'!$B$11,Paramètres!$A$1:$I$89,5,0)</f>
        <v>1.0049916454590858E-13</v>
      </c>
      <c r="BF135" s="13">
        <f t="shared" si="145"/>
        <v>1.5089081593838289E-12</v>
      </c>
      <c r="BG135" s="20">
        <f t="shared" si="115"/>
        <v>2.8030510891776262E-12</v>
      </c>
      <c r="BH135" s="59">
        <f t="shared" si="116"/>
        <v>289.32979618709709</v>
      </c>
      <c r="BI135" s="59">
        <f ca="1">AVERAGE(OFFSET($BH$3,0,0,'Données projet'!$E$11+1,1))-AVERAGE(OFFSET($H$3,0,0,'Données projet'!$E$11+1,1))</f>
        <v>333.23043896066253</v>
      </c>
      <c r="BJ135" s="59">
        <f t="shared" si="146"/>
        <v>440.63438368668983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39.661096474998359</v>
      </c>
      <c r="BQ135" s="21">
        <f>EXP(-LN(2)/25)*BQ134+(1-EXP(-LN(2)/25))/(LN(2)/25)*Calculateur!BL135*Calculateur!BN135*VLOOKUP('Données projet'!$B$11,Paramètres!$A$1:$I$89,3,0)*0.475*44/12</f>
        <v>15.94834082255448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55.609437297552837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68.908126232843898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1.1368683772161603E-13</v>
      </c>
      <c r="BZ135" s="13">
        <f>BY135*VLOOKUP('Données projet'!$B$12,Paramètres!$A$1:$I$89,3,0)*VLOOKUP('Données projet'!$B$12,Paramètres!$A$1:$I$89,5,0)</f>
        <v>4.5815795601811263E-14</v>
      </c>
      <c r="CA135" s="13">
        <f t="shared" si="147"/>
        <v>7.5374618042508364E-13</v>
      </c>
      <c r="CB135" s="20">
        <f t="shared" si="118"/>
        <v>1.392570441580175E-12</v>
      </c>
      <c r="CC135" s="59">
        <f t="shared" si="119"/>
        <v>289.32979618709567</v>
      </c>
      <c r="CD135" s="59">
        <f ca="1">AVERAGE(OFFSET($CC$3,0,0,'Données projet'!$E$12+1,1))-AVERAGE(OFFSET($H$3,0,0,'Données projet'!$E$12+1,1))</f>
        <v>177.34129362526608</v>
      </c>
      <c r="CE135" s="59">
        <f t="shared" si="148"/>
        <v>156.93407673501022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30.61842814107364</v>
      </c>
      <c r="CL135" s="21">
        <f>EXP(-LN(2)/25)*CL134+(1-EXP(-LN(2)/25))/(LN(2)/25)*Calculateur!CG135*Calculateur!CI135*VLOOKUP('Données projet'!$B$12,Paramètres!$A$1:$I$89,3,0)*0.475*44/12</f>
        <v>10.029331157755569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40.647759298829207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68.908126232843898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8.5265128291212022E-14</v>
      </c>
      <c r="CU135" s="17">
        <f>CT135*VLOOKUP('Données projet'!$B$13,Paramètres!$A$1:$I$89,3,0)*VLOOKUP('Données projet'!$B$13,Paramètres!$A$1:$I$89,5,0)</f>
        <v>5.5865712056402117E-14</v>
      </c>
      <c r="CV135" s="13">
        <f t="shared" si="149"/>
        <v>8.9811031843713517E-13</v>
      </c>
      <c r="CW135" s="20">
        <f t="shared" si="121"/>
        <v>1.6615082531095774E-12</v>
      </c>
      <c r="CX135" s="59">
        <f t="shared" si="122"/>
        <v>289.32979618709595</v>
      </c>
      <c r="CY135" s="59">
        <f ca="1">AVERAGE(OFFSET($CX$3,0,0,'Données projet'!$E$13+1,1))-AVERAGE(OFFSET($H$3,0,0,'Données projet'!$E$13+1,1))</f>
        <v>267.49254683294629</v>
      </c>
      <c r="CZ135" s="59">
        <f t="shared" si="150"/>
        <v>278.02595256967254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27.447833989539795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27.447833989539795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68.908126232843898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8.0699999999999985</v>
      </c>
      <c r="DO135" s="12">
        <f>IF('Données projet'!$A$166&gt;35,DO134+DN135-DW134,IF(A135&lt;'Données projet'!$A$166,$DL$205^A135,IF(A135='Données projet'!$A$166,'Données projet'!$B$166,DO134+DN135-DW134)))</f>
        <v>420.45000000000067</v>
      </c>
      <c r="DP135" s="17">
        <f>DO135*VLOOKUP('Données projet'!$B$14,Paramètres!$A$1:$I$89,3,0)*VLOOKUP('Données projet'!$B$14,Paramètres!$A$1:$I$89,5,0)</f>
        <v>380.42316000000056</v>
      </c>
      <c r="DQ135" s="13">
        <f t="shared" si="151"/>
        <v>87.79624480137376</v>
      </c>
      <c r="DR135" s="20">
        <f t="shared" si="124"/>
        <v>815.48213002906016</v>
      </c>
      <c r="DS135" s="59">
        <f t="shared" si="125"/>
        <v>1104.8119262161545</v>
      </c>
      <c r="DT135" s="59">
        <f ca="1">AVERAGE(OFFSET($DS$3,0,0,'Données projet'!$E$14+1,1))-AVERAGE(OFFSET($H$3,0,0,'Données projet'!$E$14+1,1))</f>
        <v>602.02351907077332</v>
      </c>
      <c r="DU135" s="59">
        <f t="shared" si="152"/>
        <v>278.08067690827272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54.818273134795724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54.818273134795724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68.908126232843898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68.908126232843898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68.908126232843898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68.908126232843898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2.2000000000000002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8.0666666666666682</v>
      </c>
      <c r="H136" s="67">
        <f t="shared" si="110"/>
        <v>224.4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68.927067801640021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360.09035401555587</v>
      </c>
      <c r="T136" s="59">
        <f t="shared" si="142"/>
        <v>266.54879627869821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60.228574015041758</v>
      </c>
      <c r="AA136" s="21">
        <f>EXP(-LN(2)/25)*AA135+(1-EXP(-LN(2)/25))/(LN(2)/25)*Calculateur!V136*Calculateur!X136*VLOOKUP('Données projet'!$B$9,Paramètres!$A$1:$I$89,3,0)*0.475*44/12</f>
        <v>18.574423370767335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78.802997385809093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68.927067801640021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-2.8421709430404007E-14</v>
      </c>
      <c r="AJ136" s="13">
        <f>AI136*VLOOKUP('Données projet'!$B$10,Paramètres!$A$1:$I$89,3,0)*VLOOKUP('Données projet'!$B$10,Paramètres!$A$1:$I$89,5,0)</f>
        <v>-2.3942448024172337E-14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377.26246345103175</v>
      </c>
      <c r="AO136" s="59">
        <f t="shared" si="144"/>
        <v>258.25890564000258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113.46045283268148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113.46045283268148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68.927067801640021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2.2737367544323206E-13</v>
      </c>
      <c r="BE136" s="13">
        <f>BD136*VLOOKUP('Données projet'!$B$11,Paramètres!$A$1:$I$89,3,0)*VLOOKUP('Données projet'!$B$11,Paramètres!$A$1:$I$89,5,0)</f>
        <v>1.0049916454590858E-13</v>
      </c>
      <c r="BF136" s="13">
        <f t="shared" si="145"/>
        <v>1.5089081593838289E-12</v>
      </c>
      <c r="BG136" s="20">
        <f t="shared" si="115"/>
        <v>2.8030510891776262E-12</v>
      </c>
      <c r="BH136" s="59">
        <f t="shared" si="116"/>
        <v>289.39924860601616</v>
      </c>
      <c r="BI136" s="59">
        <f ca="1">AVERAGE(OFFSET($BH$3,0,0,'Données projet'!$E$11+1,1))-AVERAGE(OFFSET($H$3,0,0,'Données projet'!$E$11+1,1))</f>
        <v>333.23043896066253</v>
      </c>
      <c r="BJ136" s="59">
        <f t="shared" si="146"/>
        <v>440.63438368668983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38.883366564003843</v>
      </c>
      <c r="BQ136" s="21">
        <f>EXP(-LN(2)/25)*BQ135+(1-EXP(-LN(2)/25))/(LN(2)/25)*Calculateur!BL136*Calculateur!BN136*VLOOKUP('Données projet'!$B$11,Paramètres!$A$1:$I$89,3,0)*0.475*44/12</f>
        <v>15.512232604074933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54.395599168078775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68.927067801640021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1.1368683772161603E-13</v>
      </c>
      <c r="BZ136" s="13">
        <f>BY136*VLOOKUP('Données projet'!$B$12,Paramètres!$A$1:$I$89,3,0)*VLOOKUP('Données projet'!$B$12,Paramètres!$A$1:$I$89,5,0)</f>
        <v>4.5815795601811263E-14</v>
      </c>
      <c r="CA136" s="13">
        <f t="shared" si="147"/>
        <v>7.5374618042508364E-13</v>
      </c>
      <c r="CB136" s="20">
        <f t="shared" si="118"/>
        <v>1.392570441580175E-12</v>
      </c>
      <c r="CC136" s="59">
        <f t="shared" si="119"/>
        <v>289.39924860601474</v>
      </c>
      <c r="CD136" s="59">
        <f ca="1">AVERAGE(OFFSET($CC$3,0,0,'Données projet'!$E$12+1,1))-AVERAGE(OFFSET($H$3,0,0,'Données projet'!$E$12+1,1))</f>
        <v>177.34129362526608</v>
      </c>
      <c r="CE136" s="59">
        <f t="shared" si="148"/>
        <v>156.93407673501022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30.018019440624311</v>
      </c>
      <c r="CL136" s="21">
        <f>EXP(-LN(2)/25)*CL135+(1-EXP(-LN(2)/25))/(LN(2)/25)*Calculateur!CG136*Calculateur!CI136*VLOOKUP('Données projet'!$B$12,Paramètres!$A$1:$I$89,3,0)*0.475*44/12</f>
        <v>9.7550785698271394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39.773098010451449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68.927067801640021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8.5265128291212022E-14</v>
      </c>
      <c r="CU136" s="17">
        <f>CT136*VLOOKUP('Données projet'!$B$13,Paramètres!$A$1:$I$89,3,0)*VLOOKUP('Données projet'!$B$13,Paramètres!$A$1:$I$89,5,0)</f>
        <v>5.5865712056402117E-14</v>
      </c>
      <c r="CV136" s="13">
        <f t="shared" si="149"/>
        <v>8.9811031843713517E-13</v>
      </c>
      <c r="CW136" s="20">
        <f t="shared" si="121"/>
        <v>1.6615082531095774E-12</v>
      </c>
      <c r="CX136" s="59">
        <f t="shared" si="122"/>
        <v>289.39924860601502</v>
      </c>
      <c r="CY136" s="59">
        <f ca="1">AVERAGE(OFFSET($CX$3,0,0,'Données projet'!$E$13+1,1))-AVERAGE(OFFSET($H$3,0,0,'Données projet'!$E$13+1,1))</f>
        <v>267.49254683294629</v>
      </c>
      <c r="CZ136" s="59">
        <f t="shared" si="150"/>
        <v>278.02595256967254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26.909598706530566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26.909598706530566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68.927067801640021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8.0699999999999985</v>
      </c>
      <c r="DO136" s="12">
        <f>IF('Données projet'!$A$166&gt;35,DO135+DN136-DW135,IF(A136&lt;'Données projet'!$A$166,$DL$205^A136,IF(A136='Données projet'!$A$166,'Données projet'!$B$166,DO135+DN136-DW135)))</f>
        <v>428.52000000000066</v>
      </c>
      <c r="DP136" s="17">
        <f>DO136*VLOOKUP('Données projet'!$B$14,Paramètres!$A$1:$I$89,3,0)*VLOOKUP('Données projet'!$B$14,Paramètres!$A$1:$I$89,5,0)</f>
        <v>387.72489600000057</v>
      </c>
      <c r="DQ136" s="13">
        <f t="shared" si="151"/>
        <v>89.283579978484866</v>
      </c>
      <c r="DR136" s="20">
        <f t="shared" si="124"/>
        <v>830.78976232919547</v>
      </c>
      <c r="DS136" s="59">
        <f t="shared" si="125"/>
        <v>1120.1890109352089</v>
      </c>
      <c r="DT136" s="59">
        <f ca="1">AVERAGE(OFFSET($DS$3,0,0,'Données projet'!$E$14+1,1))-AVERAGE(OFFSET($H$3,0,0,'Données projet'!$E$14+1,1))</f>
        <v>602.02351907077332</v>
      </c>
      <c r="DU136" s="59">
        <f t="shared" si="152"/>
        <v>278.08067690827272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53.743320234467475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53.743320234467475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68.927067801640021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68.927067801640021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68.927067801640021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68.927067801640021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2.2000000000000002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8.0666666666666682</v>
      </c>
      <c r="H137" s="67">
        <f t="shared" si="110"/>
        <v>224.4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68.945680776564515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360.09035401555587</v>
      </c>
      <c r="T137" s="59">
        <f t="shared" si="142"/>
        <v>266.54879627869821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59.047528414409577</v>
      </c>
      <c r="AA137" s="21">
        <f>EXP(-LN(2)/25)*AA136+(1-EXP(-LN(2)/25))/(LN(2)/25)*Calculateur!V137*Calculateur!X137*VLOOKUP('Données projet'!$B$9,Paramètres!$A$1:$I$89,3,0)*0.475*44/12</f>
        <v>18.066504786907227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77.114033201316801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68.945680776564515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-2.8421709430404007E-14</v>
      </c>
      <c r="AJ137" s="13">
        <f>AI137*VLOOKUP('Données projet'!$B$10,Paramètres!$A$1:$I$89,3,0)*VLOOKUP('Données projet'!$B$10,Paramètres!$A$1:$I$89,5,0)</f>
        <v>-2.3942448024172337E-14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377.26246345103175</v>
      </c>
      <c r="AO137" s="59">
        <f t="shared" si="144"/>
        <v>258.25890564000258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111.23556255667549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111.23556255667549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68.945680776564515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2.2737367544323206E-13</v>
      </c>
      <c r="BE137" s="13">
        <f>BD137*VLOOKUP('Données projet'!$B$11,Paramètres!$A$1:$I$89,3,0)*VLOOKUP('Données projet'!$B$11,Paramètres!$A$1:$I$89,5,0)</f>
        <v>1.0049916454590858E-13</v>
      </c>
      <c r="BF137" s="13">
        <f t="shared" si="145"/>
        <v>1.5089081593838289E-12</v>
      </c>
      <c r="BG137" s="20">
        <f t="shared" si="115"/>
        <v>2.8030510891776262E-12</v>
      </c>
      <c r="BH137" s="59">
        <f t="shared" si="116"/>
        <v>289.46749618073932</v>
      </c>
      <c r="BI137" s="59">
        <f ca="1">AVERAGE(OFFSET($BH$3,0,0,'Données projet'!$E$11+1,1))-AVERAGE(OFFSET($H$3,0,0,'Données projet'!$E$11+1,1))</f>
        <v>333.23043896066253</v>
      </c>
      <c r="BJ137" s="59">
        <f t="shared" si="146"/>
        <v>440.63438368668983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38.120887462195519</v>
      </c>
      <c r="BQ137" s="21">
        <f>EXP(-LN(2)/25)*BQ136+(1-EXP(-LN(2)/25))/(LN(2)/25)*Calculateur!BL137*Calculateur!BN137*VLOOKUP('Données projet'!$B$11,Paramètres!$A$1:$I$89,3,0)*0.475*44/12</f>
        <v>15.088049787763644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53.208937249959163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68.945680776564515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1.1368683772161603E-13</v>
      </c>
      <c r="BZ137" s="13">
        <f>BY137*VLOOKUP('Données projet'!$B$12,Paramètres!$A$1:$I$89,3,0)*VLOOKUP('Données projet'!$B$12,Paramètres!$A$1:$I$89,5,0)</f>
        <v>4.5815795601811263E-14</v>
      </c>
      <c r="CA137" s="13">
        <f t="shared" si="147"/>
        <v>7.5374618042508364E-13</v>
      </c>
      <c r="CB137" s="20">
        <f t="shared" si="118"/>
        <v>1.392570441580175E-12</v>
      </c>
      <c r="CC137" s="59">
        <f t="shared" si="119"/>
        <v>289.4674961807379</v>
      </c>
      <c r="CD137" s="59">
        <f ca="1">AVERAGE(OFFSET($CC$3,0,0,'Données projet'!$E$12+1,1))-AVERAGE(OFFSET($H$3,0,0,'Données projet'!$E$12+1,1))</f>
        <v>177.34129362526608</v>
      </c>
      <c r="CE137" s="59">
        <f t="shared" si="148"/>
        <v>156.93407673501022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29.429384388577645</v>
      </c>
      <c r="CL137" s="21">
        <f>EXP(-LN(2)/25)*CL136+(1-EXP(-LN(2)/25))/(LN(2)/25)*Calculateur!CG137*Calculateur!CI137*VLOOKUP('Données projet'!$B$12,Paramètres!$A$1:$I$89,3,0)*0.475*44/12</f>
        <v>9.4883254333379305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38.917709821915579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68.945680776564515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8.5265128291212022E-14</v>
      </c>
      <c r="CU137" s="17">
        <f>CT137*VLOOKUP('Données projet'!$B$13,Paramètres!$A$1:$I$89,3,0)*VLOOKUP('Données projet'!$B$13,Paramètres!$A$1:$I$89,5,0)</f>
        <v>5.5865712056402117E-14</v>
      </c>
      <c r="CV137" s="13">
        <f t="shared" si="149"/>
        <v>8.9811031843713517E-13</v>
      </c>
      <c r="CW137" s="20">
        <f t="shared" si="121"/>
        <v>1.6615082531095774E-12</v>
      </c>
      <c r="CX137" s="59">
        <f t="shared" si="122"/>
        <v>289.46749618073818</v>
      </c>
      <c r="CY137" s="59">
        <f ca="1">AVERAGE(OFFSET($CX$3,0,0,'Données projet'!$E$13+1,1))-AVERAGE(OFFSET($H$3,0,0,'Données projet'!$E$13+1,1))</f>
        <v>267.49254683294629</v>
      </c>
      <c r="CZ137" s="59">
        <f t="shared" si="150"/>
        <v>278.02595256967254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26.38191788913004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26.38191788913004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68.945680776564515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>
        <f>VLOOKUP(A137,'Données projet'!$A$165:$I$185,2,0)</f>
        <v>436.59</v>
      </c>
      <c r="DM137" s="12">
        <f>VLOOKUP(A137,'Données projet'!$A$165:$I$185,9,0)</f>
        <v>8.0699999999999985</v>
      </c>
      <c r="DN137" s="12">
        <f t="array" ref="DN137">INDEX(DM:DM,MIN(IF(ISNUMBER(DM137:DM333),ROW(DM137:DM333),"")))</f>
        <v>8.0699999999999985</v>
      </c>
      <c r="DO137" s="12">
        <f>IF('Données projet'!$A$166&gt;35,DO136+DN137-DW136,IF(A137&lt;'Données projet'!$A$166,$DL$205^A137,IF(A137='Données projet'!$A$166,'Données projet'!$B$166,DO136+DN137-DW136)))</f>
        <v>436.59000000000066</v>
      </c>
      <c r="DP137" s="17">
        <f>DO137*VLOOKUP('Données projet'!$B$14,Paramètres!$A$1:$I$89,3,0)*VLOOKUP('Données projet'!$B$14,Paramètres!$A$1:$I$89,5,0)</f>
        <v>395.02663200000057</v>
      </c>
      <c r="DQ137" s="13">
        <f t="shared" si="151"/>
        <v>90.767658172605465</v>
      </c>
      <c r="DR137" s="20">
        <f t="shared" si="124"/>
        <v>846.09172205062214</v>
      </c>
      <c r="DS137" s="59">
        <f t="shared" si="125"/>
        <v>1135.5592182313587</v>
      </c>
      <c r="DT137" s="59">
        <f ca="1">AVERAGE(OFFSET($DS$3,0,0,'Données projet'!$E$14+1,1))-AVERAGE(OFFSET($H$3,0,0,'Données projet'!$E$14+1,1))</f>
        <v>602.02351907077332</v>
      </c>
      <c r="DU137" s="59">
        <f t="shared" si="152"/>
        <v>278.08067690827272</v>
      </c>
      <c r="DV137" s="15">
        <f>IF(ISNA(VLOOKUP(A137,'Données projet'!$A$165:$I$185,3,0)),0,VLOOKUP(A137,'Données projet'!$A$165:$I$185,3,0))</f>
        <v>11</v>
      </c>
      <c r="DW137" s="15">
        <f>IF(ISNA(VLOOKUP(A137,'Données projet'!$A$165:$I$185,4,0)),0,VLOOKUP(A137,'Données projet'!$A$165:$I$185,4,0))</f>
        <v>54.95</v>
      </c>
      <c r="DX137" s="16">
        <f>IF(ISNA(VLOOKUP(A137,'Données projet'!$A$165:$I$185,5,0)),0%,VLOOKUP(A137,'Données projet'!$A$165:$I$185,5,0)*VLOOKUP('Données projet'!$B$14,Paramètres!$A$1:$I$89,7,0))</f>
        <v>0.25800000000000001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66.869801558531918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66.869801558531918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68.945680776564515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68.945680776564515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68.945680776564515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68.945680776564515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2.2000000000000002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8.0666666666666682</v>
      </c>
      <c r="H138" s="67">
        <f t="shared" si="110"/>
        <v>224.4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68.963970857986453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360.09035401555587</v>
      </c>
      <c r="T138" s="59">
        <f t="shared" si="142"/>
        <v>266.54879627869821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57.889642397639108</v>
      </c>
      <c r="AA138" s="21">
        <f>EXP(-LN(2)/25)*AA137+(1-EXP(-LN(2)/25))/(LN(2)/25)*Calculateur!V138*Calculateur!X138*VLOOKUP('Données projet'!$B$9,Paramètres!$A$1:$I$89,3,0)*0.475*44/12</f>
        <v>17.572475263433056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75.46211766107217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68.963970857986453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-2.8421709430404007E-14</v>
      </c>
      <c r="AJ138" s="13">
        <f>AI138*VLOOKUP('Données projet'!$B$10,Paramètres!$A$1:$I$89,3,0)*VLOOKUP('Données projet'!$B$10,Paramètres!$A$1:$I$89,5,0)</f>
        <v>-2.3942448024172337E-14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377.26246345103175</v>
      </c>
      <c r="AO138" s="59">
        <f t="shared" si="144"/>
        <v>258.25890564000258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109.05430102193291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109.05430102193291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68.963970857986453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2.2737367544323206E-13</v>
      </c>
      <c r="BE138" s="13">
        <f>BD138*VLOOKUP('Données projet'!$B$11,Paramètres!$A$1:$I$89,3,0)*VLOOKUP('Données projet'!$B$11,Paramètres!$A$1:$I$89,5,0)</f>
        <v>1.0049916454590858E-13</v>
      </c>
      <c r="BF138" s="13">
        <f t="shared" si="145"/>
        <v>1.5089081593838289E-12</v>
      </c>
      <c r="BG138" s="20">
        <f t="shared" si="115"/>
        <v>2.8030510891776262E-12</v>
      </c>
      <c r="BH138" s="59">
        <f t="shared" si="116"/>
        <v>289.53455981261982</v>
      </c>
      <c r="BI138" s="59">
        <f ca="1">AVERAGE(OFFSET($BH$3,0,0,'Données projet'!$E$11+1,1))-AVERAGE(OFFSET($H$3,0,0,'Données projet'!$E$11+1,1))</f>
        <v>333.23043896066253</v>
      </c>
      <c r="BJ138" s="59">
        <f t="shared" si="146"/>
        <v>440.63438368668983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37.373360110507328</v>
      </c>
      <c r="BQ138" s="21">
        <f>EXP(-LN(2)/25)*BQ137+(1-EXP(-LN(2)/25))/(LN(2)/25)*Calculateur!BL138*Calculateur!BN138*VLOOKUP('Données projet'!$B$11,Paramètres!$A$1:$I$89,3,0)*0.475*44/12</f>
        <v>14.675466272871194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52.048826383378525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68.963970857986453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1.1368683772161603E-13</v>
      </c>
      <c r="BZ138" s="13">
        <f>BY138*VLOOKUP('Données projet'!$B$12,Paramètres!$A$1:$I$89,3,0)*VLOOKUP('Données projet'!$B$12,Paramètres!$A$1:$I$89,5,0)</f>
        <v>4.5815795601811263E-14</v>
      </c>
      <c r="CA138" s="13">
        <f t="shared" si="147"/>
        <v>7.5374618042508364E-13</v>
      </c>
      <c r="CB138" s="20">
        <f t="shared" si="118"/>
        <v>1.392570441580175E-12</v>
      </c>
      <c r="CC138" s="59">
        <f t="shared" si="119"/>
        <v>289.5345598126184</v>
      </c>
      <c r="CD138" s="59">
        <f ca="1">AVERAGE(OFFSET($CC$3,0,0,'Données projet'!$E$12+1,1))-AVERAGE(OFFSET($H$3,0,0,'Données projet'!$E$12+1,1))</f>
        <v>177.34129362526608</v>
      </c>
      <c r="CE138" s="59">
        <f t="shared" si="148"/>
        <v>156.93407673501022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28.852292110869683</v>
      </c>
      <c r="CL138" s="21">
        <f>EXP(-LN(2)/25)*CL137+(1-EXP(-LN(2)/25))/(LN(2)/25)*Calculateur!CG138*Calculateur!CI138*VLOOKUP('Données projet'!$B$12,Paramètres!$A$1:$I$89,3,0)*0.475*44/12</f>
        <v>9.2288666753939559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38.081158786263643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68.963970857986453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8.5265128291212022E-14</v>
      </c>
      <c r="CU138" s="17">
        <f>CT138*VLOOKUP('Données projet'!$B$13,Paramètres!$A$1:$I$89,3,0)*VLOOKUP('Données projet'!$B$13,Paramètres!$A$1:$I$89,5,0)</f>
        <v>5.5865712056402117E-14</v>
      </c>
      <c r="CV138" s="13">
        <f t="shared" si="149"/>
        <v>8.9811031843713517E-13</v>
      </c>
      <c r="CW138" s="20">
        <f t="shared" si="121"/>
        <v>1.6615082531095774E-12</v>
      </c>
      <c r="CX138" s="59">
        <f t="shared" si="122"/>
        <v>289.53455981261868</v>
      </c>
      <c r="CY138" s="59">
        <f ca="1">AVERAGE(OFFSET($CX$3,0,0,'Données projet'!$E$13+1,1))-AVERAGE(OFFSET($H$3,0,0,'Données projet'!$E$13+1,1))</f>
        <v>267.49254683294629</v>
      </c>
      <c r="CZ138" s="59">
        <f t="shared" si="150"/>
        <v>278.02595256967254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25.864584570705222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25.864584570705222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68.963970857986453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8.1590000000000025</v>
      </c>
      <c r="DO138" s="12">
        <f>IF('Données projet'!$A$166&gt;35,DO137+DN138-DW137,IF(A138&lt;'Données projet'!$A$166,$DL$205^A138,IF(A138='Données projet'!$A$166,'Données projet'!$B$166,DO137+DN138-DW137)))</f>
        <v>389.79900000000066</v>
      </c>
      <c r="DP138" s="17">
        <f>DO138*VLOOKUP('Données projet'!$B$14,Paramètres!$A$1:$I$89,3,0)*VLOOKUP('Données projet'!$B$14,Paramètres!$A$1:$I$89,5,0)</f>
        <v>352.69013520000055</v>
      </c>
      <c r="DQ138" s="13">
        <f t="shared" si="151"/>
        <v>82.116190931394016</v>
      </c>
      <c r="DR138" s="20">
        <f t="shared" si="124"/>
        <v>757.28768467884549</v>
      </c>
      <c r="DS138" s="59">
        <f t="shared" si="125"/>
        <v>1046.8222444914625</v>
      </c>
      <c r="DT138" s="59">
        <f ca="1">AVERAGE(OFFSET($DS$3,0,0,'Données projet'!$E$14+1,1))-AVERAGE(OFFSET($H$3,0,0,'Données projet'!$E$14+1,1))</f>
        <v>602.02351907077332</v>
      </c>
      <c r="DU138" s="59">
        <f t="shared" si="152"/>
        <v>278.08067690827272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65.558525536520719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65.558525536520719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68.963970857986453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68.963970857986453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68.963970857986453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68.963970857986453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2.2000000000000002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8.0666666666666682</v>
      </c>
      <c r="H139" s="67">
        <f t="shared" si="110"/>
        <v>224.4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68.981943647386231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360.09035401555587</v>
      </c>
      <c r="T139" s="59">
        <f t="shared" si="142"/>
        <v>266.54879627869821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56.754461819416775</v>
      </c>
      <c r="AA139" s="21">
        <f>EXP(-LN(2)/25)*AA138+(1-EXP(-LN(2)/25))/(LN(2)/25)*Calculateur!V139*Calculateur!X139*VLOOKUP('Données projet'!$B$9,Paramètres!$A$1:$I$89,3,0)*0.475*44/12</f>
        <v>17.091955003258168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73.846416822674939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68.981943647386231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-2.8421709430404007E-14</v>
      </c>
      <c r="AJ139" s="13">
        <f>AI139*VLOOKUP('Données projet'!$B$10,Paramètres!$A$1:$I$89,3,0)*VLOOKUP('Données projet'!$B$10,Paramètres!$A$1:$I$89,5,0)</f>
        <v>-2.3942448024172337E-14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377.26246345103175</v>
      </c>
      <c r="AO139" s="59">
        <f t="shared" si="144"/>
        <v>258.25890564000258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106.91581269544847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106.91581269544847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68.981943647386231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2.2737367544323206E-13</v>
      </c>
      <c r="BE139" s="13">
        <f>BD139*VLOOKUP('Données projet'!$B$11,Paramètres!$A$1:$I$89,3,0)*VLOOKUP('Données projet'!$B$11,Paramètres!$A$1:$I$89,5,0)</f>
        <v>1.0049916454590858E-13</v>
      </c>
      <c r="BF139" s="13">
        <f t="shared" si="145"/>
        <v>1.5089081593838289E-12</v>
      </c>
      <c r="BG139" s="20">
        <f t="shared" si="115"/>
        <v>2.8030510891776262E-12</v>
      </c>
      <c r="BH139" s="59">
        <f t="shared" si="116"/>
        <v>289.60046004041897</v>
      </c>
      <c r="BI139" s="59">
        <f ca="1">AVERAGE(OFFSET($BH$3,0,0,'Données projet'!$E$11+1,1))-AVERAGE(OFFSET($H$3,0,0,'Données projet'!$E$11+1,1))</f>
        <v>333.23043896066253</v>
      </c>
      <c r="BJ139" s="59">
        <f t="shared" si="146"/>
        <v>440.63438368668983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36.640491314239078</v>
      </c>
      <c r="BQ139" s="21">
        <f>EXP(-LN(2)/25)*BQ138+(1-EXP(-LN(2)/25))/(LN(2)/25)*Calculateur!BL139*Calculateur!BN139*VLOOKUP('Données projet'!$B$11,Paramètres!$A$1:$I$89,3,0)*0.475*44/12</f>
        <v>14.274164875890301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50.914656190129378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68.981943647386231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1.1368683772161603E-13</v>
      </c>
      <c r="BZ139" s="13">
        <f>BY139*VLOOKUP('Données projet'!$B$12,Paramètres!$A$1:$I$89,3,0)*VLOOKUP('Données projet'!$B$12,Paramètres!$A$1:$I$89,5,0)</f>
        <v>4.5815795601811263E-14</v>
      </c>
      <c r="CA139" s="13">
        <f t="shared" si="147"/>
        <v>7.5374618042508364E-13</v>
      </c>
      <c r="CB139" s="20">
        <f t="shared" si="118"/>
        <v>1.392570441580175E-12</v>
      </c>
      <c r="CC139" s="59">
        <f t="shared" si="119"/>
        <v>289.60046004041754</v>
      </c>
      <c r="CD139" s="59">
        <f ca="1">AVERAGE(OFFSET($CC$3,0,0,'Données projet'!$E$12+1,1))-AVERAGE(OFFSET($H$3,0,0,'Données projet'!$E$12+1,1))</f>
        <v>177.34129362526608</v>
      </c>
      <c r="CE139" s="59">
        <f t="shared" si="148"/>
        <v>156.93407673501022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28.286516260736043</v>
      </c>
      <c r="CL139" s="21">
        <f>EXP(-LN(2)/25)*CL138+(1-EXP(-LN(2)/25))/(LN(2)/25)*Calculateur!CG139*Calculateur!CI139*VLOOKUP('Données projet'!$B$12,Paramètres!$A$1:$I$89,3,0)*0.475*44/12</f>
        <v>8.9765028308303023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37.263019091566349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68.981943647386231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8.5265128291212022E-14</v>
      </c>
      <c r="CU139" s="17">
        <f>CT139*VLOOKUP('Données projet'!$B$13,Paramètres!$A$1:$I$89,3,0)*VLOOKUP('Données projet'!$B$13,Paramètres!$A$1:$I$89,5,0)</f>
        <v>5.5865712056402117E-14</v>
      </c>
      <c r="CV139" s="13">
        <f t="shared" si="149"/>
        <v>8.9811031843713517E-13</v>
      </c>
      <c r="CW139" s="20">
        <f t="shared" si="121"/>
        <v>1.6615082531095774E-12</v>
      </c>
      <c r="CX139" s="59">
        <f t="shared" si="122"/>
        <v>289.60046004041783</v>
      </c>
      <c r="CY139" s="59">
        <f ca="1">AVERAGE(OFFSET($CX$3,0,0,'Données projet'!$E$13+1,1))-AVERAGE(OFFSET($H$3,0,0,'Données projet'!$E$13+1,1))</f>
        <v>267.49254683294629</v>
      </c>
      <c r="CZ139" s="59">
        <f t="shared" si="150"/>
        <v>278.02595256967254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25.357395843112545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25.357395843112545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68.981943647386231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8.1590000000000025</v>
      </c>
      <c r="DO139" s="12">
        <f>IF('Données projet'!$A$166&gt;35,DO138+DN139-DW138,IF(A139&lt;'Données projet'!$A$166,$DL$205^A139,IF(A139='Données projet'!$A$166,'Données projet'!$B$166,DO138+DN139-DW138)))</f>
        <v>397.95800000000065</v>
      </c>
      <c r="DP139" s="17">
        <f>DO139*VLOOKUP('Données projet'!$B$14,Paramètres!$A$1:$I$89,3,0)*VLOOKUP('Données projet'!$B$14,Paramètres!$A$1:$I$89,5,0)</f>
        <v>360.07239840000057</v>
      </c>
      <c r="DQ139" s="13">
        <f t="shared" si="151"/>
        <v>83.633085567444908</v>
      </c>
      <c r="DR139" s="20">
        <f t="shared" si="124"/>
        <v>772.78705124330099</v>
      </c>
      <c r="DS139" s="59">
        <f t="shared" si="125"/>
        <v>1062.3875112837172</v>
      </c>
      <c r="DT139" s="59">
        <f ca="1">AVERAGE(OFFSET($DS$3,0,0,'Données projet'!$E$14+1,1))-AVERAGE(OFFSET($H$3,0,0,'Données projet'!$E$14+1,1))</f>
        <v>602.02351907077332</v>
      </c>
      <c r="DU139" s="59">
        <f t="shared" si="152"/>
        <v>278.08067690827272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64.272962837501765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64.272962837501765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68.981943647386231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68.981943647386231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68.981943647386231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68.981943647386231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2.2000000000000002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8.0666666666666682</v>
      </c>
      <c r="H140" s="67">
        <f t="shared" si="110"/>
        <v>224.4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68.999604649071046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360.09035401555587</v>
      </c>
      <c r="T140" s="59">
        <f t="shared" si="142"/>
        <v>266.54879627869821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55.641541439941598</v>
      </c>
      <c r="AA140" s="21">
        <f>EXP(-LN(2)/25)*AA139+(1-EXP(-LN(2)/25))/(LN(2)/25)*Calculateur!V140*Calculateur!X140*VLOOKUP('Données projet'!$B$9,Paramètres!$A$1:$I$89,3,0)*0.475*44/12</f>
        <v>16.624574594867223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72.266116034808817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68.999604649071046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-2.8421709430404007E-14</v>
      </c>
      <c r="AJ140" s="13">
        <f>AI140*VLOOKUP('Données projet'!$B$10,Paramètres!$A$1:$I$89,3,0)*VLOOKUP('Données projet'!$B$10,Paramètres!$A$1:$I$89,5,0)</f>
        <v>-2.3942448024172337E-14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377.26246345103175</v>
      </c>
      <c r="AO140" s="59">
        <f t="shared" si="144"/>
        <v>258.25890564000258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104.8192588206973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104.8192588206973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68.999604649071046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2.2737367544323206E-13</v>
      </c>
      <c r="BE140" s="13">
        <f>BD140*VLOOKUP('Données projet'!$B$11,Paramètres!$A$1:$I$89,3,0)*VLOOKUP('Données projet'!$B$11,Paramètres!$A$1:$I$89,5,0)</f>
        <v>1.0049916454590858E-13</v>
      </c>
      <c r="BF140" s="13">
        <f t="shared" si="145"/>
        <v>1.5089081593838289E-12</v>
      </c>
      <c r="BG140" s="20">
        <f t="shared" si="115"/>
        <v>2.8030510891776262E-12</v>
      </c>
      <c r="BH140" s="59">
        <f t="shared" si="116"/>
        <v>289.66521704659664</v>
      </c>
      <c r="BI140" s="59">
        <f ca="1">AVERAGE(OFFSET($BH$3,0,0,'Données projet'!$E$11+1,1))-AVERAGE(OFFSET($H$3,0,0,'Données projet'!$E$11+1,1))</f>
        <v>333.23043896066253</v>
      </c>
      <c r="BJ140" s="59">
        <f t="shared" si="146"/>
        <v>440.63438368668983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35.921993628059823</v>
      </c>
      <c r="BQ140" s="21">
        <f>EXP(-LN(2)/25)*BQ139+(1-EXP(-LN(2)/25))/(LN(2)/25)*Calculateur!BL140*Calculateur!BN140*VLOOKUP('Données projet'!$B$11,Paramètres!$A$1:$I$89,3,0)*0.475*44/12</f>
        <v>13.883837086713374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49.805830714773194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68.999604649071046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1.1368683772161603E-13</v>
      </c>
      <c r="BZ140" s="13">
        <f>BY140*VLOOKUP('Données projet'!$B$12,Paramètres!$A$1:$I$89,3,0)*VLOOKUP('Données projet'!$B$12,Paramètres!$A$1:$I$89,5,0)</f>
        <v>4.5815795601811263E-14</v>
      </c>
      <c r="CA140" s="13">
        <f t="shared" si="147"/>
        <v>7.5374618042508364E-13</v>
      </c>
      <c r="CB140" s="20">
        <f t="shared" si="118"/>
        <v>1.392570441580175E-12</v>
      </c>
      <c r="CC140" s="59">
        <f t="shared" si="119"/>
        <v>289.66521704659522</v>
      </c>
      <c r="CD140" s="59">
        <f ca="1">AVERAGE(OFFSET($CC$3,0,0,'Données projet'!$E$12+1,1))-AVERAGE(OFFSET($H$3,0,0,'Données projet'!$E$12+1,1))</f>
        <v>177.34129362526608</v>
      </c>
      <c r="CE140" s="59">
        <f t="shared" si="148"/>
        <v>156.93407673501022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27.73183492993433</v>
      </c>
      <c r="CL140" s="21">
        <f>EXP(-LN(2)/25)*CL139+(1-EXP(-LN(2)/25))/(LN(2)/25)*Calculateur!CG140*Calculateur!CI140*VLOOKUP('Données projet'!$B$12,Paramètres!$A$1:$I$89,3,0)*0.475*44/12</f>
        <v>8.7310398888674801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36.462874818801808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68.999604649071046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8.5265128291212022E-14</v>
      </c>
      <c r="CU140" s="17">
        <f>CT140*VLOOKUP('Données projet'!$B$13,Paramètres!$A$1:$I$89,3,0)*VLOOKUP('Données projet'!$B$13,Paramètres!$A$1:$I$89,5,0)</f>
        <v>5.5865712056402117E-14</v>
      </c>
      <c r="CV140" s="13">
        <f t="shared" si="149"/>
        <v>8.9811031843713517E-13</v>
      </c>
      <c r="CW140" s="20">
        <f t="shared" si="121"/>
        <v>1.6615082531095774E-12</v>
      </c>
      <c r="CX140" s="59">
        <f t="shared" si="122"/>
        <v>289.6652170465955</v>
      </c>
      <c r="CY140" s="59">
        <f ca="1">AVERAGE(OFFSET($CX$3,0,0,'Données projet'!$E$13+1,1))-AVERAGE(OFFSET($H$3,0,0,'Données projet'!$E$13+1,1))</f>
        <v>267.49254683294629</v>
      </c>
      <c r="CZ140" s="59">
        <f t="shared" si="150"/>
        <v>278.02595256967254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24.860152777113385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24.860152777113385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68.999604649071046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8.1590000000000025</v>
      </c>
      <c r="DO140" s="12">
        <f>IF('Données projet'!$A$166&gt;35,DO139+DN140-DW139,IF(A140&lt;'Données projet'!$A$166,$DL$205^A140,IF(A140='Données projet'!$A$166,'Données projet'!$B$166,DO139+DN140-DW139)))</f>
        <v>406.11700000000064</v>
      </c>
      <c r="DP140" s="17">
        <f>DO140*VLOOKUP('Données projet'!$B$14,Paramètres!$A$1:$I$89,3,0)*VLOOKUP('Données projet'!$B$14,Paramètres!$A$1:$I$89,5,0)</f>
        <v>367.45466160000058</v>
      </c>
      <c r="DQ140" s="13">
        <f t="shared" si="151"/>
        <v>85.146364255773364</v>
      </c>
      <c r="DR140" s="20">
        <f t="shared" si="124"/>
        <v>788.28012003213962</v>
      </c>
      <c r="DS140" s="59">
        <f t="shared" si="125"/>
        <v>1077.9453370787335</v>
      </c>
      <c r="DT140" s="59">
        <f ca="1">AVERAGE(OFFSET($DS$3,0,0,'Données projet'!$E$14+1,1))-AVERAGE(OFFSET($H$3,0,0,'Données projet'!$E$14+1,1))</f>
        <v>602.02351907077332</v>
      </c>
      <c r="DU140" s="59">
        <f t="shared" si="152"/>
        <v>278.08067690827272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63.012609238894747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63.012609238894747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68.999604649071046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68.999604649071046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68.999604649071046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68.999604649071046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2.2000000000000002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8.0666666666666682</v>
      </c>
      <c r="H141" s="67">
        <f t="shared" si="110"/>
        <v>224.4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69.016959271860713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360.09035401555587</v>
      </c>
      <c r="T141" s="59">
        <f t="shared" si="142"/>
        <v>266.54879627869821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54.550444750293522</v>
      </c>
      <c r="AA141" s="21">
        <f>EXP(-LN(2)/25)*AA140+(1-EXP(-LN(2)/25))/(LN(2)/25)*Calculateur!V141*Calculateur!X141*VLOOKUP('Données projet'!$B$9,Paramètres!$A$1:$I$89,3,0)*0.475*44/12</f>
        <v>16.169974728322195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70.720419478615725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69.016959271860713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-2.8421709430404007E-14</v>
      </c>
      <c r="AJ141" s="13">
        <f>AI141*VLOOKUP('Données projet'!$B$10,Paramètres!$A$1:$I$89,3,0)*VLOOKUP('Données projet'!$B$10,Paramètres!$A$1:$I$89,5,0)</f>
        <v>-2.3942448024172337E-14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377.26246345103175</v>
      </c>
      <c r="AO141" s="59">
        <f t="shared" si="144"/>
        <v>258.25890564000258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102.7638170886584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102.7638170886584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69.016959271860713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2.2737367544323206E-13</v>
      </c>
      <c r="BE141" s="13">
        <f>BD141*VLOOKUP('Données projet'!$B$11,Paramètres!$A$1:$I$89,3,0)*VLOOKUP('Données projet'!$B$11,Paramètres!$A$1:$I$89,5,0)</f>
        <v>1.0049916454590858E-13</v>
      </c>
      <c r="BF141" s="13">
        <f t="shared" si="145"/>
        <v>1.5089081593838289E-12</v>
      </c>
      <c r="BG141" s="20">
        <f t="shared" si="115"/>
        <v>2.8030510891776262E-12</v>
      </c>
      <c r="BH141" s="59">
        <f t="shared" si="116"/>
        <v>289.72885066349204</v>
      </c>
      <c r="BI141" s="59">
        <f ca="1">AVERAGE(OFFSET($BH$3,0,0,'Données projet'!$E$11+1,1))-AVERAGE(OFFSET($H$3,0,0,'Données projet'!$E$11+1,1))</f>
        <v>333.23043896066253</v>
      </c>
      <c r="BJ141" s="59">
        <f t="shared" si="146"/>
        <v>440.63438368668983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35.217585243266228</v>
      </c>
      <c r="BQ141" s="21">
        <f>EXP(-LN(2)/25)*BQ140+(1-EXP(-LN(2)/25))/(LN(2)/25)*Calculateur!BL141*Calculateur!BN141*VLOOKUP('Données projet'!$B$11,Paramètres!$A$1:$I$89,3,0)*0.475*44/12</f>
        <v>13.504182831457936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48.721768074724167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69.016959271860713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1.1368683772161603E-13</v>
      </c>
      <c r="BZ141" s="13">
        <f>BY141*VLOOKUP('Données projet'!$B$12,Paramètres!$A$1:$I$89,3,0)*VLOOKUP('Données projet'!$B$12,Paramètres!$A$1:$I$89,5,0)</f>
        <v>4.5815795601811263E-14</v>
      </c>
      <c r="CA141" s="13">
        <f t="shared" si="147"/>
        <v>7.5374618042508364E-13</v>
      </c>
      <c r="CB141" s="20">
        <f t="shared" si="118"/>
        <v>1.392570441580175E-12</v>
      </c>
      <c r="CC141" s="59">
        <f t="shared" si="119"/>
        <v>289.72885066349062</v>
      </c>
      <c r="CD141" s="59">
        <f ca="1">AVERAGE(OFFSET($CC$3,0,0,'Données projet'!$E$12+1,1))-AVERAGE(OFFSET($H$3,0,0,'Données projet'!$E$12+1,1))</f>
        <v>177.34129362526608</v>
      </c>
      <c r="CE141" s="59">
        <f t="shared" si="148"/>
        <v>156.93407673501022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27.188030561707432</v>
      </c>
      <c r="CL141" s="21">
        <f>EXP(-LN(2)/25)*CL140+(1-EXP(-LN(2)/25))/(LN(2)/25)*Calculateur!CG141*Calculateur!CI141*VLOOKUP('Données projet'!$B$12,Paramètres!$A$1:$I$89,3,0)*0.475*44/12</f>
        <v>8.4922891439609653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35.680319705668396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69.016959271860713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8.5265128291212022E-14</v>
      </c>
      <c r="CU141" s="17">
        <f>CT141*VLOOKUP('Données projet'!$B$13,Paramètres!$A$1:$I$89,3,0)*VLOOKUP('Données projet'!$B$13,Paramètres!$A$1:$I$89,5,0)</f>
        <v>5.5865712056402117E-14</v>
      </c>
      <c r="CV141" s="13">
        <f t="shared" si="149"/>
        <v>8.9811031843713517E-13</v>
      </c>
      <c r="CW141" s="20">
        <f t="shared" si="121"/>
        <v>1.6615082531095774E-12</v>
      </c>
      <c r="CX141" s="59">
        <f t="shared" si="122"/>
        <v>289.7288506634909</v>
      </c>
      <c r="CY141" s="59">
        <f ca="1">AVERAGE(OFFSET($CX$3,0,0,'Données projet'!$E$13+1,1))-AVERAGE(OFFSET($H$3,0,0,'Données projet'!$E$13+1,1))</f>
        <v>267.49254683294629</v>
      </c>
      <c r="CZ141" s="59">
        <f t="shared" si="150"/>
        <v>278.02595256967254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24.372660344350145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24.372660344350145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69.016959271860713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8.1590000000000025</v>
      </c>
      <c r="DO141" s="12">
        <f>IF('Données projet'!$A$166&gt;35,DO140+DN141-DW140,IF(A141&lt;'Données projet'!$A$166,$DL$205^A141,IF(A141='Données projet'!$A$166,'Données projet'!$B$166,DO140+DN141-DW140)))</f>
        <v>414.27600000000064</v>
      </c>
      <c r="DP141" s="17">
        <f>DO141*VLOOKUP('Données projet'!$B$14,Paramètres!$A$1:$I$89,3,0)*VLOOKUP('Données projet'!$B$14,Paramètres!$A$1:$I$89,5,0)</f>
        <v>374.83692480000053</v>
      </c>
      <c r="DQ141" s="13">
        <f t="shared" si="151"/>
        <v>86.656108013910185</v>
      </c>
      <c r="DR141" s="20">
        <f t="shared" si="124"/>
        <v>803.76703215089447</v>
      </c>
      <c r="DS141" s="59">
        <f t="shared" si="125"/>
        <v>1093.4958828143838</v>
      </c>
      <c r="DT141" s="59">
        <f ca="1">AVERAGE(OFFSET($DS$3,0,0,'Données projet'!$E$14+1,1))-AVERAGE(OFFSET($H$3,0,0,'Données projet'!$E$14+1,1))</f>
        <v>602.02351907077332</v>
      </c>
      <c r="DU141" s="59">
        <f t="shared" si="152"/>
        <v>278.08067690827272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61.776970405616623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61.776970405616623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69.016959271860713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69.016959271860713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69.016959271860713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69.016959271860713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2.2000000000000002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8.0666666666666682</v>
      </c>
      <c r="H142" s="67">
        <f t="shared" si="110"/>
        <v>224.4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69.034012830744118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360.09035401555587</v>
      </c>
      <c r="T142" s="59">
        <f t="shared" si="142"/>
        <v>266.54879627869821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53.480743801226176</v>
      </c>
      <c r="AA142" s="21">
        <f>EXP(-LN(2)/25)*AA141+(1-EXP(-LN(2)/25))/(LN(2)/25)*Calculateur!V142*Calculateur!X142*VLOOKUP('Données projet'!$B$9,Paramètres!$A$1:$I$89,3,0)*0.475*44/12</f>
        <v>15.727805919034211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69.208549720260379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69.034012830744118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-2.8421709430404007E-14</v>
      </c>
      <c r="AJ142" s="13">
        <f>AI142*VLOOKUP('Données projet'!$B$10,Paramètres!$A$1:$I$89,3,0)*VLOOKUP('Données projet'!$B$10,Paramètres!$A$1:$I$89,5,0)</f>
        <v>-2.3942448024172337E-14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377.26246345103175</v>
      </c>
      <c r="AO142" s="59">
        <f t="shared" si="144"/>
        <v>258.25890564000258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100.74868131528912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100.74868131528912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69.034012830744118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2.2737367544323206E-13</v>
      </c>
      <c r="BE142" s="13">
        <f>BD142*VLOOKUP('Données projet'!$B$11,Paramètres!$A$1:$I$89,3,0)*VLOOKUP('Données projet'!$B$11,Paramètres!$A$1:$I$89,5,0)</f>
        <v>1.0049916454590858E-13</v>
      </c>
      <c r="BF142" s="13">
        <f t="shared" si="145"/>
        <v>1.5089081593838289E-12</v>
      </c>
      <c r="BG142" s="20">
        <f t="shared" si="115"/>
        <v>2.8030510891776262E-12</v>
      </c>
      <c r="BH142" s="59">
        <f t="shared" si="116"/>
        <v>289.79138037939788</v>
      </c>
      <c r="BI142" s="59">
        <f ca="1">AVERAGE(OFFSET($BH$3,0,0,'Données projet'!$E$11+1,1))-AVERAGE(OFFSET($H$3,0,0,'Données projet'!$E$11+1,1))</f>
        <v>333.23043896066253</v>
      </c>
      <c r="BJ142" s="59">
        <f t="shared" si="146"/>
        <v>440.63438368668983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34.526989877251744</v>
      </c>
      <c r="BQ142" s="21">
        <f>EXP(-LN(2)/25)*BQ141+(1-EXP(-LN(2)/25))/(LN(2)/25)*Calculateur!BL142*Calculateur!BN142*VLOOKUP('Données projet'!$B$11,Paramètres!$A$1:$I$89,3,0)*0.475*44/12</f>
        <v>13.134910241777607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47.661900119029355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69.034012830744118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1.1368683772161603E-13</v>
      </c>
      <c r="BZ142" s="13">
        <f>BY142*VLOOKUP('Données projet'!$B$12,Paramètres!$A$1:$I$89,3,0)*VLOOKUP('Données projet'!$B$12,Paramètres!$A$1:$I$89,5,0)</f>
        <v>4.5815795601811263E-14</v>
      </c>
      <c r="CA142" s="13">
        <f t="shared" si="147"/>
        <v>7.5374618042508364E-13</v>
      </c>
      <c r="CB142" s="20">
        <f t="shared" si="118"/>
        <v>1.392570441580175E-12</v>
      </c>
      <c r="CC142" s="59">
        <f t="shared" si="119"/>
        <v>289.79138037939646</v>
      </c>
      <c r="CD142" s="59">
        <f ca="1">AVERAGE(OFFSET($CC$3,0,0,'Données projet'!$E$12+1,1))-AVERAGE(OFFSET($H$3,0,0,'Données projet'!$E$12+1,1))</f>
        <v>177.34129362526608</v>
      </c>
      <c r="CE142" s="59">
        <f t="shared" si="148"/>
        <v>156.93407673501022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26.654889865453551</v>
      </c>
      <c r="CL142" s="21">
        <f>EXP(-LN(2)/25)*CL141+(1-EXP(-LN(2)/25))/(LN(2)/25)*Calculateur!CG142*Calculateur!CI142*VLOOKUP('Données projet'!$B$12,Paramètres!$A$1:$I$89,3,0)*0.475*44/12</f>
        <v>8.2600670507292762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34.914956916182831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69.034012830744118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8.5265128291212022E-14</v>
      </c>
      <c r="CU142" s="17">
        <f>CT142*VLOOKUP('Données projet'!$B$13,Paramètres!$A$1:$I$89,3,0)*VLOOKUP('Données projet'!$B$13,Paramètres!$A$1:$I$89,5,0)</f>
        <v>5.5865712056402117E-14</v>
      </c>
      <c r="CV142" s="13">
        <f t="shared" si="149"/>
        <v>8.9811031843713517E-13</v>
      </c>
      <c r="CW142" s="20">
        <f t="shared" si="121"/>
        <v>1.6615082531095774E-12</v>
      </c>
      <c r="CX142" s="59">
        <f t="shared" si="122"/>
        <v>289.79138037939674</v>
      </c>
      <c r="CY142" s="59">
        <f ca="1">AVERAGE(OFFSET($CX$3,0,0,'Données projet'!$E$13+1,1))-AVERAGE(OFFSET($H$3,0,0,'Données projet'!$E$13+1,1))</f>
        <v>267.49254683294629</v>
      </c>
      <c r="CZ142" s="59">
        <f t="shared" si="150"/>
        <v>278.02595256967254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23.894727340852366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23.894727340852366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69.034012830744118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8.1590000000000025</v>
      </c>
      <c r="DO142" s="12">
        <f>IF('Données projet'!$A$166&gt;35,DO141+DN142-DW141,IF(A142&lt;'Données projet'!$A$166,$DL$205^A142,IF(A142='Données projet'!$A$166,'Données projet'!$B$166,DO141+DN142-DW141)))</f>
        <v>422.43500000000063</v>
      </c>
      <c r="DP142" s="17">
        <f>DO142*VLOOKUP('Données projet'!$B$14,Paramètres!$A$1:$I$89,3,0)*VLOOKUP('Données projet'!$B$14,Paramètres!$A$1:$I$89,5,0)</f>
        <v>382.21918800000054</v>
      </c>
      <c r="DQ142" s="13">
        <f t="shared" si="151"/>
        <v>88.162394485655341</v>
      </c>
      <c r="DR142" s="20">
        <f t="shared" si="124"/>
        <v>819.24792282918395</v>
      </c>
      <c r="DS142" s="59">
        <f t="shared" si="125"/>
        <v>1109.039303208579</v>
      </c>
      <c r="DT142" s="59">
        <f ca="1">AVERAGE(OFFSET($DS$3,0,0,'Données projet'!$E$14+1,1))-AVERAGE(OFFSET($H$3,0,0,'Données projet'!$E$14+1,1))</f>
        <v>602.02351907077332</v>
      </c>
      <c r="DU142" s="59">
        <f t="shared" si="152"/>
        <v>278.08067690827272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60.565561696193818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60.565561696193818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69.034012830744118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69.034012830744118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69.034012830744118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69.034012830744118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2.2000000000000002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8.0666666666666682</v>
      </c>
      <c r="H143" s="67">
        <f t="shared" si="110"/>
        <v>224.4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69.050770548506932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360.09035401555587</v>
      </c>
      <c r="T143" s="59">
        <f t="shared" si="142"/>
        <v>266.54879627869821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52.432019035316891</v>
      </c>
      <c r="AA143" s="21">
        <f>EXP(-LN(2)/25)*AA142+(1-EXP(-LN(2)/25))/(LN(2)/25)*Calculateur!V143*Calculateur!X143*VLOOKUP('Données projet'!$B$9,Paramètres!$A$1:$I$89,3,0)*0.475*44/12</f>
        <v>15.297728239088853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67.729747274405739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69.050770548506932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-2.8421709430404007E-14</v>
      </c>
      <c r="AJ143" s="13">
        <f>AI143*VLOOKUP('Données projet'!$B$10,Paramètres!$A$1:$I$89,3,0)*VLOOKUP('Données projet'!$B$10,Paramètres!$A$1:$I$89,5,0)</f>
        <v>-2.3942448024172337E-14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377.26246345103175</v>
      </c>
      <c r="AO143" s="59">
        <f t="shared" si="144"/>
        <v>258.25890564000258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98.773061125324162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98.773061125324162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69.050770548506932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2.2737367544323206E-13</v>
      </c>
      <c r="BE143" s="13">
        <f>BD143*VLOOKUP('Données projet'!$B$11,Paramètres!$A$1:$I$89,3,0)*VLOOKUP('Données projet'!$B$11,Paramètres!$A$1:$I$89,5,0)</f>
        <v>1.0049916454590858E-13</v>
      </c>
      <c r="BF143" s="13">
        <f t="shared" si="145"/>
        <v>1.5089081593838289E-12</v>
      </c>
      <c r="BG143" s="20">
        <f t="shared" si="115"/>
        <v>2.8030510891776262E-12</v>
      </c>
      <c r="BH143" s="59">
        <f t="shared" si="116"/>
        <v>289.85282534452818</v>
      </c>
      <c r="BI143" s="59">
        <f ca="1">AVERAGE(OFFSET($BH$3,0,0,'Données projet'!$E$11+1,1))-AVERAGE(OFFSET($H$3,0,0,'Données projet'!$E$11+1,1))</f>
        <v>333.23043896066253</v>
      </c>
      <c r="BJ143" s="59">
        <f t="shared" si="146"/>
        <v>440.63438368668983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33.849936665143218</v>
      </c>
      <c r="BQ143" s="21">
        <f>EXP(-LN(2)/25)*BQ142+(1-EXP(-LN(2)/25))/(LN(2)/25)*Calculateur!BL143*Calculateur!BN143*VLOOKUP('Données projet'!$B$11,Paramètres!$A$1:$I$89,3,0)*0.475*44/12</f>
        <v>12.775735430481289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46.625672095624509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69.050770548506932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1.1368683772161603E-13</v>
      </c>
      <c r="BZ143" s="13">
        <f>BY143*VLOOKUP('Données projet'!$B$12,Paramètres!$A$1:$I$89,3,0)*VLOOKUP('Données projet'!$B$12,Paramètres!$A$1:$I$89,5,0)</f>
        <v>4.5815795601811263E-14</v>
      </c>
      <c r="CA143" s="13">
        <f t="shared" si="147"/>
        <v>7.5374618042508364E-13</v>
      </c>
      <c r="CB143" s="20">
        <f t="shared" si="118"/>
        <v>1.392570441580175E-12</v>
      </c>
      <c r="CC143" s="59">
        <f t="shared" si="119"/>
        <v>289.85282534452676</v>
      </c>
      <c r="CD143" s="59">
        <f ca="1">AVERAGE(OFFSET($CC$3,0,0,'Données projet'!$E$12+1,1))-AVERAGE(OFFSET($H$3,0,0,'Données projet'!$E$12+1,1))</f>
        <v>177.34129362526608</v>
      </c>
      <c r="CE143" s="59">
        <f t="shared" si="148"/>
        <v>156.93407673501022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26.132203733069492</v>
      </c>
      <c r="CL143" s="21">
        <f>EXP(-LN(2)/25)*CL142+(1-EXP(-LN(2)/25))/(LN(2)/25)*Calculateur!CG143*Calculateur!CI143*VLOOKUP('Données projet'!$B$12,Paramètres!$A$1:$I$89,3,0)*0.475*44/12</f>
        <v>8.0341950828490365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34.166398815918527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69.050770548506932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8.5265128291212022E-14</v>
      </c>
      <c r="CU143" s="17">
        <f>CT143*VLOOKUP('Données projet'!$B$13,Paramètres!$A$1:$I$89,3,0)*VLOOKUP('Données projet'!$B$13,Paramètres!$A$1:$I$89,5,0)</f>
        <v>5.5865712056402117E-14</v>
      </c>
      <c r="CV143" s="13">
        <f t="shared" si="149"/>
        <v>8.9811031843713517E-13</v>
      </c>
      <c r="CW143" s="20">
        <f t="shared" si="121"/>
        <v>1.6615082531095774E-12</v>
      </c>
      <c r="CX143" s="59">
        <f t="shared" si="122"/>
        <v>289.85282534452705</v>
      </c>
      <c r="CY143" s="59">
        <f ca="1">AVERAGE(OFFSET($CX$3,0,0,'Données projet'!$E$13+1,1))-AVERAGE(OFFSET($H$3,0,0,'Données projet'!$E$13+1,1))</f>
        <v>267.49254683294629</v>
      </c>
      <c r="CZ143" s="59">
        <f t="shared" si="150"/>
        <v>278.02595256967254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23.426166312042831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23.426166312042831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69.050770548506932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8.1590000000000025</v>
      </c>
      <c r="DO143" s="12">
        <f>IF('Données projet'!$A$166&gt;35,DO142+DN143-DW142,IF(A143&lt;'Données projet'!$A$166,$DL$205^A143,IF(A143='Données projet'!$A$166,'Données projet'!$B$166,DO142+DN143-DW142)))</f>
        <v>430.59400000000062</v>
      </c>
      <c r="DP143" s="17">
        <f>DO143*VLOOKUP('Données projet'!$B$14,Paramètres!$A$1:$I$89,3,0)*VLOOKUP('Données projet'!$B$14,Paramètres!$A$1:$I$89,5,0)</f>
        <v>389.60145120000055</v>
      </c>
      <c r="DQ143" s="13">
        <f t="shared" si="151"/>
        <v>89.665298143968485</v>
      </c>
      <c r="DR143" s="20">
        <f t="shared" si="124"/>
        <v>834.72292177407928</v>
      </c>
      <c r="DS143" s="59">
        <f t="shared" si="125"/>
        <v>1124.5757471186048</v>
      </c>
      <c r="DT143" s="59">
        <f ca="1">AVERAGE(OFFSET($DS$3,0,0,'Données projet'!$E$14+1,1))-AVERAGE(OFFSET($H$3,0,0,'Données projet'!$E$14+1,1))</f>
        <v>602.02351907077332</v>
      </c>
      <c r="DU143" s="59">
        <f t="shared" si="152"/>
        <v>278.08067690827272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59.377907972676439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59.377907972676439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69.050770548506932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69.050770548506932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69.050770548506932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69.050770548506932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2.2000000000000002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8.0666666666666682</v>
      </c>
      <c r="H144" s="67">
        <f t="shared" si="110"/>
        <v>224.4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69.067237557331197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360.09035401555587</v>
      </c>
      <c r="T144" s="59">
        <f t="shared" si="142"/>
        <v>266.54879627869821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51.403859122408136</v>
      </c>
      <c r="AA144" s="21">
        <f>EXP(-LN(2)/25)*AA143+(1-EXP(-LN(2)/25))/(LN(2)/25)*Calculateur!V144*Calculateur!X144*VLOOKUP('Données projet'!$B$9,Paramètres!$A$1:$I$89,3,0)*0.475*44/12</f>
        <v>14.879411055918403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66.283270178326546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69.067237557331197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-2.8421709430404007E-14</v>
      </c>
      <c r="AJ144" s="13">
        <f>AI144*VLOOKUP('Données projet'!$B$10,Paramètres!$A$1:$I$89,3,0)*VLOOKUP('Données projet'!$B$10,Paramètres!$A$1:$I$89,5,0)</f>
        <v>-2.3942448024172337E-14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377.26246345103175</v>
      </c>
      <c r="AO144" s="59">
        <f t="shared" si="144"/>
        <v>258.25890564000258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96.836181642275079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96.836181642275079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69.067237557331197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2.2737367544323206E-13</v>
      </c>
      <c r="BE144" s="13">
        <f>BD144*VLOOKUP('Données projet'!$B$11,Paramètres!$A$1:$I$89,3,0)*VLOOKUP('Données projet'!$B$11,Paramètres!$A$1:$I$89,5,0)</f>
        <v>1.0049916454590858E-13</v>
      </c>
      <c r="BF144" s="13">
        <f t="shared" si="145"/>
        <v>1.5089081593838289E-12</v>
      </c>
      <c r="BG144" s="20">
        <f t="shared" si="115"/>
        <v>2.8030510891776262E-12</v>
      </c>
      <c r="BH144" s="59">
        <f t="shared" si="116"/>
        <v>289.91320437688387</v>
      </c>
      <c r="BI144" s="59">
        <f ca="1">AVERAGE(OFFSET($BH$3,0,0,'Données projet'!$E$11+1,1))-AVERAGE(OFFSET($H$3,0,0,'Données projet'!$E$11+1,1))</f>
        <v>333.23043896066253</v>
      </c>
      <c r="BJ144" s="59">
        <f t="shared" si="146"/>
        <v>440.63438368668983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33.18616005356246</v>
      </c>
      <c r="BQ144" s="21">
        <f>EXP(-LN(2)/25)*BQ143+(1-EXP(-LN(2)/25))/(LN(2)/25)*Calculateur!BL144*Calculateur!BN144*VLOOKUP('Données projet'!$B$11,Paramètres!$A$1:$I$89,3,0)*0.475*44/12</f>
        <v>12.42638227328805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45.612542326850509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69.067237557331197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1.1368683772161603E-13</v>
      </c>
      <c r="BZ144" s="13">
        <f>BY144*VLOOKUP('Données projet'!$B$12,Paramètres!$A$1:$I$89,3,0)*VLOOKUP('Données projet'!$B$12,Paramètres!$A$1:$I$89,5,0)</f>
        <v>4.5815795601811263E-14</v>
      </c>
      <c r="CA144" s="13">
        <f t="shared" si="147"/>
        <v>7.5374618042508364E-13</v>
      </c>
      <c r="CB144" s="20">
        <f t="shared" si="118"/>
        <v>1.392570441580175E-12</v>
      </c>
      <c r="CC144" s="59">
        <f t="shared" si="119"/>
        <v>289.91320437688245</v>
      </c>
      <c r="CD144" s="59">
        <f ca="1">AVERAGE(OFFSET($CC$3,0,0,'Données projet'!$E$12+1,1))-AVERAGE(OFFSET($H$3,0,0,'Données projet'!$E$12+1,1))</f>
        <v>177.34129362526608</v>
      </c>
      <c r="CE144" s="59">
        <f t="shared" si="148"/>
        <v>156.93407673501022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25.619767156934422</v>
      </c>
      <c r="CL144" s="21">
        <f>EXP(-LN(2)/25)*CL143+(1-EXP(-LN(2)/25))/(LN(2)/25)*Calculateur!CG144*Calculateur!CI144*VLOOKUP('Données projet'!$B$12,Paramètres!$A$1:$I$89,3,0)*0.475*44/12</f>
        <v>7.8144995958085728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33.434266752742992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69.067237557331197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8.5265128291212022E-14</v>
      </c>
      <c r="CU144" s="17">
        <f>CT144*VLOOKUP('Données projet'!$B$13,Paramètres!$A$1:$I$89,3,0)*VLOOKUP('Données projet'!$B$13,Paramètres!$A$1:$I$89,5,0)</f>
        <v>5.5865712056402117E-14</v>
      </c>
      <c r="CV144" s="13">
        <f t="shared" si="149"/>
        <v>8.9811031843713517E-13</v>
      </c>
      <c r="CW144" s="20">
        <f t="shared" si="121"/>
        <v>1.6615082531095774E-12</v>
      </c>
      <c r="CX144" s="59">
        <f t="shared" si="122"/>
        <v>289.91320437688273</v>
      </c>
      <c r="CY144" s="59">
        <f ca="1">AVERAGE(OFFSET($CX$3,0,0,'Données projet'!$E$13+1,1))-AVERAGE(OFFSET($H$3,0,0,'Données projet'!$E$13+1,1))</f>
        <v>267.49254683294629</v>
      </c>
      <c r="CZ144" s="59">
        <f t="shared" si="150"/>
        <v>278.02595256967254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22.966793479214243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22.966793479214243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69.067237557331197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8.1590000000000025</v>
      </c>
      <c r="DO144" s="12">
        <f>IF('Données projet'!$A$166&gt;35,DO143+DN144-DW143,IF(A144&lt;'Données projet'!$A$166,$DL$205^A144,IF(A144='Données projet'!$A$166,'Données projet'!$B$166,DO143+DN144-DW143)))</f>
        <v>438.75300000000061</v>
      </c>
      <c r="DP144" s="17">
        <f>DO144*VLOOKUP('Données projet'!$B$14,Paramètres!$A$1:$I$89,3,0)*VLOOKUP('Données projet'!$B$14,Paramètres!$A$1:$I$89,5,0)</f>
        <v>396.98371440000057</v>
      </c>
      <c r="DQ144" s="13">
        <f t="shared" si="151"/>
        <v>91.164890478045521</v>
      </c>
      <c r="DR144" s="20">
        <f t="shared" si="124"/>
        <v>850.19215349593026</v>
      </c>
      <c r="DS144" s="59">
        <f t="shared" si="125"/>
        <v>1140.1053578728113</v>
      </c>
      <c r="DT144" s="59">
        <f ca="1">AVERAGE(OFFSET($DS$3,0,0,'Données projet'!$E$14+1,1))-AVERAGE(OFFSET($H$3,0,0,'Données projet'!$E$14+1,1))</f>
        <v>602.02351907077332</v>
      </c>
      <c r="DU144" s="59">
        <f t="shared" si="152"/>
        <v>278.08067690827272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58.213543414279989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58.213543414279989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69.067237557331197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69.067237557331197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69.067237557331197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69.067237557331197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2.2000000000000002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8.0666666666666682</v>
      </c>
      <c r="H145" s="67">
        <f t="shared" si="110"/>
        <v>224.4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69.083418900367093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360.09035401555587</v>
      </c>
      <c r="T145" s="59">
        <f t="shared" si="142"/>
        <v>266.54879627869821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50.395860798275898</v>
      </c>
      <c r="AA145" s="21">
        <f>EXP(-LN(2)/25)*AA144+(1-EXP(-LN(2)/25))/(LN(2)/25)*Calculateur!V145*Calculateur!X145*VLOOKUP('Données projet'!$B$9,Paramètres!$A$1:$I$89,3,0)*0.475*44/12</f>
        <v>14.472532778120094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64.868393576395988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69.083418900367093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-2.8421709430404007E-14</v>
      </c>
      <c r="AJ145" s="13">
        <f>AI145*VLOOKUP('Données projet'!$B$10,Paramètres!$A$1:$I$89,3,0)*VLOOKUP('Données projet'!$B$10,Paramètres!$A$1:$I$89,5,0)</f>
        <v>-2.3942448024172337E-14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377.26246345103175</v>
      </c>
      <c r="AO145" s="59">
        <f t="shared" si="144"/>
        <v>258.25890564000258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94.937283184508757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94.937283184508757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69.083418900367093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2.2737367544323206E-13</v>
      </c>
      <c r="BE145" s="13">
        <f>BD145*VLOOKUP('Données projet'!$B$11,Paramètres!$A$1:$I$89,3,0)*VLOOKUP('Données projet'!$B$11,Paramètres!$A$1:$I$89,5,0)</f>
        <v>1.0049916454590858E-13</v>
      </c>
      <c r="BF145" s="13">
        <f t="shared" si="145"/>
        <v>1.5089081593838289E-12</v>
      </c>
      <c r="BG145" s="20">
        <f t="shared" si="115"/>
        <v>2.8030510891776262E-12</v>
      </c>
      <c r="BH145" s="59">
        <f t="shared" si="116"/>
        <v>289.97253596801545</v>
      </c>
      <c r="BI145" s="59">
        <f ca="1">AVERAGE(OFFSET($BH$3,0,0,'Données projet'!$E$11+1,1))-AVERAGE(OFFSET($H$3,0,0,'Données projet'!$E$11+1,1))</f>
        <v>333.23043896066253</v>
      </c>
      <c r="BJ145" s="59">
        <f t="shared" si="146"/>
        <v>440.63438368668983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32.535399696471046</v>
      </c>
      <c r="BQ145" s="21">
        <f>EXP(-LN(2)/25)*BQ144+(1-EXP(-LN(2)/25))/(LN(2)/25)*Calculateur!BL145*Calculateur!BN145*VLOOKUP('Données projet'!$B$11,Paramètres!$A$1:$I$89,3,0)*0.475*44/12</f>
        <v>12.086582196549946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44.621981893020994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69.083418900367093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1.1368683772161603E-13</v>
      </c>
      <c r="BZ145" s="13">
        <f>BY145*VLOOKUP('Données projet'!$B$12,Paramètres!$A$1:$I$89,3,0)*VLOOKUP('Données projet'!$B$12,Paramètres!$A$1:$I$89,5,0)</f>
        <v>4.5815795601811263E-14</v>
      </c>
      <c r="CA145" s="13">
        <f t="shared" si="147"/>
        <v>7.5374618042508364E-13</v>
      </c>
      <c r="CB145" s="20">
        <f t="shared" si="118"/>
        <v>1.392570441580175E-12</v>
      </c>
      <c r="CC145" s="59">
        <f t="shared" si="119"/>
        <v>289.97253596801403</v>
      </c>
      <c r="CD145" s="59">
        <f ca="1">AVERAGE(OFFSET($CC$3,0,0,'Données projet'!$E$12+1,1))-AVERAGE(OFFSET($H$3,0,0,'Données projet'!$E$12+1,1))</f>
        <v>177.34129362526608</v>
      </c>
      <c r="CE145" s="59">
        <f t="shared" si="148"/>
        <v>156.93407673501022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25.117379149501915</v>
      </c>
      <c r="CL145" s="21">
        <f>EXP(-LN(2)/25)*CL144+(1-EXP(-LN(2)/25))/(LN(2)/25)*Calculateur!CG145*Calculateur!CI145*VLOOKUP('Données projet'!$B$12,Paramètres!$A$1:$I$89,3,0)*0.475*44/12</f>
        <v>7.6008116934145136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32.718190842916428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69.083418900367093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8.5265128291212022E-14</v>
      </c>
      <c r="CU145" s="17">
        <f>CT145*VLOOKUP('Données projet'!$B$13,Paramètres!$A$1:$I$89,3,0)*VLOOKUP('Données projet'!$B$13,Paramètres!$A$1:$I$89,5,0)</f>
        <v>5.5865712056402117E-14</v>
      </c>
      <c r="CV145" s="13">
        <f t="shared" si="149"/>
        <v>8.9811031843713517E-13</v>
      </c>
      <c r="CW145" s="20">
        <f t="shared" si="121"/>
        <v>1.6615082531095774E-12</v>
      </c>
      <c r="CX145" s="59">
        <f t="shared" si="122"/>
        <v>289.97253596801431</v>
      </c>
      <c r="CY145" s="59">
        <f ca="1">AVERAGE(OFFSET($CX$3,0,0,'Données projet'!$E$13+1,1))-AVERAGE(OFFSET($H$3,0,0,'Données projet'!$E$13+1,1))</f>
        <v>267.49254683294629</v>
      </c>
      <c r="CZ145" s="59">
        <f t="shared" si="150"/>
        <v>278.02595256967254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22.516428667447663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22.516428667447663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69.083418900367093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8.1590000000000025</v>
      </c>
      <c r="DO145" s="12">
        <f>IF('Données projet'!$A$166&gt;35,DO144+DN145-DW144,IF(A145&lt;'Données projet'!$A$166,$DL$205^A145,IF(A145='Données projet'!$A$166,'Données projet'!$B$166,DO144+DN145-DW144)))</f>
        <v>446.9120000000006</v>
      </c>
      <c r="DP145" s="17">
        <f>DO145*VLOOKUP('Données projet'!$B$14,Paramètres!$A$1:$I$89,3,0)*VLOOKUP('Données projet'!$B$14,Paramètres!$A$1:$I$89,5,0)</f>
        <v>404.36597760000052</v>
      </c>
      <c r="DQ145" s="13">
        <f t="shared" si="151"/>
        <v>92.66124016608812</v>
      </c>
      <c r="DR145" s="20">
        <f t="shared" si="124"/>
        <v>865.655737609271</v>
      </c>
      <c r="DS145" s="59">
        <f t="shared" si="125"/>
        <v>1155.6282735772836</v>
      </c>
      <c r="DT145" s="59">
        <f ca="1">AVERAGE(OFFSET($DS$3,0,0,'Données projet'!$E$14+1,1))-AVERAGE(OFFSET($H$3,0,0,'Données projet'!$E$14+1,1))</f>
        <v>602.02351907077332</v>
      </c>
      <c r="DU145" s="59">
        <f t="shared" si="152"/>
        <v>278.08067690827272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57.072011334681441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57.072011334681441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69.083418900367093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69.083418900367093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69.083418900367093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69.083418900367093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2.2000000000000002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8.0666666666666682</v>
      </c>
      <c r="H146" s="67">
        <f t="shared" si="110"/>
        <v>224.4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69.099319533277367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360.09035401555587</v>
      </c>
      <c r="T146" s="59">
        <f t="shared" si="142"/>
        <v>266.54879627869821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49.407628706461622</v>
      </c>
      <c r="AA146" s="21">
        <f>EXP(-LN(2)/25)*AA145+(1-EXP(-LN(2)/25))/(LN(2)/25)*Calculateur!V146*Calculateur!X146*VLOOKUP('Données projet'!$B$9,Paramètres!$A$1:$I$89,3,0)*0.475*44/12</f>
        <v>14.076780608224979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63.484409314686602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69.099319533277367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-2.8421709430404007E-14</v>
      </c>
      <c r="AJ146" s="13">
        <f>AI146*VLOOKUP('Données projet'!$B$10,Paramètres!$A$1:$I$89,3,0)*VLOOKUP('Données projet'!$B$10,Paramètres!$A$1:$I$89,5,0)</f>
        <v>-2.3942448024172337E-14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377.26246345103175</v>
      </c>
      <c r="AO146" s="59">
        <f t="shared" si="144"/>
        <v>258.25890564000258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93.075620967285545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93.075620967285545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69.099319533277367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2.2737367544323206E-13</v>
      </c>
      <c r="BE146" s="13">
        <f>BD146*VLOOKUP('Données projet'!$B$11,Paramètres!$A$1:$I$89,3,0)*VLOOKUP('Données projet'!$B$11,Paramètres!$A$1:$I$89,5,0)</f>
        <v>1.0049916454590858E-13</v>
      </c>
      <c r="BF146" s="13">
        <f t="shared" si="145"/>
        <v>1.5089081593838289E-12</v>
      </c>
      <c r="BG146" s="20">
        <f t="shared" si="115"/>
        <v>2.8030510891776262E-12</v>
      </c>
      <c r="BH146" s="59">
        <f t="shared" si="116"/>
        <v>290.03083828868648</v>
      </c>
      <c r="BI146" s="59">
        <f ca="1">AVERAGE(OFFSET($BH$3,0,0,'Données projet'!$E$11+1,1))-AVERAGE(OFFSET($H$3,0,0,'Données projet'!$E$11+1,1))</f>
        <v>333.23043896066253</v>
      </c>
      <c r="BJ146" s="59">
        <f t="shared" si="146"/>
        <v>440.63438368668983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31.89740035305757</v>
      </c>
      <c r="BQ146" s="21">
        <f>EXP(-LN(2)/25)*BQ145+(1-EXP(-LN(2)/25))/(LN(2)/25)*Calculateur!BL146*Calculateur!BN146*VLOOKUP('Données projet'!$B$11,Paramètres!$A$1:$I$89,3,0)*0.475*44/12</f>
        <v>11.756073970779555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43.653474323837123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69.099319533277367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1.1368683772161603E-13</v>
      </c>
      <c r="BZ146" s="13">
        <f>BY146*VLOOKUP('Données projet'!$B$12,Paramètres!$A$1:$I$89,3,0)*VLOOKUP('Données projet'!$B$12,Paramètres!$A$1:$I$89,5,0)</f>
        <v>4.5815795601811263E-14</v>
      </c>
      <c r="CA146" s="13">
        <f t="shared" si="147"/>
        <v>7.5374618042508364E-13</v>
      </c>
      <c r="CB146" s="20">
        <f t="shared" si="118"/>
        <v>1.392570441580175E-12</v>
      </c>
      <c r="CC146" s="59">
        <f t="shared" si="119"/>
        <v>290.03083828868506</v>
      </c>
      <c r="CD146" s="59">
        <f ca="1">AVERAGE(OFFSET($CC$3,0,0,'Données projet'!$E$12+1,1))-AVERAGE(OFFSET($H$3,0,0,'Données projet'!$E$12+1,1))</f>
        <v>177.34129362526608</v>
      </c>
      <c r="CE146" s="59">
        <f t="shared" si="148"/>
        <v>156.93407673501022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24.62484266446873</v>
      </c>
      <c r="CL146" s="21">
        <f>EXP(-LN(2)/25)*CL145+(1-EXP(-LN(2)/25))/(LN(2)/25)*Calculateur!CG146*Calculateur!CI146*VLOOKUP('Données projet'!$B$12,Paramètres!$A$1:$I$89,3,0)*0.475*44/12</f>
        <v>7.3929670979487785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32.017809762417507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69.099319533277367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8.5265128291212022E-14</v>
      </c>
      <c r="CU146" s="17">
        <f>CT146*VLOOKUP('Données projet'!$B$13,Paramètres!$A$1:$I$89,3,0)*VLOOKUP('Données projet'!$B$13,Paramètres!$A$1:$I$89,5,0)</f>
        <v>5.5865712056402117E-14</v>
      </c>
      <c r="CV146" s="13">
        <f t="shared" si="149"/>
        <v>8.9811031843713517E-13</v>
      </c>
      <c r="CW146" s="20">
        <f t="shared" si="121"/>
        <v>1.6615082531095774E-12</v>
      </c>
      <c r="CX146" s="59">
        <f t="shared" si="122"/>
        <v>290.03083828868535</v>
      </c>
      <c r="CY146" s="59">
        <f ca="1">AVERAGE(OFFSET($CX$3,0,0,'Données projet'!$E$13+1,1))-AVERAGE(OFFSET($H$3,0,0,'Données projet'!$E$13+1,1))</f>
        <v>267.49254683294629</v>
      </c>
      <c r="CZ146" s="59">
        <f t="shared" si="150"/>
        <v>278.02595256967254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22.074895234944414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22.074895234944414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69.099319533277367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8.1590000000000025</v>
      </c>
      <c r="DO146" s="12">
        <f>IF('Données projet'!$A$166&gt;35,DO145+DN146-DW145,IF(A146&lt;'Données projet'!$A$166,$DL$205^A146,IF(A146='Données projet'!$A$166,'Données projet'!$B$166,DO145+DN146-DW145)))</f>
        <v>455.07100000000059</v>
      </c>
      <c r="DP146" s="17">
        <f>DO146*VLOOKUP('Données projet'!$B$14,Paramètres!$A$1:$I$89,3,0)*VLOOKUP('Données projet'!$B$14,Paramètres!$A$1:$I$89,5,0)</f>
        <v>411.74824080000053</v>
      </c>
      <c r="DQ146" s="13">
        <f t="shared" si="151"/>
        <v>94.15441323509782</v>
      </c>
      <c r="DR146" s="20">
        <f t="shared" si="124"/>
        <v>881.11378911112968</v>
      </c>
      <c r="DS146" s="59">
        <f t="shared" si="125"/>
        <v>1171.1446273998133</v>
      </c>
      <c r="DT146" s="59">
        <f ca="1">AVERAGE(OFFSET($DS$3,0,0,'Données projet'!$E$14+1,1))-AVERAGE(OFFSET($H$3,0,0,'Données projet'!$E$14+1,1))</f>
        <v>602.02351907077332</v>
      </c>
      <c r="DU146" s="59">
        <f t="shared" si="152"/>
        <v>278.08067690827272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55.952864002898004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55.952864002898004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69.099319533277367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69.099319533277367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69.099319533277367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69.099319533277367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2.2000000000000002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8.0666666666666682</v>
      </c>
      <c r="H147" s="67">
        <f t="shared" si="110"/>
        <v>224.4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69.114944325755147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360.09035401555587</v>
      </c>
      <c r="T147" s="59">
        <f t="shared" si="142"/>
        <v>266.54879627869821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48.438775243205768</v>
      </c>
      <c r="AA147" s="21">
        <f>EXP(-LN(2)/25)*AA146+(1-EXP(-LN(2)/25))/(LN(2)/25)*Calculateur!V147*Calculateur!X147*VLOOKUP('Données projet'!$B$9,Paramètres!$A$1:$I$89,3,0)*0.475*44/12</f>
        <v>13.691850302227348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62.130625545433119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69.114944325755147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-2.8421709430404007E-14</v>
      </c>
      <c r="AJ147" s="13">
        <f>AI147*VLOOKUP('Données projet'!$B$10,Paramètres!$A$1:$I$89,3,0)*VLOOKUP('Données projet'!$B$10,Paramètres!$A$1:$I$89,5,0)</f>
        <v>-2.3942448024172337E-14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377.26246345103175</v>
      </c>
      <c r="AO147" s="59">
        <f t="shared" si="144"/>
        <v>258.25890564000258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91.250464810640239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91.250464810640239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69.114944325755147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2.2737367544323206E-13</v>
      </c>
      <c r="BE147" s="13">
        <f>BD147*VLOOKUP('Données projet'!$B$11,Paramètres!$A$1:$I$89,3,0)*VLOOKUP('Données projet'!$B$11,Paramètres!$A$1:$I$89,5,0)</f>
        <v>1.0049916454590858E-13</v>
      </c>
      <c r="BF147" s="13">
        <f t="shared" si="145"/>
        <v>1.5089081593838289E-12</v>
      </c>
      <c r="BG147" s="20">
        <f t="shared" si="115"/>
        <v>2.8030510891776262E-12</v>
      </c>
      <c r="BH147" s="59">
        <f t="shared" si="116"/>
        <v>290.08812919443835</v>
      </c>
      <c r="BI147" s="59">
        <f ca="1">AVERAGE(OFFSET($BH$3,0,0,'Données projet'!$E$11+1,1))-AVERAGE(OFFSET($H$3,0,0,'Données projet'!$E$11+1,1))</f>
        <v>333.23043896066253</v>
      </c>
      <c r="BJ147" s="59">
        <f t="shared" si="146"/>
        <v>440.63438368668983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31.271911787627257</v>
      </c>
      <c r="BQ147" s="21">
        <f>EXP(-LN(2)/25)*BQ146+(1-EXP(-LN(2)/25))/(LN(2)/25)*Calculateur!BL147*Calculateur!BN147*VLOOKUP('Données projet'!$B$11,Paramètres!$A$1:$I$89,3,0)*0.475*44/12</f>
        <v>11.434603509823527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42.706515297450785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69.114944325755147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1.1368683772161603E-13</v>
      </c>
      <c r="BZ147" s="13">
        <f>BY147*VLOOKUP('Données projet'!$B$12,Paramètres!$A$1:$I$89,3,0)*VLOOKUP('Données projet'!$B$12,Paramètres!$A$1:$I$89,5,0)</f>
        <v>4.5815795601811263E-14</v>
      </c>
      <c r="CA147" s="13">
        <f t="shared" si="147"/>
        <v>7.5374618042508364E-13</v>
      </c>
      <c r="CB147" s="20">
        <f t="shared" si="118"/>
        <v>1.392570441580175E-12</v>
      </c>
      <c r="CC147" s="59">
        <f t="shared" si="119"/>
        <v>290.08812919443693</v>
      </c>
      <c r="CD147" s="59">
        <f ca="1">AVERAGE(OFFSET($CC$3,0,0,'Données projet'!$E$12+1,1))-AVERAGE(OFFSET($H$3,0,0,'Données projet'!$E$12+1,1))</f>
        <v>177.34129362526608</v>
      </c>
      <c r="CE147" s="59">
        <f t="shared" si="148"/>
        <v>156.93407673501022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24.141964519489456</v>
      </c>
      <c r="CL147" s="21">
        <f>EXP(-LN(2)/25)*CL146+(1-EXP(-LN(2)/25))/(LN(2)/25)*Calculateur!CG147*Calculateur!CI147*VLOOKUP('Données projet'!$B$12,Paramètres!$A$1:$I$89,3,0)*0.475*44/12</f>
        <v>7.1908060238761262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31.332770543365584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69.114944325755147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8.5265128291212022E-14</v>
      </c>
      <c r="CU147" s="17">
        <f>CT147*VLOOKUP('Données projet'!$B$13,Paramètres!$A$1:$I$89,3,0)*VLOOKUP('Données projet'!$B$13,Paramètres!$A$1:$I$89,5,0)</f>
        <v>5.5865712056402117E-14</v>
      </c>
      <c r="CV147" s="13">
        <f t="shared" si="149"/>
        <v>8.9811031843713517E-13</v>
      </c>
      <c r="CW147" s="20">
        <f t="shared" si="121"/>
        <v>1.6615082531095774E-12</v>
      </c>
      <c r="CX147" s="59">
        <f t="shared" si="122"/>
        <v>290.08812919443722</v>
      </c>
      <c r="CY147" s="59">
        <f ca="1">AVERAGE(OFFSET($CX$3,0,0,'Données projet'!$E$13+1,1))-AVERAGE(OFFSET($H$3,0,0,'Données projet'!$E$13+1,1))</f>
        <v>267.49254683294629</v>
      </c>
      <c r="CZ147" s="59">
        <f t="shared" si="150"/>
        <v>278.02595256967254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21.642020003743752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21.642020003743752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69.114944325755147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>
        <f>VLOOKUP(A147,'Données projet'!$A$165:$I$185,2,0)</f>
        <v>463.23</v>
      </c>
      <c r="DM147" s="12">
        <f>VLOOKUP(A147,'Données projet'!$A$165:$I$185,9,0)</f>
        <v>8.1590000000000025</v>
      </c>
      <c r="DN147" s="12">
        <f t="array" ref="DN147">INDEX(DM:DM,MIN(IF(ISNUMBER(DM147:DM343),ROW(DM147:DM343),"")))</f>
        <v>8.1590000000000025</v>
      </c>
      <c r="DO147" s="12">
        <f>IF('Données projet'!$A$166&gt;35,DO146+DN147-DW146,IF(A147&lt;'Données projet'!$A$166,$DL$205^A147,IF(A147='Données projet'!$A$166,'Données projet'!$B$166,DO146+DN147-DW146)))</f>
        <v>463.23000000000059</v>
      </c>
      <c r="DP147" s="17">
        <f>DO147*VLOOKUP('Données projet'!$B$14,Paramètres!$A$1:$I$89,3,0)*VLOOKUP('Données projet'!$B$14,Paramètres!$A$1:$I$89,5,0)</f>
        <v>419.13050400000049</v>
      </c>
      <c r="DQ147" s="13">
        <f t="shared" si="151"/>
        <v>95.644473208887277</v>
      </c>
      <c r="DR147" s="20">
        <f t="shared" si="124"/>
        <v>896.56641863881293</v>
      </c>
      <c r="DS147" s="59">
        <f t="shared" si="125"/>
        <v>1186.6545478332484</v>
      </c>
      <c r="DT147" s="59">
        <f ca="1">AVERAGE(OFFSET($DS$3,0,0,'Données projet'!$E$14+1,1))-AVERAGE(OFFSET($H$3,0,0,'Données projet'!$E$14+1,1))</f>
        <v>602.02351907077332</v>
      </c>
      <c r="DU147" s="59">
        <f t="shared" si="152"/>
        <v>278.08067690827272</v>
      </c>
      <c r="DV147" s="15">
        <f>IF(ISNA(VLOOKUP(A147,'Données projet'!$A$165:$I$185,3,0)),0,VLOOKUP(A147,'Données projet'!$A$165:$I$185,3,0))</f>
        <v>12</v>
      </c>
      <c r="DW147" s="15">
        <f>IF(ISNA(VLOOKUP(A147,'Données projet'!$A$165:$I$185,4,0)),0,VLOOKUP(A147,'Données projet'!$A$165:$I$185,4,0))</f>
        <v>56.01</v>
      </c>
      <c r="DX147" s="16">
        <f>IF(ISNA(VLOOKUP(A147,'Données projet'!$A$165:$I$185,5,0)),0%,VLOOKUP(A147,'Données projet'!$A$165:$I$185,5,0)*VLOOKUP('Données projet'!$B$14,Paramètres!$A$1:$I$89,7,0))</f>
        <v>0.25800000000000001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69.309560312196439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69.309560312196439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69.114944325755147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69.114944325755147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69.114944325755147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69.114944325755147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2.2000000000000002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8.0666666666666682</v>
      </c>
      <c r="H148" s="67">
        <f t="shared" si="110"/>
        <v>224.4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69.130298063015232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360.09035401555587</v>
      </c>
      <c r="T148" s="59">
        <f t="shared" si="142"/>
        <v>266.54879627869821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47.4889204054221</v>
      </c>
      <c r="AA148" s="21">
        <f>EXP(-LN(2)/25)*AA147+(1-EXP(-LN(2)/25))/(LN(2)/25)*Calculateur!V148*Calculateur!X148*VLOOKUP('Données projet'!$B$9,Paramètres!$A$1:$I$89,3,0)*0.475*44/12</f>
        <v>13.317445935689827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60.806366341111925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69.130298063015232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-2.8421709430404007E-14</v>
      </c>
      <c r="AJ148" s="13">
        <f>AI148*VLOOKUP('Données projet'!$B$10,Paramètres!$A$1:$I$89,3,0)*VLOOKUP('Données projet'!$B$10,Paramètres!$A$1:$I$89,5,0)</f>
        <v>-2.3942448024172337E-14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377.26246345103175</v>
      </c>
      <c r="AO148" s="59">
        <f t="shared" si="144"/>
        <v>258.25890564000258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89.461098852991412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89.461098852991412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69.130298063015232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2.2737367544323206E-13</v>
      </c>
      <c r="BE148" s="13">
        <f>BD148*VLOOKUP('Données projet'!$B$11,Paramètres!$A$1:$I$89,3,0)*VLOOKUP('Données projet'!$B$11,Paramètres!$A$1:$I$89,5,0)</f>
        <v>1.0049916454590858E-13</v>
      </c>
      <c r="BF148" s="13">
        <f t="shared" si="145"/>
        <v>1.5089081593838289E-12</v>
      </c>
      <c r="BG148" s="20">
        <f t="shared" si="115"/>
        <v>2.8030510891776262E-12</v>
      </c>
      <c r="BH148" s="59">
        <f t="shared" si="116"/>
        <v>290.14442623105862</v>
      </c>
      <c r="BI148" s="59">
        <f ca="1">AVERAGE(OFFSET($BH$3,0,0,'Données projet'!$E$11+1,1))-AVERAGE(OFFSET($H$3,0,0,'Données projet'!$E$11+1,1))</f>
        <v>333.23043896066253</v>
      </c>
      <c r="BJ148" s="59">
        <f t="shared" si="146"/>
        <v>440.63438368668983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30.658688671454676</v>
      </c>
      <c r="BQ148" s="21">
        <f>EXP(-LN(2)/25)*BQ147+(1-EXP(-LN(2)/25))/(LN(2)/25)*Calculateur!BL148*Calculateur!BN148*VLOOKUP('Données projet'!$B$11,Paramètres!$A$1:$I$89,3,0)*0.475*44/12</f>
        <v>11.121923675527738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41.780612346982416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69.130298063015232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1.1368683772161603E-13</v>
      </c>
      <c r="BZ148" s="13">
        <f>BY148*VLOOKUP('Données projet'!$B$12,Paramètres!$A$1:$I$89,3,0)*VLOOKUP('Données projet'!$B$12,Paramètres!$A$1:$I$89,5,0)</f>
        <v>4.5815795601811263E-14</v>
      </c>
      <c r="CA148" s="13">
        <f t="shared" si="147"/>
        <v>7.5374618042508364E-13</v>
      </c>
      <c r="CB148" s="20">
        <f t="shared" si="118"/>
        <v>1.392570441580175E-12</v>
      </c>
      <c r="CC148" s="59">
        <f t="shared" si="119"/>
        <v>290.1444262310572</v>
      </c>
      <c r="CD148" s="59">
        <f ca="1">AVERAGE(OFFSET($CC$3,0,0,'Données projet'!$E$12+1,1))-AVERAGE(OFFSET($H$3,0,0,'Données projet'!$E$12+1,1))</f>
        <v>177.34129362526608</v>
      </c>
      <c r="CE148" s="59">
        <f t="shared" si="148"/>
        <v>156.93407673501022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23.668555320406636</v>
      </c>
      <c r="CL148" s="21">
        <f>EXP(-LN(2)/25)*CL147+(1-EXP(-LN(2)/25))/(LN(2)/25)*Calculateur!CG148*Calculateur!CI148*VLOOKUP('Données projet'!$B$12,Paramètres!$A$1:$I$89,3,0)*0.475*44/12</f>
        <v>6.9941730550051799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30.662728375411817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69.130298063015232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8.5265128291212022E-14</v>
      </c>
      <c r="CU148" s="17">
        <f>CT148*VLOOKUP('Données projet'!$B$13,Paramètres!$A$1:$I$89,3,0)*VLOOKUP('Données projet'!$B$13,Paramètres!$A$1:$I$89,5,0)</f>
        <v>5.5865712056402117E-14</v>
      </c>
      <c r="CV148" s="13">
        <f t="shared" si="149"/>
        <v>8.9811031843713517E-13</v>
      </c>
      <c r="CW148" s="20">
        <f t="shared" si="121"/>
        <v>1.6615082531095774E-12</v>
      </c>
      <c r="CX148" s="59">
        <f t="shared" si="122"/>
        <v>290.14442623105748</v>
      </c>
      <c r="CY148" s="59">
        <f ca="1">AVERAGE(OFFSET($CX$3,0,0,'Données projet'!$E$13+1,1))-AVERAGE(OFFSET($H$3,0,0,'Données projet'!$E$13+1,1))</f>
        <v>267.49254683294629</v>
      </c>
      <c r="CZ148" s="59">
        <f t="shared" si="150"/>
        <v>278.02595256967254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21.217633191799116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21.217633191799116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69.130298063015232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8.3249999999999993</v>
      </c>
      <c r="DO148" s="12">
        <f>IF('Données projet'!$A$166&gt;35,DO147+DN148-DW147,IF(A148&lt;'Données projet'!$A$166,$DL$205^A148,IF(A148='Données projet'!$A$166,'Données projet'!$B$166,DO147+DN148-DW147)))</f>
        <v>415.54500000000058</v>
      </c>
      <c r="DP148" s="17">
        <f>DO148*VLOOKUP('Données projet'!$B$14,Paramètres!$A$1:$I$89,3,0)*VLOOKUP('Données projet'!$B$14,Paramètres!$A$1:$I$89,5,0)</f>
        <v>375.98511600000052</v>
      </c>
      <c r="DQ148" s="13">
        <f t="shared" si="151"/>
        <v>86.890611547517153</v>
      </c>
      <c r="DR148" s="20">
        <f t="shared" si="124"/>
        <v>806.17522547859323</v>
      </c>
      <c r="DS148" s="59">
        <f t="shared" si="125"/>
        <v>1096.319651709649</v>
      </c>
      <c r="DT148" s="59">
        <f ca="1">AVERAGE(OFFSET($DS$3,0,0,'Données projet'!$E$14+1,1))-AVERAGE(OFFSET($H$3,0,0,'Données projet'!$E$14+1,1))</f>
        <v>602.02351907077332</v>
      </c>
      <c r="DU148" s="59">
        <f t="shared" si="152"/>
        <v>278.08067690827272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67.950442109131785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67.950442109131785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69.130298063015232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69.130298063015232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69.130298063015232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69.130298063015232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2.2000000000000002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8.0666666666666682</v>
      </c>
      <c r="H149" s="67">
        <f t="shared" si="110"/>
        <v>224.4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69.145385447259684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360.09035401555587</v>
      </c>
      <c r="T149" s="59">
        <f t="shared" si="142"/>
        <v>266.54879627869821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46.557691641653129</v>
      </c>
      <c r="AA149" s="21">
        <f>EXP(-LN(2)/25)*AA148+(1-EXP(-LN(2)/25))/(LN(2)/25)*Calculateur!V149*Calculateur!X149*VLOOKUP('Données projet'!$B$9,Paramètres!$A$1:$I$89,3,0)*0.475*44/12</f>
        <v>12.953279676244344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59.510971317897472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69.145385447259684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-2.8421709430404007E-14</v>
      </c>
      <c r="AJ149" s="13">
        <f>AI149*VLOOKUP('Données projet'!$B$10,Paramètres!$A$1:$I$89,3,0)*VLOOKUP('Données projet'!$B$10,Paramètres!$A$1:$I$89,5,0)</f>
        <v>-2.3942448024172337E-14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377.26246345103175</v>
      </c>
      <c r="AO149" s="59">
        <f t="shared" si="144"/>
        <v>258.25890564000258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87.706821270366618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87.706821270366618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69.145385447259684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2.2737367544323206E-13</v>
      </c>
      <c r="BE149" s="13">
        <f>BD149*VLOOKUP('Données projet'!$B$11,Paramètres!$A$1:$I$89,3,0)*VLOOKUP('Données projet'!$B$11,Paramètres!$A$1:$I$89,5,0)</f>
        <v>1.0049916454590858E-13</v>
      </c>
      <c r="BF149" s="13">
        <f t="shared" si="145"/>
        <v>1.5089081593838289E-12</v>
      </c>
      <c r="BG149" s="20">
        <f t="shared" si="115"/>
        <v>2.8030510891776262E-12</v>
      </c>
      <c r="BH149" s="59">
        <f t="shared" si="116"/>
        <v>290.19974663995492</v>
      </c>
      <c r="BI149" s="59">
        <f ca="1">AVERAGE(OFFSET($BH$3,0,0,'Données projet'!$E$11+1,1))-AVERAGE(OFFSET($H$3,0,0,'Données projet'!$E$11+1,1))</f>
        <v>333.23043896066253</v>
      </c>
      <c r="BJ149" s="59">
        <f t="shared" si="146"/>
        <v>440.63438368668983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30.057490486561072</v>
      </c>
      <c r="BQ149" s="21">
        <f>EXP(-LN(2)/25)*BQ148+(1-EXP(-LN(2)/25))/(LN(2)/25)*Calculateur!BL149*Calculateur!BN149*VLOOKUP('Données projet'!$B$11,Paramètres!$A$1:$I$89,3,0)*0.475*44/12</f>
        <v>10.817794087743884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40.875284574304956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69.145385447259684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1.1368683772161603E-13</v>
      </c>
      <c r="BZ149" s="13">
        <f>BY149*VLOOKUP('Données projet'!$B$12,Paramètres!$A$1:$I$89,3,0)*VLOOKUP('Données projet'!$B$12,Paramètres!$A$1:$I$89,5,0)</f>
        <v>4.5815795601811263E-14</v>
      </c>
      <c r="CA149" s="13">
        <f t="shared" si="147"/>
        <v>7.5374618042508364E-13</v>
      </c>
      <c r="CB149" s="20">
        <f t="shared" si="118"/>
        <v>1.392570441580175E-12</v>
      </c>
      <c r="CC149" s="59">
        <f t="shared" si="119"/>
        <v>290.1997466399535</v>
      </c>
      <c r="CD149" s="59">
        <f ca="1">AVERAGE(OFFSET($CC$3,0,0,'Données projet'!$E$12+1,1))-AVERAGE(OFFSET($H$3,0,0,'Données projet'!$E$12+1,1))</f>
        <v>177.34129362526608</v>
      </c>
      <c r="CE149" s="59">
        <f t="shared" si="148"/>
        <v>156.93407673501022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23.204429386966734</v>
      </c>
      <c r="CL149" s="21">
        <f>EXP(-LN(2)/25)*CL148+(1-EXP(-LN(2)/25))/(LN(2)/25)*Calculateur!CG149*Calculateur!CI149*VLOOKUP('Données projet'!$B$12,Paramètres!$A$1:$I$89,3,0)*0.475*44/12</f>
        <v>6.8029170250084876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30.00734641197522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69.145385447259684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8.5265128291212022E-14</v>
      </c>
      <c r="CU149" s="17">
        <f>CT149*VLOOKUP('Données projet'!$B$13,Paramètres!$A$1:$I$89,3,0)*VLOOKUP('Données projet'!$B$13,Paramètres!$A$1:$I$89,5,0)</f>
        <v>5.5865712056402117E-14</v>
      </c>
      <c r="CV149" s="13">
        <f t="shared" si="149"/>
        <v>8.9811031843713517E-13</v>
      </c>
      <c r="CW149" s="20">
        <f t="shared" si="121"/>
        <v>1.6615082531095774E-12</v>
      </c>
      <c r="CX149" s="59">
        <f t="shared" si="122"/>
        <v>290.19974663995379</v>
      </c>
      <c r="CY149" s="59">
        <f ca="1">AVERAGE(OFFSET($CX$3,0,0,'Données projet'!$E$13+1,1))-AVERAGE(OFFSET($H$3,0,0,'Données projet'!$E$13+1,1))</f>
        <v>267.49254683294629</v>
      </c>
      <c r="CZ149" s="59">
        <f t="shared" si="150"/>
        <v>278.02595256967254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20.801568346386318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20.801568346386318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69.145385447259684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8.3249999999999993</v>
      </c>
      <c r="DO149" s="12">
        <f>IF('Données projet'!$A$166&gt;35,DO148+DN149-DW148,IF(A149&lt;'Données projet'!$A$166,$DL$205^A149,IF(A149='Données projet'!$A$166,'Données projet'!$B$166,DO148+DN149-DW148)))</f>
        <v>423.87000000000057</v>
      </c>
      <c r="DP149" s="17">
        <f>DO149*VLOOKUP('Données projet'!$B$14,Paramètres!$A$1:$I$89,3,0)*VLOOKUP('Données projet'!$B$14,Paramètres!$A$1:$I$89,5,0)</f>
        <v>383.51757600000053</v>
      </c>
      <c r="DQ149" s="13">
        <f t="shared" si="151"/>
        <v>88.426967368766455</v>
      </c>
      <c r="DR149" s="20">
        <f t="shared" si="124"/>
        <v>821.97007970060247</v>
      </c>
      <c r="DS149" s="59">
        <f t="shared" si="125"/>
        <v>1112.1698263405547</v>
      </c>
      <c r="DT149" s="59">
        <f ca="1">AVERAGE(OFFSET($DS$3,0,0,'Données projet'!$E$14+1,1))-AVERAGE(OFFSET($H$3,0,0,'Données projet'!$E$14+1,1))</f>
        <v>602.02351907077332</v>
      </c>
      <c r="DU149" s="59">
        <f t="shared" si="152"/>
        <v>278.08067690827272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66.617975385048979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66.617975385048979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69.145385447259684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69.145385447259684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69.145385447259684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69.145385447259684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2.2000000000000002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8.0666666666666682</v>
      </c>
      <c r="H150" s="67">
        <f t="shared" si="110"/>
        <v>224.4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69.160211099117817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360.09035401555587</v>
      </c>
      <c r="T150" s="59">
        <f t="shared" si="142"/>
        <v>266.54879627869821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45.644723705948202</v>
      </c>
      <c r="AA150" s="21">
        <f>EXP(-LN(2)/25)*AA149+(1-EXP(-LN(2)/25))/(LN(2)/25)*Calculateur!V150*Calculateur!X150*VLOOKUP('Données projet'!$B$9,Paramètres!$A$1:$I$89,3,0)*0.475*44/12</f>
        <v>12.599071562314069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58.243795268262275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69.160211099117817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-2.8421709430404007E-14</v>
      </c>
      <c r="AJ150" s="13">
        <f>AI150*VLOOKUP('Données projet'!$B$10,Paramètres!$A$1:$I$89,3,0)*VLOOKUP('Données projet'!$B$10,Paramètres!$A$1:$I$89,5,0)</f>
        <v>-2.3942448024172337E-14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377.26246345103175</v>
      </c>
      <c r="AO150" s="59">
        <f t="shared" si="144"/>
        <v>258.25890564000258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85.986944001133423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85.986944001133423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69.160211099117817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2.2737367544323206E-13</v>
      </c>
      <c r="BE150" s="13">
        <f>BD150*VLOOKUP('Données projet'!$B$11,Paramètres!$A$1:$I$89,3,0)*VLOOKUP('Données projet'!$B$11,Paramètres!$A$1:$I$89,5,0)</f>
        <v>1.0049916454590858E-13</v>
      </c>
      <c r="BF150" s="13">
        <f t="shared" si="145"/>
        <v>1.5089081593838289E-12</v>
      </c>
      <c r="BG150" s="20">
        <f t="shared" si="115"/>
        <v>2.8030510891776262E-12</v>
      </c>
      <c r="BH150" s="59">
        <f t="shared" si="116"/>
        <v>290.2541073634348</v>
      </c>
      <c r="BI150" s="59">
        <f ca="1">AVERAGE(OFFSET($BH$3,0,0,'Données projet'!$E$11+1,1))-AVERAGE(OFFSET($H$3,0,0,'Données projet'!$E$11+1,1))</f>
        <v>333.23043896066253</v>
      </c>
      <c r="BJ150" s="59">
        <f t="shared" si="146"/>
        <v>440.63438368668983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29.468081431378547</v>
      </c>
      <c r="BQ150" s="21">
        <f>EXP(-LN(2)/25)*BQ149+(1-EXP(-LN(2)/25))/(LN(2)/25)*Calculateur!BL150*Calculateur!BN150*VLOOKUP('Données projet'!$B$11,Paramètres!$A$1:$I$89,3,0)*0.475*44/12</f>
        <v>10.521980939531462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39.99006237091001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69.160211099117817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1.1368683772161603E-13</v>
      </c>
      <c r="BZ150" s="13">
        <f>BY150*VLOOKUP('Données projet'!$B$12,Paramètres!$A$1:$I$89,3,0)*VLOOKUP('Données projet'!$B$12,Paramètres!$A$1:$I$89,5,0)</f>
        <v>4.5815795601811263E-14</v>
      </c>
      <c r="CA150" s="13">
        <f t="shared" si="147"/>
        <v>7.5374618042508364E-13</v>
      </c>
      <c r="CB150" s="20">
        <f t="shared" si="118"/>
        <v>1.392570441580175E-12</v>
      </c>
      <c r="CC150" s="59">
        <f t="shared" si="119"/>
        <v>290.25410736343338</v>
      </c>
      <c r="CD150" s="59">
        <f ca="1">AVERAGE(OFFSET($CC$3,0,0,'Données projet'!$E$12+1,1))-AVERAGE(OFFSET($H$3,0,0,'Données projet'!$E$12+1,1))</f>
        <v>177.34129362526608</v>
      </c>
      <c r="CE150" s="59">
        <f t="shared" si="148"/>
        <v>156.93407673501022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22.749404679992718</v>
      </c>
      <c r="CL150" s="21">
        <f>EXP(-LN(2)/25)*CL149+(1-EXP(-LN(2)/25))/(LN(2)/25)*Calculateur!CG150*Calculateur!CI150*VLOOKUP('Données projet'!$B$12,Paramètres!$A$1:$I$89,3,0)*0.475*44/12</f>
        <v>6.6168909012097723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29.36629558120249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69.160211099117817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8.5265128291212022E-14</v>
      </c>
      <c r="CU150" s="17">
        <f>CT150*VLOOKUP('Données projet'!$B$13,Paramètres!$A$1:$I$89,3,0)*VLOOKUP('Données projet'!$B$13,Paramètres!$A$1:$I$89,5,0)</f>
        <v>5.5865712056402117E-14</v>
      </c>
      <c r="CV150" s="13">
        <f t="shared" si="149"/>
        <v>8.9811031843713517E-13</v>
      </c>
      <c r="CW150" s="20">
        <f t="shared" si="121"/>
        <v>1.6615082531095774E-12</v>
      </c>
      <c r="CX150" s="59">
        <f t="shared" si="122"/>
        <v>290.25410736343366</v>
      </c>
      <c r="CY150" s="59">
        <f ca="1">AVERAGE(OFFSET($CX$3,0,0,'Données projet'!$E$13+1,1))-AVERAGE(OFFSET($H$3,0,0,'Données projet'!$E$13+1,1))</f>
        <v>267.49254683294629</v>
      </c>
      <c r="CZ150" s="59">
        <f t="shared" si="150"/>
        <v>278.02595256967254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20.393662278817569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20.393662278817569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69.160211099117817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8.3249999999999993</v>
      </c>
      <c r="DO150" s="12">
        <f>IF('Données projet'!$A$166&gt;35,DO149+DN150-DW149,IF(A150&lt;'Données projet'!$A$166,$DL$205^A150,IF(A150='Données projet'!$A$166,'Données projet'!$B$166,DO149+DN150-DW149)))</f>
        <v>432.19500000000056</v>
      </c>
      <c r="DP150" s="17">
        <f>DO150*VLOOKUP('Données projet'!$B$14,Paramètres!$A$1:$I$89,3,0)*VLOOKUP('Données projet'!$B$14,Paramètres!$A$1:$I$89,5,0)</f>
        <v>391.05003600000049</v>
      </c>
      <c r="DQ150" s="13">
        <f t="shared" si="151"/>
        <v>89.959814624965674</v>
      </c>
      <c r="DR150" s="20">
        <f t="shared" si="124"/>
        <v>837.75882317181595</v>
      </c>
      <c r="DS150" s="59">
        <f t="shared" si="125"/>
        <v>1128.012930535248</v>
      </c>
      <c r="DT150" s="59">
        <f ca="1">AVERAGE(OFFSET($DS$3,0,0,'Données projet'!$E$14+1,1))-AVERAGE(OFFSET($H$3,0,0,'Données projet'!$E$14+1,1))</f>
        <v>602.02351907077332</v>
      </c>
      <c r="DU150" s="59">
        <f t="shared" si="152"/>
        <v>278.08067690827272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65.311637520700984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65.311637520700984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69.160211099117817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69.160211099117817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69.160211099117817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69.160211099117817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2.2000000000000002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8.0666666666666682</v>
      </c>
      <c r="H151" s="67">
        <f t="shared" si="110"/>
        <v>224.4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69.174779559061406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360.09035401555587</v>
      </c>
      <c r="T151" s="59">
        <f t="shared" si="142"/>
        <v>266.54879627869821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44.749658514606992</v>
      </c>
      <c r="AA151" s="21">
        <f>EXP(-LN(2)/25)*AA150+(1-EXP(-LN(2)/25))/(LN(2)/25)*Calculateur!V151*Calculateur!X151*VLOOKUP('Données projet'!$B$9,Paramètres!$A$1:$I$89,3,0)*0.475*44/12</f>
        <v>12.254549287886213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57.004207802493205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69.174779559061406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-2.8421709430404007E-14</v>
      </c>
      <c r="AJ151" s="13">
        <f>AI151*VLOOKUP('Données projet'!$B$10,Paramètres!$A$1:$I$89,3,0)*VLOOKUP('Données projet'!$B$10,Paramètres!$A$1:$I$89,5,0)</f>
        <v>-2.3942448024172337E-14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377.26246345103175</v>
      </c>
      <c r="AO151" s="59">
        <f t="shared" si="144"/>
        <v>258.25890564000258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84.300792476128336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84.300792476128336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69.174779559061406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2.2737367544323206E-13</v>
      </c>
      <c r="BE151" s="13">
        <f>BD151*VLOOKUP('Données projet'!$B$11,Paramètres!$A$1:$I$89,3,0)*VLOOKUP('Données projet'!$B$11,Paramètres!$A$1:$I$89,5,0)</f>
        <v>1.0049916454590858E-13</v>
      </c>
      <c r="BF151" s="13">
        <f t="shared" si="145"/>
        <v>1.5089081593838289E-12</v>
      </c>
      <c r="BG151" s="20">
        <f t="shared" si="115"/>
        <v>2.8030510891776262E-12</v>
      </c>
      <c r="BH151" s="59">
        <f t="shared" si="116"/>
        <v>290.30752504989459</v>
      </c>
      <c r="BI151" s="59">
        <f ca="1">AVERAGE(OFFSET($BH$3,0,0,'Données projet'!$E$11+1,1))-AVERAGE(OFFSET($H$3,0,0,'Données projet'!$E$11+1,1))</f>
        <v>333.23043896066253</v>
      </c>
      <c r="BJ151" s="59">
        <f t="shared" si="146"/>
        <v>440.63438368668983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28.890230328264124</v>
      </c>
      <c r="BQ151" s="21">
        <f>EXP(-LN(2)/25)*BQ150+(1-EXP(-LN(2)/25))/(LN(2)/25)*Calculateur!BL151*Calculateur!BN151*VLOOKUP('Données projet'!$B$11,Paramètres!$A$1:$I$89,3,0)*0.475*44/12</f>
        <v>10.234256817413044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39.124487145677165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69.174779559061406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1.1368683772161603E-13</v>
      </c>
      <c r="BZ151" s="13">
        <f>BY151*VLOOKUP('Données projet'!$B$12,Paramètres!$A$1:$I$89,3,0)*VLOOKUP('Données projet'!$B$12,Paramètres!$A$1:$I$89,5,0)</f>
        <v>4.5815795601811263E-14</v>
      </c>
      <c r="CA151" s="13">
        <f t="shared" si="147"/>
        <v>7.5374618042508364E-13</v>
      </c>
      <c r="CB151" s="20">
        <f t="shared" si="118"/>
        <v>1.392570441580175E-12</v>
      </c>
      <c r="CC151" s="59">
        <f t="shared" si="119"/>
        <v>290.30752504989317</v>
      </c>
      <c r="CD151" s="59">
        <f ca="1">AVERAGE(OFFSET($CC$3,0,0,'Données projet'!$E$12+1,1))-AVERAGE(OFFSET($H$3,0,0,'Données projet'!$E$12+1,1))</f>
        <v>177.34129362526608</v>
      </c>
      <c r="CE151" s="59">
        <f t="shared" si="148"/>
        <v>156.93407673501022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22.303302729984797</v>
      </c>
      <c r="CL151" s="21">
        <f>EXP(-LN(2)/25)*CL150+(1-EXP(-LN(2)/25))/(LN(2)/25)*Calculateur!CG151*Calculateur!CI151*VLOOKUP('Données projet'!$B$12,Paramètres!$A$1:$I$89,3,0)*0.475*44/12</f>
        <v>6.4359516715490219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28.73925440153382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69.174779559061406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8.5265128291212022E-14</v>
      </c>
      <c r="CU151" s="17">
        <f>CT151*VLOOKUP('Données projet'!$B$13,Paramètres!$A$1:$I$89,3,0)*VLOOKUP('Données projet'!$B$13,Paramètres!$A$1:$I$89,5,0)</f>
        <v>5.5865712056402117E-14</v>
      </c>
      <c r="CV151" s="13">
        <f t="shared" si="149"/>
        <v>8.9811031843713517E-13</v>
      </c>
      <c r="CW151" s="20">
        <f t="shared" si="121"/>
        <v>1.6615082531095774E-12</v>
      </c>
      <c r="CX151" s="59">
        <f t="shared" si="122"/>
        <v>290.30752504989346</v>
      </c>
      <c r="CY151" s="59">
        <f ca="1">AVERAGE(OFFSET($CX$3,0,0,'Données projet'!$E$13+1,1))-AVERAGE(OFFSET($H$3,0,0,'Données projet'!$E$13+1,1))</f>
        <v>267.49254683294629</v>
      </c>
      <c r="CZ151" s="59">
        <f t="shared" si="150"/>
        <v>278.02595256967254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19.993755000435705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19.993755000435705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69.174779559061406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8.3249999999999993</v>
      </c>
      <c r="DO151" s="12">
        <f>IF('Données projet'!$A$166&gt;35,DO150+DN151-DW150,IF(A151&lt;'Données projet'!$A$166,$DL$205^A151,IF(A151='Données projet'!$A$166,'Données projet'!$B$166,DO150+DN151-DW150)))</f>
        <v>440.52000000000055</v>
      </c>
      <c r="DP151" s="17">
        <f>DO151*VLOOKUP('Données projet'!$B$14,Paramètres!$A$1:$I$89,3,0)*VLOOKUP('Données projet'!$B$14,Paramètres!$A$1:$I$89,5,0)</f>
        <v>398.5824960000005</v>
      </c>
      <c r="DQ151" s="13">
        <f t="shared" si="151"/>
        <v>91.489228690064536</v>
      </c>
      <c r="DR151" s="20">
        <f t="shared" si="124"/>
        <v>853.54158716852999</v>
      </c>
      <c r="DS151" s="59">
        <f t="shared" si="125"/>
        <v>1143.8491122184219</v>
      </c>
      <c r="DT151" s="59">
        <f ca="1">AVERAGE(OFFSET($DS$3,0,0,'Données projet'!$E$14+1,1))-AVERAGE(OFFSET($H$3,0,0,'Données projet'!$E$14+1,1))</f>
        <v>602.02351907077332</v>
      </c>
      <c r="DU151" s="59">
        <f t="shared" si="152"/>
        <v>278.08067690827272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64.030916145085428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64.030916145085428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69.174779559061406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69.174779559061406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69.174779559061406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69.174779559061406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2.2000000000000002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8.0666666666666682</v>
      </c>
      <c r="H152" s="67">
        <f t="shared" si="110"/>
        <v>224.4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69.189095288795173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360.09035401555587</v>
      </c>
      <c r="T152" s="59">
        <f t="shared" si="142"/>
        <v>266.54879627869821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43.872145005732122</v>
      </c>
      <c r="AA152" s="21">
        <f>EXP(-LN(2)/25)*AA151+(1-EXP(-LN(2)/25))/(LN(2)/25)*Calculateur!V152*Calculateur!X152*VLOOKUP('Données projet'!$B$9,Paramètres!$A$1:$I$89,3,0)*0.475*44/12</f>
        <v>11.919447993170227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55.791592998902345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69.189095288795173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-2.8421709430404007E-14</v>
      </c>
      <c r="AJ152" s="13">
        <f>AI152*VLOOKUP('Données projet'!$B$10,Paramètres!$A$1:$I$89,3,0)*VLOOKUP('Données projet'!$B$10,Paramètres!$A$1:$I$89,5,0)</f>
        <v>-2.3942448024172337E-14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377.26246345103175</v>
      </c>
      <c r="AO152" s="59">
        <f t="shared" si="144"/>
        <v>258.25890564000258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82.647705354077729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82.647705354077729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69.189095288795173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2.2737367544323206E-13</v>
      </c>
      <c r="BE152" s="13">
        <f>BD152*VLOOKUP('Données projet'!$B$11,Paramètres!$A$1:$I$89,3,0)*VLOOKUP('Données projet'!$B$11,Paramètres!$A$1:$I$89,5,0)</f>
        <v>1.0049916454590858E-13</v>
      </c>
      <c r="BF152" s="13">
        <f t="shared" si="145"/>
        <v>1.5089081593838289E-12</v>
      </c>
      <c r="BG152" s="20">
        <f t="shared" si="115"/>
        <v>2.8030510891776262E-12</v>
      </c>
      <c r="BH152" s="59">
        <f t="shared" si="116"/>
        <v>290.3600160589184</v>
      </c>
      <c r="BI152" s="59">
        <f ca="1">AVERAGE(OFFSET($BH$3,0,0,'Données projet'!$E$11+1,1))-AVERAGE(OFFSET($H$3,0,0,'Données projet'!$E$11+1,1))</f>
        <v>333.23043896066253</v>
      </c>
      <c r="BJ152" s="59">
        <f t="shared" si="146"/>
        <v>440.63438368668983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28.323710532827405</v>
      </c>
      <c r="BQ152" s="21">
        <f>EXP(-LN(2)/25)*BQ151+(1-EXP(-LN(2)/25))/(LN(2)/25)*Calculateur!BL152*Calculateur!BN152*VLOOKUP('Données projet'!$B$11,Paramètres!$A$1:$I$89,3,0)*0.475*44/12</f>
        <v>9.9544005265447097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38.278111059372115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69.189095288795173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1.1368683772161603E-13</v>
      </c>
      <c r="BZ152" s="13">
        <f>BY152*VLOOKUP('Données projet'!$B$12,Paramètres!$A$1:$I$89,3,0)*VLOOKUP('Données projet'!$B$12,Paramètres!$A$1:$I$89,5,0)</f>
        <v>4.5815795601811263E-14</v>
      </c>
      <c r="CA152" s="13">
        <f t="shared" si="147"/>
        <v>7.5374618042508364E-13</v>
      </c>
      <c r="CB152" s="20">
        <f t="shared" si="118"/>
        <v>1.392570441580175E-12</v>
      </c>
      <c r="CC152" s="59">
        <f t="shared" si="119"/>
        <v>290.36001605891698</v>
      </c>
      <c r="CD152" s="59">
        <f ca="1">AVERAGE(OFFSET($CC$3,0,0,'Données projet'!$E$12+1,1))-AVERAGE(OFFSET($H$3,0,0,'Données projet'!$E$12+1,1))</f>
        <v>177.34129362526608</v>
      </c>
      <c r="CE152" s="59">
        <f t="shared" si="148"/>
        <v>156.93407673501022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21.865948567121208</v>
      </c>
      <c r="CL152" s="21">
        <f>EXP(-LN(2)/25)*CL151+(1-EXP(-LN(2)/25))/(LN(2)/25)*Calculateur!CG152*Calculateur!CI152*VLOOKUP('Données projet'!$B$12,Paramètres!$A$1:$I$89,3,0)*0.475*44/12</f>
        <v>6.259960234638525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28.125908801759735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69.189095288795173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8.5265128291212022E-14</v>
      </c>
      <c r="CU152" s="17">
        <f>CT152*VLOOKUP('Données projet'!$B$13,Paramètres!$A$1:$I$89,3,0)*VLOOKUP('Données projet'!$B$13,Paramètres!$A$1:$I$89,5,0)</f>
        <v>5.5865712056402117E-14</v>
      </c>
      <c r="CV152" s="13">
        <f t="shared" si="149"/>
        <v>8.9811031843713517E-13</v>
      </c>
      <c r="CW152" s="20">
        <f t="shared" si="121"/>
        <v>1.6615082531095774E-12</v>
      </c>
      <c r="CX152" s="59">
        <f t="shared" si="122"/>
        <v>290.36001605891727</v>
      </c>
      <c r="CY152" s="59">
        <f ca="1">AVERAGE(OFFSET($CX$3,0,0,'Données projet'!$E$13+1,1))-AVERAGE(OFFSET($H$3,0,0,'Données projet'!$E$13+1,1))</f>
        <v>267.49254683294629</v>
      </c>
      <c r="CZ152" s="59">
        <f t="shared" si="150"/>
        <v>278.02595256967254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19.601689659863556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19.601689659863556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69.189095288795173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8.3249999999999993</v>
      </c>
      <c r="DO152" s="12">
        <f>IF('Données projet'!$A$166&gt;35,DO151+DN152-DW151,IF(A152&lt;'Données projet'!$A$166,$DL$205^A152,IF(A152='Données projet'!$A$166,'Données projet'!$B$166,DO151+DN152-DW151)))</f>
        <v>448.84500000000054</v>
      </c>
      <c r="DP152" s="17">
        <f>DO152*VLOOKUP('Données projet'!$B$14,Paramètres!$A$1:$I$89,3,0)*VLOOKUP('Données projet'!$B$14,Paramètres!$A$1:$I$89,5,0)</f>
        <v>406.11495600000046</v>
      </c>
      <c r="DQ152" s="13">
        <f t="shared" si="151"/>
        <v>93.015281926133852</v>
      </c>
      <c r="DR152" s="20">
        <f t="shared" si="124"/>
        <v>869.31849772135058</v>
      </c>
      <c r="DS152" s="59">
        <f t="shared" si="125"/>
        <v>1159.6785137802663</v>
      </c>
      <c r="DT152" s="59">
        <f ca="1">AVERAGE(OFFSET($DS$3,0,0,'Données projet'!$E$14+1,1))-AVERAGE(OFFSET($H$3,0,0,'Données projet'!$E$14+1,1))</f>
        <v>602.02351907077332</v>
      </c>
      <c r="DU152" s="59">
        <f t="shared" si="152"/>
        <v>278.08067690827272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62.775308934482787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62.775308934482787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69.189095288795173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69.189095288795173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69.189095288795173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69.189095288795173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2.2000000000000002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8.0666666666666682</v>
      </c>
      <c r="H153" s="67">
        <f t="shared" si="110"/>
        <v>224.4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69.203162672623236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360.09035401555587</v>
      </c>
      <c r="T153" s="59">
        <f t="shared" si="142"/>
        <v>266.54879627869821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43.011839001535904</v>
      </c>
      <c r="AA153" s="21">
        <f>EXP(-LN(2)/25)*AA152+(1-EXP(-LN(2)/25))/(LN(2)/25)*Calculateur!V153*Calculateur!X153*VLOOKUP('Données projet'!$B$9,Paramètres!$A$1:$I$89,3,0)*0.475*44/12</f>
        <v>11.59351006098046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54.605349062516368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69.203162672623236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-2.8421709430404007E-14</v>
      </c>
      <c r="AJ153" s="13">
        <f>AI153*VLOOKUP('Données projet'!$B$10,Paramètres!$A$1:$I$89,3,0)*VLOOKUP('Données projet'!$B$10,Paramètres!$A$1:$I$89,5,0)</f>
        <v>-2.3942448024172337E-14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377.26246345103175</v>
      </c>
      <c r="AO153" s="59">
        <f t="shared" si="144"/>
        <v>258.25890564000258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81.027034262206939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81.027034262206939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69.203162672623236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2.2737367544323206E-13</v>
      </c>
      <c r="BE153" s="13">
        <f>BD153*VLOOKUP('Données projet'!$B$11,Paramètres!$A$1:$I$89,3,0)*VLOOKUP('Données projet'!$B$11,Paramètres!$A$1:$I$89,5,0)</f>
        <v>1.0049916454590858E-13</v>
      </c>
      <c r="BF153" s="13">
        <f t="shared" si="145"/>
        <v>1.5089081593838289E-12</v>
      </c>
      <c r="BG153" s="20">
        <f t="shared" si="115"/>
        <v>2.8030510891776262E-12</v>
      </c>
      <c r="BH153" s="59">
        <f t="shared" si="116"/>
        <v>290.41159646628796</v>
      </c>
      <c r="BI153" s="59">
        <f ca="1">AVERAGE(OFFSET($BH$3,0,0,'Données projet'!$E$11+1,1))-AVERAGE(OFFSET($H$3,0,0,'Données projet'!$E$11+1,1))</f>
        <v>333.23043896066253</v>
      </c>
      <c r="BJ153" s="59">
        <f t="shared" si="146"/>
        <v>440.63438368668983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27.768299845036246</v>
      </c>
      <c r="BQ153" s="21">
        <f>EXP(-LN(2)/25)*BQ152+(1-EXP(-LN(2)/25))/(LN(2)/25)*Calculateur!BL153*Calculateur!BN153*VLOOKUP('Données projet'!$B$11,Paramètres!$A$1:$I$89,3,0)*0.475*44/12</f>
        <v>9.6821969206671721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37.45049676570342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69.203162672623236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1.1368683772161603E-13</v>
      </c>
      <c r="BZ153" s="13">
        <f>BY153*VLOOKUP('Données projet'!$B$12,Paramètres!$A$1:$I$89,3,0)*VLOOKUP('Données projet'!$B$12,Paramètres!$A$1:$I$89,5,0)</f>
        <v>4.5815795601811263E-14</v>
      </c>
      <c r="CA153" s="13">
        <f t="shared" si="147"/>
        <v>7.5374618042508364E-13</v>
      </c>
      <c r="CB153" s="20">
        <f t="shared" si="118"/>
        <v>1.392570441580175E-12</v>
      </c>
      <c r="CC153" s="59">
        <f t="shared" si="119"/>
        <v>290.41159646628654</v>
      </c>
      <c r="CD153" s="59">
        <f ca="1">AVERAGE(OFFSET($CC$3,0,0,'Données projet'!$E$12+1,1))-AVERAGE(OFFSET($H$3,0,0,'Données projet'!$E$12+1,1))</f>
        <v>177.34129362526608</v>
      </c>
      <c r="CE153" s="59">
        <f t="shared" si="148"/>
        <v>156.93407673501022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21.437170652631675</v>
      </c>
      <c r="CL153" s="21">
        <f>EXP(-LN(2)/25)*CL152+(1-EXP(-LN(2)/25))/(LN(2)/25)*Calculateur!CG153*Calculateur!CI153*VLOOKUP('Données projet'!$B$12,Paramètres!$A$1:$I$89,3,0)*0.475*44/12</f>
        <v>6.0887812928253329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27.52595194545701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69.203162672623236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8.5265128291212022E-14</v>
      </c>
      <c r="CU153" s="17">
        <f>CT153*VLOOKUP('Données projet'!$B$13,Paramètres!$A$1:$I$89,3,0)*VLOOKUP('Données projet'!$B$13,Paramètres!$A$1:$I$89,5,0)</f>
        <v>5.5865712056402117E-14</v>
      </c>
      <c r="CV153" s="13">
        <f t="shared" si="149"/>
        <v>8.9811031843713517E-13</v>
      </c>
      <c r="CW153" s="20">
        <f t="shared" si="121"/>
        <v>1.6615082531095774E-12</v>
      </c>
      <c r="CX153" s="59">
        <f t="shared" si="122"/>
        <v>290.41159646628682</v>
      </c>
      <c r="CY153" s="59">
        <f ca="1">AVERAGE(OFFSET($CX$3,0,0,'Données projet'!$E$13+1,1))-AVERAGE(OFFSET($H$3,0,0,'Données projet'!$E$13+1,1))</f>
        <v>267.49254683294629</v>
      </c>
      <c r="CZ153" s="59">
        <f t="shared" si="150"/>
        <v>278.02595256967254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19.217312481483781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19.217312481483781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69.203162672623236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8.3249999999999993</v>
      </c>
      <c r="DO153" s="12">
        <f>IF('Données projet'!$A$166&gt;35,DO152+DN153-DW152,IF(A153&lt;'Données projet'!$A$166,$DL$205^A153,IF(A153='Données projet'!$A$166,'Données projet'!$B$166,DO152+DN153-DW152)))</f>
        <v>457.17000000000053</v>
      </c>
      <c r="DP153" s="17">
        <f>DO153*VLOOKUP('Données projet'!$B$14,Paramètres!$A$1:$I$89,3,0)*VLOOKUP('Données projet'!$B$14,Paramètres!$A$1:$I$89,5,0)</f>
        <v>413.64741600000042</v>
      </c>
      <c r="DQ153" s="13">
        <f t="shared" si="151"/>
        <v>94.538043857309361</v>
      </c>
      <c r="DR153" s="20">
        <f t="shared" si="124"/>
        <v>885.0896759181478</v>
      </c>
      <c r="DS153" s="59">
        <f t="shared" si="125"/>
        <v>1175.5012723844329</v>
      </c>
      <c r="DT153" s="59">
        <f ca="1">AVERAGE(OFFSET($DS$3,0,0,'Données projet'!$E$14+1,1))-AVERAGE(OFFSET($H$3,0,0,'Données projet'!$E$14+1,1))</f>
        <v>602.02351907077332</v>
      </c>
      <c r="DU153" s="59">
        <f t="shared" si="152"/>
        <v>278.08067690827272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61.544323415435287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61.544323415435287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69.203162672623236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69.203162672623236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69.203162672623236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69.203162672623236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2.2000000000000002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8.0666666666666682</v>
      </c>
      <c r="H154" s="67">
        <f t="shared" si="110"/>
        <v>224.4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69.216986018791843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360.09035401555587</v>
      </c>
      <c r="T154" s="59">
        <f t="shared" si="142"/>
        <v>266.54879627869821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42.168403073347122</v>
      </c>
      <c r="AA154" s="21">
        <f>EXP(-LN(2)/25)*AA153+(1-EXP(-LN(2)/25))/(LN(2)/25)*Calculateur!V154*Calculateur!X154*VLOOKUP('Données projet'!$B$9,Paramètres!$A$1:$I$89,3,0)*0.475*44/12</f>
        <v>11.276484918686753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53.444887992033877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69.216986018791843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-2.8421709430404007E-14</v>
      </c>
      <c r="AJ154" s="13">
        <f>AI154*VLOOKUP('Données projet'!$B$10,Paramètres!$A$1:$I$89,3,0)*VLOOKUP('Données projet'!$B$10,Paramètres!$A$1:$I$89,5,0)</f>
        <v>-2.3942448024172337E-14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377.26246345103175</v>
      </c>
      <c r="AO154" s="59">
        <f t="shared" si="144"/>
        <v>258.25890564000258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79.438143541935986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79.438143541935986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69.216986018791843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2.2737367544323206E-13</v>
      </c>
      <c r="BE154" s="13">
        <f>BD154*VLOOKUP('Données projet'!$B$11,Paramètres!$A$1:$I$89,3,0)*VLOOKUP('Données projet'!$B$11,Paramètres!$A$1:$I$89,5,0)</f>
        <v>1.0049916454590858E-13</v>
      </c>
      <c r="BF154" s="13">
        <f t="shared" ref="BF154:BF203" si="167">EXP(-1.0587+0.8836*LN(BE154)+0.284)</f>
        <v>1.5089081593838289E-12</v>
      </c>
      <c r="BG154" s="20">
        <f t="shared" ref="BG154:BG203" si="168">(BE154+BF154)*0.475*44/12</f>
        <v>2.8030510891776262E-12</v>
      </c>
      <c r="BH154" s="59">
        <f t="shared" si="116"/>
        <v>290.46228206890623</v>
      </c>
      <c r="BI154" s="59">
        <f ca="1">AVERAGE(OFFSET($BH$3,0,0,'Données projet'!$E$11+1,1))-AVERAGE(OFFSET($H$3,0,0,'Données projet'!$E$11+1,1))</f>
        <v>333.23043896066253</v>
      </c>
      <c r="BJ154" s="59">
        <f t="shared" si="146"/>
        <v>440.63438368668983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27.223780422065602</v>
      </c>
      <c r="BQ154" s="21">
        <f>EXP(-LN(2)/25)*BQ153+(1-EXP(-LN(2)/25))/(LN(2)/25)*Calculateur!BL154*Calculateur!BN154*VLOOKUP('Données projet'!$B$11,Paramètres!$A$1:$I$89,3,0)*0.475*44/12</f>
        <v>9.4174367367069216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36.64121715877252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69.216986018791843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1.1368683772161603E-13</v>
      </c>
      <c r="BZ154" s="13">
        <f>BY154*VLOOKUP('Données projet'!$B$12,Paramètres!$A$1:$I$89,3,0)*VLOOKUP('Données projet'!$B$12,Paramètres!$A$1:$I$89,5,0)</f>
        <v>4.5815795601811263E-14</v>
      </c>
      <c r="CA154" s="13">
        <f t="shared" ref="CA154:CA203" si="170">EXP(-1.0587+0.8836*LN(BZ154)+0.284)</f>
        <v>7.5374618042508364E-13</v>
      </c>
      <c r="CB154" s="20">
        <f t="shared" ref="CB154:CB203" si="171">(BZ154+CA154)*0.475*44/12</f>
        <v>1.392570441580175E-12</v>
      </c>
      <c r="CC154" s="59">
        <f t="shared" si="119"/>
        <v>290.46228206890481</v>
      </c>
      <c r="CD154" s="59">
        <f ca="1">AVERAGE(OFFSET($CC$3,0,0,'Données projet'!$E$12+1,1))-AVERAGE(OFFSET($H$3,0,0,'Données projet'!$E$12+1,1))</f>
        <v>177.34129362526608</v>
      </c>
      <c r="CE154" s="59">
        <f t="shared" si="148"/>
        <v>156.93407673501022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21.016800811516578</v>
      </c>
      <c r="CL154" s="21">
        <f>EXP(-LN(2)/25)*CL153+(1-EXP(-LN(2)/25))/(LN(2)/25)*Calculateur!CG154*Calculateur!CI154*VLOOKUP('Données projet'!$B$12,Paramètres!$A$1:$I$89,3,0)*0.475*44/12</f>
        <v>5.9222832481779317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26.939084059694508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69.216986018791843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8.5265128291212022E-14</v>
      </c>
      <c r="CU154" s="17">
        <f>CT154*VLOOKUP('Données projet'!$B$13,Paramètres!$A$1:$I$89,3,0)*VLOOKUP('Données projet'!$B$13,Paramètres!$A$1:$I$89,5,0)</f>
        <v>5.5865712056402117E-14</v>
      </c>
      <c r="CV154" s="13">
        <f t="shared" ref="CV154:CV203" si="173">EXP(-1.0587+0.8836*LN(CU154)+0.284)</f>
        <v>8.9811031843713517E-13</v>
      </c>
      <c r="CW154" s="20">
        <f t="shared" ref="CW154:CW203" si="174">(CU154+CV154)*0.475*44/12</f>
        <v>1.6615082531095774E-12</v>
      </c>
      <c r="CX154" s="59">
        <f t="shared" si="122"/>
        <v>290.4622820689051</v>
      </c>
      <c r="CY154" s="59">
        <f ca="1">AVERAGE(OFFSET($CX$3,0,0,'Données projet'!$E$13+1,1))-AVERAGE(OFFSET($H$3,0,0,'Données projet'!$E$13+1,1))</f>
        <v>267.49254683294629</v>
      </c>
      <c r="CZ154" s="59">
        <f t="shared" si="150"/>
        <v>278.02595256967254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18.840472705125105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18.840472705125105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69.216986018791843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8.3249999999999993</v>
      </c>
      <c r="DO154" s="12">
        <f>IF('Données projet'!$A$166&gt;35,DO153+DN154-DW153,IF(A154&lt;'Données projet'!$A$166,$DL$205^A154,IF(A154='Données projet'!$A$166,'Données projet'!$B$166,DO153+DN154-DW153)))</f>
        <v>465.49500000000052</v>
      </c>
      <c r="DP154" s="17">
        <f>DO154*VLOOKUP('Données projet'!$B$14,Paramètres!$A$1:$I$89,3,0)*VLOOKUP('Données projet'!$B$14,Paramètres!$A$1:$I$89,5,0)</f>
        <v>421.17987600000043</v>
      </c>
      <c r="DQ154" s="13">
        <f t="shared" ref="DQ154:DQ203" si="176">EXP(-1.0587+0.8836*LN(DP154)+0.284)</f>
        <v>96.057581330707137</v>
      </c>
      <c r="DR154" s="20">
        <f t="shared" ref="DR154:DR203" si="177">(DP154+DQ154)*0.475*44/12</f>
        <v>900.85523818431557</v>
      </c>
      <c r="DS154" s="59">
        <f t="shared" si="125"/>
        <v>1191.3175202532191</v>
      </c>
      <c r="DT154" s="59">
        <f ca="1">AVERAGE(OFFSET($DS$3,0,0,'Données projet'!$E$14+1,1))-AVERAGE(OFFSET($H$3,0,0,'Données projet'!$E$14+1,1))</f>
        <v>602.02351907077332</v>
      </c>
      <c r="DU154" s="59">
        <f t="shared" si="152"/>
        <v>278.08067690827272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60.33747677158928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60.33747677158928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69.216986018791843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69.216986018791843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69.216986018791843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69.216986018791843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2.2000000000000002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8.0666666666666682</v>
      </c>
      <c r="H155" s="67">
        <f t="shared" si="110"/>
        <v>224.4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69.230569560808789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360.09035401555587</v>
      </c>
      <c r="T155" s="59">
        <f t="shared" si="142"/>
        <v>266.54879627869821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41.341506409265001</v>
      </c>
      <c r="AA155" s="21">
        <f>EXP(-LN(2)/25)*AA154+(1-EXP(-LN(2)/25))/(LN(2)/25)*Calculateur!V155*Calculateur!X155*VLOOKUP('Données projet'!$B$9,Paramètres!$A$1:$I$89,3,0)*0.475*44/12</f>
        <v>10.968128845580695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52.309635254845695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69.230569560808789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-2.8421709430404007E-14</v>
      </c>
      <c r="AJ155" s="13">
        <f>AI155*VLOOKUP('Données projet'!$B$10,Paramètres!$A$1:$I$89,3,0)*VLOOKUP('Données projet'!$B$10,Paramètres!$A$1:$I$89,5,0)</f>
        <v>-2.3942448024172337E-14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377.26246345103175</v>
      </c>
      <c r="AO155" s="59">
        <f t="shared" si="144"/>
        <v>258.25890564000258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77.880409999561891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77.880409999561891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69.230569560808789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2.2737367544323206E-13</v>
      </c>
      <c r="BE155" s="13">
        <f>BD155*VLOOKUP('Données projet'!$B$11,Paramètres!$A$1:$I$89,3,0)*VLOOKUP('Données projet'!$B$11,Paramètres!$A$1:$I$89,5,0)</f>
        <v>1.0049916454590858E-13</v>
      </c>
      <c r="BF155" s="13">
        <f t="shared" si="167"/>
        <v>1.5089081593838289E-12</v>
      </c>
      <c r="BG155" s="20">
        <f t="shared" si="168"/>
        <v>2.8030510891776262E-12</v>
      </c>
      <c r="BH155" s="59">
        <f t="shared" si="116"/>
        <v>290.51208838963498</v>
      </c>
      <c r="BI155" s="59">
        <f ca="1">AVERAGE(OFFSET($BH$3,0,0,'Données projet'!$E$11+1,1))-AVERAGE(OFFSET($H$3,0,0,'Données projet'!$E$11+1,1))</f>
        <v>333.23043896066253</v>
      </c>
      <c r="BJ155" s="59">
        <f t="shared" si="146"/>
        <v>440.63438368668983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26.689938692855357</v>
      </c>
      <c r="BQ155" s="21">
        <f>EXP(-LN(2)/25)*BQ154+(1-EXP(-LN(2)/25))/(LN(2)/25)*Calculateur!BL155*Calculateur!BN155*VLOOKUP('Données projet'!$B$11,Paramètres!$A$1:$I$89,3,0)*0.475*44/12</f>
        <v>9.1599164339001966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35.849855126755557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69.230569560808789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1.1368683772161603E-13</v>
      </c>
      <c r="BZ155" s="13">
        <f>BY155*VLOOKUP('Données projet'!$B$12,Paramètres!$A$1:$I$89,3,0)*VLOOKUP('Données projet'!$B$12,Paramètres!$A$1:$I$89,5,0)</f>
        <v>4.5815795601811263E-14</v>
      </c>
      <c r="CA155" s="13">
        <f t="shared" si="170"/>
        <v>7.5374618042508364E-13</v>
      </c>
      <c r="CB155" s="20">
        <f t="shared" si="171"/>
        <v>1.392570441580175E-12</v>
      </c>
      <c r="CC155" s="59">
        <f t="shared" si="119"/>
        <v>290.51208838963356</v>
      </c>
      <c r="CD155" s="59">
        <f ca="1">AVERAGE(OFFSET($CC$3,0,0,'Données projet'!$E$12+1,1))-AVERAGE(OFFSET($H$3,0,0,'Données projet'!$E$12+1,1))</f>
        <v>177.34129362526608</v>
      </c>
      <c r="CE155" s="59">
        <f t="shared" si="148"/>
        <v>156.93407673501022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20.604674166585465</v>
      </c>
      <c r="CL155" s="21">
        <f>EXP(-LN(2)/25)*CL154+(1-EXP(-LN(2)/25))/(LN(2)/25)*Calculateur!CG155*Calculateur!CI155*VLOOKUP('Données projet'!$B$12,Paramètres!$A$1:$I$89,3,0)*0.475*44/12</f>
        <v>5.7603381013171653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26.365012267902628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69.230569560808789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8.5265128291212022E-14</v>
      </c>
      <c r="CU155" s="17">
        <f>CT155*VLOOKUP('Données projet'!$B$13,Paramètres!$A$1:$I$89,3,0)*VLOOKUP('Données projet'!$B$13,Paramètres!$A$1:$I$89,5,0)</f>
        <v>5.5865712056402117E-14</v>
      </c>
      <c r="CV155" s="13">
        <f t="shared" si="173"/>
        <v>8.9811031843713517E-13</v>
      </c>
      <c r="CW155" s="20">
        <f t="shared" si="174"/>
        <v>1.6615082531095774E-12</v>
      </c>
      <c r="CX155" s="59">
        <f t="shared" si="122"/>
        <v>290.51208838963385</v>
      </c>
      <c r="CY155" s="59">
        <f ca="1">AVERAGE(OFFSET($CX$3,0,0,'Données projet'!$E$13+1,1))-AVERAGE(OFFSET($H$3,0,0,'Données projet'!$E$13+1,1))</f>
        <v>267.49254683294629</v>
      </c>
      <c r="CZ155" s="59">
        <f t="shared" si="150"/>
        <v>278.02595256967254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18.471022526931254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18.471022526931254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69.230569560808789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8.3249999999999993</v>
      </c>
      <c r="DO155" s="12">
        <f>IF('Données projet'!$A$166&gt;35,DO154+DN155-DW154,IF(A155&lt;'Données projet'!$A$166,$DL$205^A155,IF(A155='Données projet'!$A$166,'Données projet'!$B$166,DO154+DN155-DW154)))</f>
        <v>473.8200000000005</v>
      </c>
      <c r="DP155" s="17">
        <f>DO155*VLOOKUP('Données projet'!$B$14,Paramètres!$A$1:$I$89,3,0)*VLOOKUP('Données projet'!$B$14,Paramètres!$A$1:$I$89,5,0)</f>
        <v>428.71233600000051</v>
      </c>
      <c r="DQ155" s="13">
        <f t="shared" si="176"/>
        <v>97.57395866550209</v>
      </c>
      <c r="DR155" s="20">
        <f t="shared" si="177"/>
        <v>916.61529654241701</v>
      </c>
      <c r="DS155" s="59">
        <f t="shared" si="125"/>
        <v>1207.1273849320492</v>
      </c>
      <c r="DT155" s="59">
        <f ca="1">AVERAGE(OFFSET($DS$3,0,0,'Données projet'!$E$14+1,1))-AVERAGE(OFFSET($H$3,0,0,'Données projet'!$E$14+1,1))</f>
        <v>602.02351907077332</v>
      </c>
      <c r="DU155" s="59">
        <f t="shared" si="152"/>
        <v>278.08067690827272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59.154295654325324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59.154295654325324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69.230569560808789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69.230569560808789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69.230569560808789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69.230569560808789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2.2000000000000002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8.0666666666666682</v>
      </c>
      <c r="H156" s="67">
        <f t="shared" si="110"/>
        <v>224.4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69.24391745874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360.09035401555587</v>
      </c>
      <c r="T156" s="59">
        <f t="shared" si="142"/>
        <v>266.54879627869821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40.530824684408365</v>
      </c>
      <c r="AA156" s="21">
        <f>EXP(-LN(2)/25)*AA155+(1-EXP(-LN(2)/25))/(LN(2)/25)*Calculateur!V156*Calculateur!X156*VLOOKUP('Données projet'!$B$9,Paramètres!$A$1:$I$89,3,0)*0.475*44/12</f>
        <v>10.668204785509463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51.199029469917832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69.24391745874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-2.8421709430404007E-14</v>
      </c>
      <c r="AJ156" s="13">
        <f>AI156*VLOOKUP('Données projet'!$B$10,Paramètres!$A$1:$I$89,3,0)*VLOOKUP('Données projet'!$B$10,Paramètres!$A$1:$I$89,5,0)</f>
        <v>-2.3942448024172337E-14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377.26246345103175</v>
      </c>
      <c r="AO156" s="59">
        <f t="shared" si="144"/>
        <v>258.25890564000258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76.353222661830117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76.353222661830117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69.24391745874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2.2737367544323206E-13</v>
      </c>
      <c r="BE156" s="13">
        <f>BD156*VLOOKUP('Données projet'!$B$11,Paramètres!$A$1:$I$89,3,0)*VLOOKUP('Données projet'!$B$11,Paramètres!$A$1:$I$89,5,0)</f>
        <v>1.0049916454590858E-13</v>
      </c>
      <c r="BF156" s="13">
        <f t="shared" si="167"/>
        <v>1.5089081593838289E-12</v>
      </c>
      <c r="BG156" s="20">
        <f t="shared" si="168"/>
        <v>2.8030510891776262E-12</v>
      </c>
      <c r="BH156" s="59">
        <f t="shared" si="116"/>
        <v>290.56103068204948</v>
      </c>
      <c r="BI156" s="59">
        <f ca="1">AVERAGE(OFFSET($BH$3,0,0,'Données projet'!$E$11+1,1))-AVERAGE(OFFSET($H$3,0,0,'Données projet'!$E$11+1,1))</f>
        <v>333.23043896066253</v>
      </c>
      <c r="BJ156" s="59">
        <f t="shared" si="146"/>
        <v>440.63438368668983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26.166565274343622</v>
      </c>
      <c r="BQ156" s="21">
        <f>EXP(-LN(2)/25)*BQ155+(1-EXP(-LN(2)/25))/(LN(2)/25)*Calculateur!BL156*Calculateur!BN156*VLOOKUP('Données projet'!$B$11,Paramètres!$A$1:$I$89,3,0)*0.475*44/12</f>
        <v>8.909438037316125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35.076003311659747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69.24391745874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1.1368683772161603E-13</v>
      </c>
      <c r="BZ156" s="13">
        <f>BY156*VLOOKUP('Données projet'!$B$12,Paramètres!$A$1:$I$89,3,0)*VLOOKUP('Données projet'!$B$12,Paramètres!$A$1:$I$89,5,0)</f>
        <v>4.5815795601811263E-14</v>
      </c>
      <c r="CA156" s="13">
        <f t="shared" si="170"/>
        <v>7.5374618042508364E-13</v>
      </c>
      <c r="CB156" s="20">
        <f t="shared" si="171"/>
        <v>1.392570441580175E-12</v>
      </c>
      <c r="CC156" s="59">
        <f t="shared" si="119"/>
        <v>290.56103068204806</v>
      </c>
      <c r="CD156" s="59">
        <f ca="1">AVERAGE(OFFSET($CC$3,0,0,'Données projet'!$E$12+1,1))-AVERAGE(OFFSET($H$3,0,0,'Données projet'!$E$12+1,1))</f>
        <v>177.34129362526608</v>
      </c>
      <c r="CE156" s="59">
        <f t="shared" si="148"/>
        <v>156.93407673501022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20.200629073789017</v>
      </c>
      <c r="CL156" s="21">
        <f>EXP(-LN(2)/25)*CL155+(1-EXP(-LN(2)/25))/(LN(2)/25)*Calculateur!CG156*Calculateur!CI156*VLOOKUP('Données projet'!$B$12,Paramètres!$A$1:$I$89,3,0)*0.475*44/12</f>
        <v>5.6028213530136322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25.803450426802648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69.24391745874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8.5265128291212022E-14</v>
      </c>
      <c r="CU156" s="17">
        <f>CT156*VLOOKUP('Données projet'!$B$13,Paramètres!$A$1:$I$89,3,0)*VLOOKUP('Données projet'!$B$13,Paramètres!$A$1:$I$89,5,0)</f>
        <v>5.5865712056402117E-14</v>
      </c>
      <c r="CV156" s="13">
        <f t="shared" si="173"/>
        <v>8.9811031843713517E-13</v>
      </c>
      <c r="CW156" s="20">
        <f t="shared" si="174"/>
        <v>1.6615082531095774E-12</v>
      </c>
      <c r="CX156" s="59">
        <f t="shared" si="122"/>
        <v>290.56103068204834</v>
      </c>
      <c r="CY156" s="59">
        <f ca="1">AVERAGE(OFFSET($CX$3,0,0,'Données projet'!$E$13+1,1))-AVERAGE(OFFSET($H$3,0,0,'Données projet'!$E$13+1,1))</f>
        <v>267.49254683294629</v>
      </c>
      <c r="CZ156" s="59">
        <f t="shared" si="150"/>
        <v>278.02595256967254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18.108817041389429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18.108817041389429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69.24391745874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8.3249999999999993</v>
      </c>
      <c r="DO156" s="12">
        <f>IF('Données projet'!$A$166&gt;35,DO155+DN156-DW155,IF(A156&lt;'Données projet'!$A$166,$DL$205^A156,IF(A156='Données projet'!$A$166,'Données projet'!$B$166,DO155+DN156-DW155)))</f>
        <v>482.14500000000049</v>
      </c>
      <c r="DP156" s="17">
        <f>DO156*VLOOKUP('Données projet'!$B$14,Paramètres!$A$1:$I$89,3,0)*VLOOKUP('Données projet'!$B$14,Paramètres!$A$1:$I$89,5,0)</f>
        <v>436.24479600000041</v>
      </c>
      <c r="DQ156" s="13">
        <f t="shared" si="176"/>
        <v>99.087237791231857</v>
      </c>
      <c r="DR156" s="20">
        <f t="shared" si="177"/>
        <v>932.36995885306271</v>
      </c>
      <c r="DS156" s="59">
        <f t="shared" si="125"/>
        <v>1222.9309895351093</v>
      </c>
      <c r="DT156" s="59">
        <f ca="1">AVERAGE(OFFSET($DS$3,0,0,'Données projet'!$E$14+1,1))-AVERAGE(OFFSET($H$3,0,0,'Données projet'!$E$14+1,1))</f>
        <v>602.02351907077332</v>
      </c>
      <c r="DU156" s="59">
        <f t="shared" si="152"/>
        <v>278.08067690827272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57.994315997101694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57.994315997101694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69.24391745874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69.24391745874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69.24391745874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69.24391745874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2.2000000000000002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8.0666666666666682</v>
      </c>
      <c r="H157" s="67">
        <f t="shared" si="110"/>
        <v>224.4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69.257033800483526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360.09035401555587</v>
      </c>
      <c r="T157" s="59">
        <f t="shared" si="142"/>
        <v>266.54879627869821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39.736039933709144</v>
      </c>
      <c r="AA157" s="21">
        <f>EXP(-LN(2)/25)*AA156+(1-EXP(-LN(2)/25))/(LN(2)/25)*Calculateur!V157*Calculateur!X157*VLOOKUP('Données projet'!$B$9,Paramètres!$A$1:$I$89,3,0)*0.475*44/12</f>
        <v>10.376482164633199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50.112522098342339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69.257033800483526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-2.8421709430404007E-14</v>
      </c>
      <c r="AJ157" s="13">
        <f>AI157*VLOOKUP('Données projet'!$B$10,Paramètres!$A$1:$I$89,3,0)*VLOOKUP('Données projet'!$B$10,Paramètres!$A$1:$I$89,5,0)</f>
        <v>-2.3942448024172337E-14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377.26246345103175</v>
      </c>
      <c r="AO157" s="59">
        <f t="shared" si="144"/>
        <v>258.25890564000258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74.855982536298967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74.855982536298967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69.257033800483526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2.2737367544323206E-13</v>
      </c>
      <c r="BE157" s="13">
        <f>BD157*VLOOKUP('Données projet'!$B$11,Paramètres!$A$1:$I$89,3,0)*VLOOKUP('Données projet'!$B$11,Paramètres!$A$1:$I$89,5,0)</f>
        <v>1.0049916454590858E-13</v>
      </c>
      <c r="BF157" s="13">
        <f t="shared" si="167"/>
        <v>1.5089081593838289E-12</v>
      </c>
      <c r="BG157" s="20">
        <f t="shared" si="168"/>
        <v>2.8030510891776262E-12</v>
      </c>
      <c r="BH157" s="59">
        <f t="shared" si="116"/>
        <v>290.60912393510904</v>
      </c>
      <c r="BI157" s="59">
        <f ca="1">AVERAGE(OFFSET($BH$3,0,0,'Données projet'!$E$11+1,1))-AVERAGE(OFFSET($H$3,0,0,'Données projet'!$E$11+1,1))</f>
        <v>333.23043896066253</v>
      </c>
      <c r="BJ157" s="59">
        <f t="shared" si="146"/>
        <v>440.63438368668983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25.65345488934264</v>
      </c>
      <c r="BQ157" s="21">
        <f>EXP(-LN(2)/25)*BQ156+(1-EXP(-LN(2)/25))/(LN(2)/25)*Calculateur!BL157*Calculateur!BN157*VLOOKUP('Données projet'!$B$11,Paramètres!$A$1:$I$89,3,0)*0.475*44/12</f>
        <v>8.6658089856587317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34.319263875001369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69.257033800483526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1.1368683772161603E-13</v>
      </c>
      <c r="BZ157" s="13">
        <f>BY157*VLOOKUP('Données projet'!$B$12,Paramètres!$A$1:$I$89,3,0)*VLOOKUP('Données projet'!$B$12,Paramètres!$A$1:$I$89,5,0)</f>
        <v>4.5815795601811263E-14</v>
      </c>
      <c r="CA157" s="13">
        <f t="shared" si="170"/>
        <v>7.5374618042508364E-13</v>
      </c>
      <c r="CB157" s="20">
        <f t="shared" si="171"/>
        <v>1.392570441580175E-12</v>
      </c>
      <c r="CC157" s="59">
        <f t="shared" si="119"/>
        <v>290.60912393510762</v>
      </c>
      <c r="CD157" s="59">
        <f ca="1">AVERAGE(OFFSET($CC$3,0,0,'Données projet'!$E$12+1,1))-AVERAGE(OFFSET($H$3,0,0,'Données projet'!$E$12+1,1))</f>
        <v>177.34129362526608</v>
      </c>
      <c r="CE157" s="59">
        <f t="shared" si="148"/>
        <v>156.93407673501022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19.804507058819134</v>
      </c>
      <c r="CL157" s="21">
        <f>EXP(-LN(2)/25)*CL156+(1-EXP(-LN(2)/25))/(LN(2)/25)*Calculateur!CG157*Calculateur!CI157*VLOOKUP('Données projet'!$B$12,Paramètres!$A$1:$I$89,3,0)*0.475*44/12</f>
        <v>5.4496119084759052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25.254118967295039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69.257033800483526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8.5265128291212022E-14</v>
      </c>
      <c r="CU157" s="17">
        <f>CT157*VLOOKUP('Données projet'!$B$13,Paramètres!$A$1:$I$89,3,0)*VLOOKUP('Données projet'!$B$13,Paramètres!$A$1:$I$89,5,0)</f>
        <v>5.5865712056402117E-14</v>
      </c>
      <c r="CV157" s="13">
        <f t="shared" si="173"/>
        <v>8.9811031843713517E-13</v>
      </c>
      <c r="CW157" s="20">
        <f t="shared" si="174"/>
        <v>1.6615082531095774E-12</v>
      </c>
      <c r="CX157" s="59">
        <f t="shared" si="122"/>
        <v>290.6091239351079</v>
      </c>
      <c r="CY157" s="59">
        <f ca="1">AVERAGE(OFFSET($CX$3,0,0,'Données projet'!$E$13+1,1))-AVERAGE(OFFSET($H$3,0,0,'Données projet'!$E$13+1,1))</f>
        <v>267.49254683294629</v>
      </c>
      <c r="CZ157" s="59">
        <f t="shared" si="150"/>
        <v>278.02595256967254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17.753714184495546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17.753714184495546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69.257033800483526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>
        <f>VLOOKUP(A157,'Données projet'!$A$165:$I$185,2,0)</f>
        <v>490.47</v>
      </c>
      <c r="DM157" s="12">
        <f>VLOOKUP(A157,'Données projet'!$A$165:$I$185,9,0)</f>
        <v>8.3249999999999993</v>
      </c>
      <c r="DN157" s="12">
        <f t="array" ref="DN157">INDEX(DM:DM,MIN(IF(ISNUMBER(DM157:DM353),ROW(DM157:DM353),"")))</f>
        <v>8.3249999999999993</v>
      </c>
      <c r="DO157" s="12">
        <f>IF('Données projet'!$A$166&gt;35,DO156+DN157-DW156,IF(A157&lt;'Données projet'!$A$166,$DL$205^A157,IF(A157='Données projet'!$A$166,'Données projet'!$B$166,DO156+DN157-DW156)))</f>
        <v>490.47000000000048</v>
      </c>
      <c r="DP157" s="17">
        <f>DO157*VLOOKUP('Données projet'!$B$14,Paramètres!$A$1:$I$89,3,0)*VLOOKUP('Données projet'!$B$14,Paramètres!$A$1:$I$89,5,0)</f>
        <v>443.77725600000048</v>
      </c>
      <c r="DQ157" s="13">
        <f t="shared" si="176"/>
        <v>100.59747837627934</v>
      </c>
      <c r="DR157" s="20">
        <f t="shared" si="177"/>
        <v>948.11932903868717</v>
      </c>
      <c r="DS157" s="59">
        <f t="shared" si="125"/>
        <v>1238.7284529737935</v>
      </c>
      <c r="DT157" s="59">
        <f ca="1">AVERAGE(OFFSET($DS$3,0,0,'Données projet'!$E$14+1,1))-AVERAGE(OFFSET($H$3,0,0,'Données projet'!$E$14+1,1))</f>
        <v>602.02351907077332</v>
      </c>
      <c r="DU157" s="59">
        <f t="shared" si="152"/>
        <v>278.08067690827272</v>
      </c>
      <c r="DV157" s="15">
        <f>IF(ISNA(VLOOKUP(A157,'Données projet'!$A$165:$I$185,3,0)),0,VLOOKUP(A157,'Données projet'!$A$165:$I$185,3,0))</f>
        <v>13</v>
      </c>
      <c r="DW157" s="15">
        <f>IF(ISNA(VLOOKUP(A157,'Données projet'!$A$165:$I$185,4,0)),0,VLOOKUP(A157,'Données projet'!$A$165:$I$185,4,0))</f>
        <v>55.13</v>
      </c>
      <c r="DX157" s="16">
        <f>IF(ISNA(VLOOKUP(A157,'Données projet'!$A$165:$I$185,5,0)),0%,VLOOKUP(A157,'Données projet'!$A$165:$I$185,5,0)*VLOOKUP('Données projet'!$B$14,Paramètres!$A$1:$I$89,7,0))</f>
        <v>0.25800000000000001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71.083888549708462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71.083888549708462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69.257033800483526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69.257033800483526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69.257033800483526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69.257033800483526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2.2000000000000002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8.0666666666666682</v>
      </c>
      <c r="H158" s="67">
        <f t="shared" si="110"/>
        <v>224.4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69.26992260302157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360.09035401555587</v>
      </c>
      <c r="T158" s="59">
        <f t="shared" si="142"/>
        <v>266.54879627869821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38.956840427200305</v>
      </c>
      <c r="AA158" s="21">
        <f>EXP(-LN(2)/25)*AA157+(1-EXP(-LN(2)/25))/(LN(2)/25)*Calculateur!V158*Calculateur!X158*VLOOKUP('Données projet'!$B$9,Paramètres!$A$1:$I$89,3,0)*0.475*44/12</f>
        <v>10.092736714165822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49.049577141366129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69.26992260302157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-2.8421709430404007E-14</v>
      </c>
      <c r="AJ158" s="13">
        <f>AI158*VLOOKUP('Données projet'!$B$10,Paramètres!$A$1:$I$89,3,0)*VLOOKUP('Données projet'!$B$10,Paramètres!$A$1:$I$89,5,0)</f>
        <v>-2.3942448024172337E-14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377.26246345103175</v>
      </c>
      <c r="AO158" s="59">
        <f t="shared" si="144"/>
        <v>258.25890564000258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73.388102376403168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73.388102376403168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69.26992260302157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2.2737367544323206E-13</v>
      </c>
      <c r="BE158" s="13">
        <f>BD158*VLOOKUP('Données projet'!$B$11,Paramètres!$A$1:$I$89,3,0)*VLOOKUP('Données projet'!$B$11,Paramètres!$A$1:$I$89,5,0)</f>
        <v>1.0049916454590858E-13</v>
      </c>
      <c r="BF158" s="13">
        <f t="shared" si="167"/>
        <v>1.5089081593838289E-12</v>
      </c>
      <c r="BG158" s="20">
        <f t="shared" si="168"/>
        <v>2.8030510891776262E-12</v>
      </c>
      <c r="BH158" s="59">
        <f t="shared" si="116"/>
        <v>290.65638287774857</v>
      </c>
      <c r="BI158" s="59">
        <f ca="1">AVERAGE(OFFSET($BH$3,0,0,'Données projet'!$E$11+1,1))-AVERAGE(OFFSET($H$3,0,0,'Données projet'!$E$11+1,1))</f>
        <v>333.23043896066253</v>
      </c>
      <c r="BJ158" s="59">
        <f t="shared" si="146"/>
        <v>440.63438368668983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25.150406286025095</v>
      </c>
      <c r="BQ158" s="21">
        <f>EXP(-LN(2)/25)*BQ157+(1-EXP(-LN(2)/25))/(LN(2)/25)*Calculateur!BL158*Calculateur!BN158*VLOOKUP('Données projet'!$B$11,Paramètres!$A$1:$I$89,3,0)*0.475*44/12</f>
        <v>8.4288419832308055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33.579248269255899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69.26992260302157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1.1368683772161603E-13</v>
      </c>
      <c r="BZ158" s="13">
        <f>BY158*VLOOKUP('Données projet'!$B$12,Paramètres!$A$1:$I$89,3,0)*VLOOKUP('Données projet'!$B$12,Paramètres!$A$1:$I$89,5,0)</f>
        <v>4.5815795601811263E-14</v>
      </c>
      <c r="CA158" s="13">
        <f t="shared" si="170"/>
        <v>7.5374618042508364E-13</v>
      </c>
      <c r="CB158" s="20">
        <f t="shared" si="171"/>
        <v>1.392570441580175E-12</v>
      </c>
      <c r="CC158" s="59">
        <f t="shared" si="119"/>
        <v>290.65638287774715</v>
      </c>
      <c r="CD158" s="59">
        <f ca="1">AVERAGE(OFFSET($CC$3,0,0,'Données projet'!$E$12+1,1))-AVERAGE(OFFSET($H$3,0,0,'Données projet'!$E$12+1,1))</f>
        <v>177.34129362526608</v>
      </c>
      <c r="CE158" s="59">
        <f t="shared" si="148"/>
        <v>156.93407673501022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19.41615275495224</v>
      </c>
      <c r="CL158" s="21">
        <f>EXP(-LN(2)/25)*CL157+(1-EXP(-LN(2)/25))/(LN(2)/25)*Calculateur!CG158*Calculateur!CI158*VLOOKUP('Données projet'!$B$12,Paramètres!$A$1:$I$89,3,0)*0.475*44/12</f>
        <v>5.3005919842559965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24.716744739208238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69.26992260302157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8.5265128291212022E-14</v>
      </c>
      <c r="CU158" s="17">
        <f>CT158*VLOOKUP('Données projet'!$B$13,Paramètres!$A$1:$I$89,3,0)*VLOOKUP('Données projet'!$B$13,Paramètres!$A$1:$I$89,5,0)</f>
        <v>5.5865712056402117E-14</v>
      </c>
      <c r="CV158" s="13">
        <f t="shared" si="173"/>
        <v>8.9811031843713517E-13</v>
      </c>
      <c r="CW158" s="20">
        <f t="shared" si="174"/>
        <v>1.6615082531095774E-12</v>
      </c>
      <c r="CX158" s="59">
        <f t="shared" si="122"/>
        <v>290.65638287774743</v>
      </c>
      <c r="CY158" s="59">
        <f ca="1">AVERAGE(OFFSET($CX$3,0,0,'Données projet'!$E$13+1,1))-AVERAGE(OFFSET($H$3,0,0,'Données projet'!$E$13+1,1))</f>
        <v>267.49254683294629</v>
      </c>
      <c r="CZ158" s="59">
        <f t="shared" si="150"/>
        <v>278.02595256967254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17.405574678033997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17.405574678033997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69.26992260302157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8.4429999999999943</v>
      </c>
      <c r="DO158" s="12">
        <f>IF('Données projet'!$A$166&gt;35,DO157+DN158-DW157,IF(A158&lt;'Données projet'!$A$166,$DL$205^A158,IF(A158='Données projet'!$A$166,'Données projet'!$B$166,DO157+DN158-DW157)))</f>
        <v>443.78300000000047</v>
      </c>
      <c r="DP158" s="17">
        <f>DO158*VLOOKUP('Données projet'!$B$14,Paramètres!$A$1:$I$89,3,0)*VLOOKUP('Données projet'!$B$14,Paramètres!$A$1:$I$89,5,0)</f>
        <v>401.53485840000047</v>
      </c>
      <c r="DQ158" s="13">
        <f t="shared" si="176"/>
        <v>92.087764815279797</v>
      </c>
      <c r="DR158" s="20">
        <f t="shared" si="177"/>
        <v>859.72606876661303</v>
      </c>
      <c r="DS158" s="59">
        <f t="shared" si="125"/>
        <v>1150.3824516443588</v>
      </c>
      <c r="DT158" s="59">
        <f ca="1">AVERAGE(OFFSET($DS$3,0,0,'Données projet'!$E$14+1,1))-AVERAGE(OFFSET($H$3,0,0,'Données projet'!$E$14+1,1))</f>
        <v>602.02351907077332</v>
      </c>
      <c r="DU158" s="59">
        <f t="shared" si="152"/>
        <v>278.08067690827272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69.689976852139552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69.689976852139552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69.26992260302157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69.26992260302157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69.26992260302157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69.26992260302157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2.2000000000000002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8.0666666666666682</v>
      </c>
      <c r="H159" s="67">
        <f t="shared" si="110"/>
        <v>224.4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69.282587813650593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360.09035401555587</v>
      </c>
      <c r="T159" s="59">
        <f t="shared" si="142"/>
        <v>266.54879627869821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38.192920547749331</v>
      </c>
      <c r="AA159" s="21">
        <f>EXP(-LN(2)/25)*AA158+(1-EXP(-LN(2)/25))/(LN(2)/25)*Calculateur!V159*Calculateur!X159*VLOOKUP('Données projet'!$B$9,Paramètres!$A$1:$I$89,3,0)*0.475*44/12</f>
        <v>9.8167502979630008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48.009670845712336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69.282587813650593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-2.8421709430404007E-14</v>
      </c>
      <c r="AJ159" s="13">
        <f>AI159*VLOOKUP('Données projet'!$B$10,Paramètres!$A$1:$I$89,3,0)*VLOOKUP('Données projet'!$B$10,Paramètres!$A$1:$I$89,5,0)</f>
        <v>-2.3942448024172337E-14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377.26246345103175</v>
      </c>
      <c r="AO159" s="59">
        <f t="shared" si="144"/>
        <v>258.25890564000258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71.949006451124433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71.949006451124433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69.282587813650593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2.2737367544323206E-13</v>
      </c>
      <c r="BE159" s="13">
        <f>BD159*VLOOKUP('Données projet'!$B$11,Paramètres!$A$1:$I$89,3,0)*VLOOKUP('Données projet'!$B$11,Paramètres!$A$1:$I$89,5,0)</f>
        <v>1.0049916454590858E-13</v>
      </c>
      <c r="BF159" s="13">
        <f t="shared" si="167"/>
        <v>1.5089081593838289E-12</v>
      </c>
      <c r="BG159" s="20">
        <f t="shared" si="168"/>
        <v>2.8030510891776262E-12</v>
      </c>
      <c r="BH159" s="59">
        <f t="shared" si="116"/>
        <v>290.70282198338828</v>
      </c>
      <c r="BI159" s="59">
        <f ca="1">AVERAGE(OFFSET($BH$3,0,0,'Données projet'!$E$11+1,1))-AVERAGE(OFFSET($H$3,0,0,'Données projet'!$E$11+1,1))</f>
        <v>333.23043896066253</v>
      </c>
      <c r="BJ159" s="59">
        <f t="shared" si="146"/>
        <v>440.63438368668983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24.657222158989256</v>
      </c>
      <c r="BQ159" s="21">
        <f>EXP(-LN(2)/25)*BQ158+(1-EXP(-LN(2)/25))/(LN(2)/25)*Calculateur!BL159*Calculateur!BN159*VLOOKUP('Données projet'!$B$11,Paramètres!$A$1:$I$89,3,0)*0.475*44/12</f>
        <v>8.1983548559458228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32.855577014935079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69.282587813650593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1.1368683772161603E-13</v>
      </c>
      <c r="BZ159" s="13">
        <f>BY159*VLOOKUP('Données projet'!$B$12,Paramètres!$A$1:$I$89,3,0)*VLOOKUP('Données projet'!$B$12,Paramètres!$A$1:$I$89,5,0)</f>
        <v>4.5815795601811263E-14</v>
      </c>
      <c r="CA159" s="13">
        <f t="shared" si="170"/>
        <v>7.5374618042508364E-13</v>
      </c>
      <c r="CB159" s="20">
        <f t="shared" si="171"/>
        <v>1.392570441580175E-12</v>
      </c>
      <c r="CC159" s="59">
        <f t="shared" si="119"/>
        <v>290.70282198338685</v>
      </c>
      <c r="CD159" s="59">
        <f ca="1">AVERAGE(OFFSET($CC$3,0,0,'Données projet'!$E$12+1,1))-AVERAGE(OFFSET($H$3,0,0,'Données projet'!$E$12+1,1))</f>
        <v>177.34129362526608</v>
      </c>
      <c r="CE159" s="59">
        <f t="shared" si="148"/>
        <v>156.93407673501022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19.035413842111438</v>
      </c>
      <c r="CL159" s="21">
        <f>EXP(-LN(2)/25)*CL158+(1-EXP(-LN(2)/25))/(LN(2)/25)*Calculateur!CG159*Calculateur!CI159*VLOOKUP('Données projet'!$B$12,Paramètres!$A$1:$I$89,3,0)*0.475*44/12</f>
        <v>5.1556470177004989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24.191060859811937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69.282587813650593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8.5265128291212022E-14</v>
      </c>
      <c r="CU159" s="17">
        <f>CT159*VLOOKUP('Données projet'!$B$13,Paramètres!$A$1:$I$89,3,0)*VLOOKUP('Données projet'!$B$13,Paramètres!$A$1:$I$89,5,0)</f>
        <v>5.5865712056402117E-14</v>
      </c>
      <c r="CV159" s="13">
        <f t="shared" si="173"/>
        <v>8.9811031843713517E-13</v>
      </c>
      <c r="CW159" s="20">
        <f t="shared" si="174"/>
        <v>1.6615082531095774E-12</v>
      </c>
      <c r="CX159" s="59">
        <f t="shared" si="122"/>
        <v>290.70282198338714</v>
      </c>
      <c r="CY159" s="59">
        <f ca="1">AVERAGE(OFFSET($CX$3,0,0,'Données projet'!$E$13+1,1))-AVERAGE(OFFSET($H$3,0,0,'Données projet'!$E$13+1,1))</f>
        <v>267.49254683294629</v>
      </c>
      <c r="CZ159" s="59">
        <f t="shared" si="150"/>
        <v>278.02595256967254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17.064261974950025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17.064261974950025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69.282587813650593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8.4429999999999943</v>
      </c>
      <c r="DO159" s="12">
        <f>IF('Données projet'!$A$166&gt;35,DO158+DN159-DW158,IF(A159&lt;'Données projet'!$A$166,$DL$205^A159,IF(A159='Données projet'!$A$166,'Données projet'!$B$166,DO158+DN159-DW158)))</f>
        <v>452.22600000000045</v>
      </c>
      <c r="DP159" s="17">
        <f>DO159*VLOOKUP('Données projet'!$B$14,Paramètres!$A$1:$I$89,3,0)*VLOOKUP('Données projet'!$B$14,Paramètres!$A$1:$I$89,5,0)</f>
        <v>409.1740848000004</v>
      </c>
      <c r="DQ159" s="13">
        <f t="shared" si="176"/>
        <v>93.634108404325715</v>
      </c>
      <c r="DR159" s="20">
        <f t="shared" si="177"/>
        <v>875.72426983086791</v>
      </c>
      <c r="DS159" s="59">
        <f t="shared" si="125"/>
        <v>1166.4270918142533</v>
      </c>
      <c r="DT159" s="59">
        <f ca="1">AVERAGE(OFFSET($DS$3,0,0,'Données projet'!$E$14+1,1))-AVERAGE(OFFSET($H$3,0,0,'Données projet'!$E$14+1,1))</f>
        <v>602.02351907077332</v>
      </c>
      <c r="DU159" s="59">
        <f t="shared" si="152"/>
        <v>278.08067690827272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68.323398912757781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68.323398912757781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69.282587813650593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69.282587813650593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69.282587813650593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69.282587813650593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2.2000000000000002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8.0666666666666682</v>
      </c>
      <c r="H160" s="67">
        <f t="shared" si="110"/>
        <v>224.4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69.295033311190394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360.09035401555587</v>
      </c>
      <c r="T160" s="59">
        <f t="shared" si="142"/>
        <v>266.54879627869821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37.443980671189273</v>
      </c>
      <c r="AA160" s="21">
        <f>EXP(-LN(2)/25)*AA159+(1-EXP(-LN(2)/25))/(LN(2)/25)*Calculateur!V160*Calculateur!X160*VLOOKUP('Données projet'!$B$9,Paramètres!$A$1:$I$89,3,0)*0.475*44/12</f>
        <v>9.5483107448247413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46.992291416014012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69.295033311190394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-2.8421709430404007E-14</v>
      </c>
      <c r="AJ160" s="13">
        <f>AI160*VLOOKUP('Données projet'!$B$10,Paramètres!$A$1:$I$89,3,0)*VLOOKUP('Données projet'!$B$10,Paramètres!$A$1:$I$89,5,0)</f>
        <v>-2.3942448024172337E-14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377.26246345103175</v>
      </c>
      <c r="AO160" s="59">
        <f t="shared" si="144"/>
        <v>258.25890564000258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70.538130319178578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70.538130319178578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69.295033311190394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2.2737367544323206E-13</v>
      </c>
      <c r="BE160" s="13">
        <f>BD160*VLOOKUP('Données projet'!$B$11,Paramètres!$A$1:$I$89,3,0)*VLOOKUP('Données projet'!$B$11,Paramètres!$A$1:$I$89,5,0)</f>
        <v>1.0049916454590858E-13</v>
      </c>
      <c r="BF160" s="13">
        <f t="shared" si="167"/>
        <v>1.5089081593838289E-12</v>
      </c>
      <c r="BG160" s="20">
        <f t="shared" si="168"/>
        <v>2.8030510891776262E-12</v>
      </c>
      <c r="BH160" s="59">
        <f t="shared" si="116"/>
        <v>290.74845547436757</v>
      </c>
      <c r="BI160" s="59">
        <f ca="1">AVERAGE(OFFSET($BH$3,0,0,'Données projet'!$E$11+1,1))-AVERAGE(OFFSET($H$3,0,0,'Données projet'!$E$11+1,1))</f>
        <v>333.23043896066253</v>
      </c>
      <c r="BJ160" s="59">
        <f t="shared" si="146"/>
        <v>440.63438368668983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24.173709071871976</v>
      </c>
      <c r="BQ160" s="21">
        <f>EXP(-LN(2)/25)*BQ159+(1-EXP(-LN(2)/25))/(LN(2)/25)*Calculateur!BL160*Calculateur!BN160*VLOOKUP('Données projet'!$B$11,Paramètres!$A$1:$I$89,3,0)*0.475*44/12</f>
        <v>7.9741704112772398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32.147879483149218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69.295033311190394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1.1368683772161603E-13</v>
      </c>
      <c r="BZ160" s="13">
        <f>BY160*VLOOKUP('Données projet'!$B$12,Paramètres!$A$1:$I$89,3,0)*VLOOKUP('Données projet'!$B$12,Paramètres!$A$1:$I$89,5,0)</f>
        <v>4.5815795601811263E-14</v>
      </c>
      <c r="CA160" s="13">
        <f t="shared" si="170"/>
        <v>7.5374618042508364E-13</v>
      </c>
      <c r="CB160" s="20">
        <f t="shared" si="171"/>
        <v>1.392570441580175E-12</v>
      </c>
      <c r="CC160" s="59">
        <f t="shared" si="119"/>
        <v>290.74845547436615</v>
      </c>
      <c r="CD160" s="59">
        <f ca="1">AVERAGE(OFFSET($CC$3,0,0,'Données projet'!$E$12+1,1))-AVERAGE(OFFSET($H$3,0,0,'Données projet'!$E$12+1,1))</f>
        <v>177.34129362526608</v>
      </c>
      <c r="CE160" s="59">
        <f t="shared" si="148"/>
        <v>156.93407673501022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18.662140987123639</v>
      </c>
      <c r="CL160" s="21">
        <f>EXP(-LN(2)/25)*CL159+(1-EXP(-LN(2)/25))/(LN(2)/25)*Calculateur!CG160*Calculateur!CI160*VLOOKUP('Données projet'!$B$12,Paramètres!$A$1:$I$89,3,0)*0.475*44/12</f>
        <v>5.0146655788777856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23.676806566001424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69.295033311190394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8.5265128291212022E-14</v>
      </c>
      <c r="CU160" s="17">
        <f>CT160*VLOOKUP('Données projet'!$B$13,Paramètres!$A$1:$I$89,3,0)*VLOOKUP('Données projet'!$B$13,Paramètres!$A$1:$I$89,5,0)</f>
        <v>5.5865712056402117E-14</v>
      </c>
      <c r="CV160" s="13">
        <f t="shared" si="173"/>
        <v>8.9811031843713517E-13</v>
      </c>
      <c r="CW160" s="20">
        <f t="shared" si="174"/>
        <v>1.6615082531095774E-12</v>
      </c>
      <c r="CX160" s="59">
        <f t="shared" si="122"/>
        <v>290.74845547436644</v>
      </c>
      <c r="CY160" s="59">
        <f ca="1">AVERAGE(OFFSET($CX$3,0,0,'Données projet'!$E$13+1,1))-AVERAGE(OFFSET($H$3,0,0,'Données projet'!$E$13+1,1))</f>
        <v>267.49254683294629</v>
      </c>
      <c r="CZ160" s="59">
        <f t="shared" si="150"/>
        <v>278.02595256967254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16.729642205793336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16.729642205793336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69.295033311190394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8.4429999999999943</v>
      </c>
      <c r="DO160" s="12">
        <f>IF('Données projet'!$A$166&gt;35,DO159+DN160-DW159,IF(A160&lt;'Données projet'!$A$166,$DL$205^A160,IF(A160='Données projet'!$A$166,'Données projet'!$B$166,DO159+DN160-DW159)))</f>
        <v>460.66900000000044</v>
      </c>
      <c r="DP160" s="17">
        <f>DO160*VLOOKUP('Données projet'!$B$14,Paramètres!$A$1:$I$89,3,0)*VLOOKUP('Données projet'!$B$14,Paramètres!$A$1:$I$89,5,0)</f>
        <v>416.81331120000038</v>
      </c>
      <c r="DQ160" s="13">
        <f t="shared" si="176"/>
        <v>95.177094964322421</v>
      </c>
      <c r="DR160" s="20">
        <f t="shared" si="177"/>
        <v>891.71662406952885</v>
      </c>
      <c r="DS160" s="59">
        <f t="shared" si="125"/>
        <v>1182.4650795438936</v>
      </c>
      <c r="DT160" s="59">
        <f ca="1">AVERAGE(OFFSET($DS$3,0,0,'Données projet'!$E$14+1,1))-AVERAGE(OFFSET($H$3,0,0,'Données projet'!$E$14+1,1))</f>
        <v>602.02351907077332</v>
      </c>
      <c r="DU160" s="59">
        <f t="shared" si="152"/>
        <v>278.08067690827272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66.983618733237051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66.983618733237051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69.295033311190394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69.295033311190394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69.295033311190394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69.295033311190394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2.2000000000000002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8.0666666666666682</v>
      </c>
      <c r="H161" s="67">
        <f t="shared" si="110"/>
        <v>224.4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69.307262907171832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360.09035401555587</v>
      </c>
      <c r="T161" s="59">
        <f t="shared" si="142"/>
        <v>266.54879627869821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36.709727048800339</v>
      </c>
      <c r="AA161" s="21">
        <f>EXP(-LN(2)/25)*AA160+(1-EXP(-LN(2)/25))/(LN(2)/25)*Calculateur!V161*Calculateur!X161*VLOOKUP('Données projet'!$B$9,Paramètres!$A$1:$I$89,3,0)*0.475*44/12</f>
        <v>9.287211685383669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45.996938734184006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69.307262907171832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-2.8421709430404007E-14</v>
      </c>
      <c r="AJ161" s="13">
        <f>AI161*VLOOKUP('Données projet'!$B$10,Paramètres!$A$1:$I$89,3,0)*VLOOKUP('Données projet'!$B$10,Paramètres!$A$1:$I$89,5,0)</f>
        <v>-2.3942448024172337E-14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377.26246345103175</v>
      </c>
      <c r="AO161" s="59">
        <f t="shared" si="144"/>
        <v>258.25890564000258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69.154920607630714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69.154920607630714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69.307262907171832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2.2737367544323206E-13</v>
      </c>
      <c r="BE161" s="13">
        <f>BD161*VLOOKUP('Données projet'!$B$11,Paramètres!$A$1:$I$89,3,0)*VLOOKUP('Données projet'!$B$11,Paramètres!$A$1:$I$89,5,0)</f>
        <v>1.0049916454590858E-13</v>
      </c>
      <c r="BF161" s="13">
        <f t="shared" si="167"/>
        <v>1.5089081593838289E-12</v>
      </c>
      <c r="BG161" s="20">
        <f t="shared" si="168"/>
        <v>2.8030510891776262E-12</v>
      </c>
      <c r="BH161" s="59">
        <f t="shared" si="116"/>
        <v>290.79329732629947</v>
      </c>
      <c r="BI161" s="59">
        <f ca="1">AVERAGE(OFFSET($BH$3,0,0,'Données projet'!$E$11+1,1))-AVERAGE(OFFSET($H$3,0,0,'Données projet'!$E$11+1,1))</f>
        <v>333.23043896066253</v>
      </c>
      <c r="BJ161" s="59">
        <f t="shared" si="146"/>
        <v>440.63438368668983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23.699677381479201</v>
      </c>
      <c r="BQ161" s="21">
        <f>EXP(-LN(2)/25)*BQ160+(1-EXP(-LN(2)/25))/(LN(2)/25)*Calculateur!BL161*Calculateur!BN161*VLOOKUP('Données projet'!$B$11,Paramètres!$A$1:$I$89,3,0)*0.475*44/12</f>
        <v>7.7561163020374666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31.455793683516667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69.307262907171832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1.1368683772161603E-13</v>
      </c>
      <c r="BZ161" s="13">
        <f>BY161*VLOOKUP('Données projet'!$B$12,Paramètres!$A$1:$I$89,3,0)*VLOOKUP('Données projet'!$B$12,Paramètres!$A$1:$I$89,5,0)</f>
        <v>4.5815795601811263E-14</v>
      </c>
      <c r="CA161" s="13">
        <f t="shared" si="170"/>
        <v>7.5374618042508364E-13</v>
      </c>
      <c r="CB161" s="20">
        <f t="shared" si="171"/>
        <v>1.392570441580175E-12</v>
      </c>
      <c r="CC161" s="59">
        <f t="shared" si="119"/>
        <v>290.79329732629805</v>
      </c>
      <c r="CD161" s="59">
        <f ca="1">AVERAGE(OFFSET($CC$3,0,0,'Données projet'!$E$12+1,1))-AVERAGE(OFFSET($H$3,0,0,'Données projet'!$E$12+1,1))</f>
        <v>177.34129362526608</v>
      </c>
      <c r="CE161" s="59">
        <f t="shared" si="148"/>
        <v>156.93407673501022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18.296187785148192</v>
      </c>
      <c r="CL161" s="21">
        <f>EXP(-LN(2)/25)*CL160+(1-EXP(-LN(2)/25))/(LN(2)/25)*Calculateur!CG161*Calculateur!CI161*VLOOKUP('Données projet'!$B$12,Paramètres!$A$1:$I$89,3,0)*0.475*44/12</f>
        <v>4.8775392849135706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23.173727070061762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69.307262907171832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8.5265128291212022E-14</v>
      </c>
      <c r="CU161" s="17">
        <f>CT161*VLOOKUP('Données projet'!$B$13,Paramètres!$A$1:$I$89,3,0)*VLOOKUP('Données projet'!$B$13,Paramètres!$A$1:$I$89,5,0)</f>
        <v>5.5865712056402117E-14</v>
      </c>
      <c r="CV161" s="13">
        <f t="shared" si="173"/>
        <v>8.9811031843713517E-13</v>
      </c>
      <c r="CW161" s="20">
        <f t="shared" si="174"/>
        <v>1.6615082531095774E-12</v>
      </c>
      <c r="CX161" s="59">
        <f t="shared" si="122"/>
        <v>290.79329732629833</v>
      </c>
      <c r="CY161" s="59">
        <f ca="1">AVERAGE(OFFSET($CX$3,0,0,'Données projet'!$E$13+1,1))-AVERAGE(OFFSET($H$3,0,0,'Données projet'!$E$13+1,1))</f>
        <v>267.49254683294629</v>
      </c>
      <c r="CZ161" s="59">
        <f t="shared" si="150"/>
        <v>278.02595256967254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16.401584126211905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16.401584126211905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69.307262907171832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8.4429999999999943</v>
      </c>
      <c r="DO161" s="12">
        <f>IF('Données projet'!$A$166&gt;35,DO160+DN161-DW160,IF(A161&lt;'Données projet'!$A$166,$DL$205^A161,IF(A161='Données projet'!$A$166,'Données projet'!$B$166,DO160+DN161-DW160)))</f>
        <v>469.11200000000042</v>
      </c>
      <c r="DP161" s="17">
        <f>DO161*VLOOKUP('Données projet'!$B$14,Paramètres!$A$1:$I$89,3,0)*VLOOKUP('Données projet'!$B$14,Paramètres!$A$1:$I$89,5,0)</f>
        <v>424.45253760000043</v>
      </c>
      <c r="DQ161" s="13">
        <f t="shared" si="176"/>
        <v>96.716793118095666</v>
      </c>
      <c r="DR161" s="20">
        <f t="shared" si="177"/>
        <v>907.70325100068385</v>
      </c>
      <c r="DS161" s="59">
        <f t="shared" si="125"/>
        <v>1198.4965483269805</v>
      </c>
      <c r="DT161" s="59">
        <f ca="1">AVERAGE(OFFSET($DS$3,0,0,'Données projet'!$E$14+1,1))-AVERAGE(OFFSET($H$3,0,0,'Données projet'!$E$14+1,1))</f>
        <v>602.02351907077332</v>
      </c>
      <c r="DU161" s="59">
        <f t="shared" si="152"/>
        <v>278.08067690827272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65.670110825851509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65.670110825851509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69.307262907171832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69.307262907171832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69.307262907171832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69.307262907171832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2.2000000000000002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8.0666666666666682</v>
      </c>
      <c r="H162" s="67">
        <f t="shared" si="110"/>
        <v>224.4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69.31928034700428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360.09035401555587</v>
      </c>
      <c r="T162" s="59">
        <f t="shared" si="142"/>
        <v>266.54879627869821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35.989871692095967</v>
      </c>
      <c r="AA162" s="21">
        <f>EXP(-LN(2)/25)*AA161+(1-EXP(-LN(2)/25))/(LN(2)/25)*Calculateur!V162*Calculateur!X162*VLOOKUP('Données projet'!$B$9,Paramètres!$A$1:$I$89,3,0)*0.475*44/12</f>
        <v>9.0332523934536155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45.023124085549583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69.31928034700428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-2.8421709430404007E-14</v>
      </c>
      <c r="AJ162" s="13">
        <f>AI162*VLOOKUP('Données projet'!$B$10,Paramètres!$A$1:$I$89,3,0)*VLOOKUP('Données projet'!$B$10,Paramètres!$A$1:$I$89,5,0)</f>
        <v>-2.3942448024172337E-14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377.26246345103175</v>
      </c>
      <c r="AO162" s="59">
        <f t="shared" si="144"/>
        <v>258.25890564000258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67.798834794851686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67.798834794851686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69.31928034700428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2.2737367544323206E-13</v>
      </c>
      <c r="BE162" s="13">
        <f>BD162*VLOOKUP('Données projet'!$B$11,Paramètres!$A$1:$I$89,3,0)*VLOOKUP('Données projet'!$B$11,Paramètres!$A$1:$I$89,5,0)</f>
        <v>1.0049916454590858E-13</v>
      </c>
      <c r="BF162" s="13">
        <f t="shared" si="167"/>
        <v>1.5089081593838289E-12</v>
      </c>
      <c r="BG162" s="20">
        <f t="shared" si="168"/>
        <v>2.8030510891776262E-12</v>
      </c>
      <c r="BH162" s="59">
        <f t="shared" si="116"/>
        <v>290.83736127235181</v>
      </c>
      <c r="BI162" s="59">
        <f ca="1">AVERAGE(OFFSET($BH$3,0,0,'Données projet'!$E$11+1,1))-AVERAGE(OFFSET($H$3,0,0,'Données projet'!$E$11+1,1))</f>
        <v>333.23043896066253</v>
      </c>
      <c r="BJ162" s="59">
        <f t="shared" si="146"/>
        <v>440.63438368668983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23.234941163404248</v>
      </c>
      <c r="BQ162" s="21">
        <f>EXP(-LN(2)/25)*BQ161+(1-EXP(-LN(2)/25))/(LN(2)/25)*Calculateur!BL162*Calculateur!BN162*VLOOKUP('Données projet'!$B$11,Paramètres!$A$1:$I$89,3,0)*0.475*44/12</f>
        <v>7.5440248938818222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30.77896605728607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69.31928034700428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1.1368683772161603E-13</v>
      </c>
      <c r="BZ162" s="13">
        <f>BY162*VLOOKUP('Données projet'!$B$12,Paramètres!$A$1:$I$89,3,0)*VLOOKUP('Données projet'!$B$12,Paramètres!$A$1:$I$89,5,0)</f>
        <v>4.5815795601811263E-14</v>
      </c>
      <c r="CA162" s="13">
        <f t="shared" si="170"/>
        <v>7.5374618042508364E-13</v>
      </c>
      <c r="CB162" s="20">
        <f t="shared" si="171"/>
        <v>1.392570441580175E-12</v>
      </c>
      <c r="CC162" s="59">
        <f t="shared" si="119"/>
        <v>290.83736127235039</v>
      </c>
      <c r="CD162" s="59">
        <f ca="1">AVERAGE(OFFSET($CC$3,0,0,'Données projet'!$E$12+1,1))-AVERAGE(OFFSET($H$3,0,0,'Données projet'!$E$12+1,1))</f>
        <v>177.34129362526608</v>
      </c>
      <c r="CE162" s="59">
        <f t="shared" si="148"/>
        <v>156.93407673501022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17.93741070225407</v>
      </c>
      <c r="CL162" s="21">
        <f>EXP(-LN(2)/25)*CL161+(1-EXP(-LN(2)/25))/(LN(2)/25)*Calculateur!CG162*Calculateur!CI162*VLOOKUP('Données projet'!$B$12,Paramètres!$A$1:$I$89,3,0)*0.475*44/12</f>
        <v>4.7441627166689662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22.681573418923037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69.31928034700428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8.5265128291212022E-14</v>
      </c>
      <c r="CU162" s="17">
        <f>CT162*VLOOKUP('Données projet'!$B$13,Paramètres!$A$1:$I$89,3,0)*VLOOKUP('Données projet'!$B$13,Paramètres!$A$1:$I$89,5,0)</f>
        <v>5.5865712056402117E-14</v>
      </c>
      <c r="CV162" s="13">
        <f t="shared" si="173"/>
        <v>8.9811031843713517E-13</v>
      </c>
      <c r="CW162" s="20">
        <f t="shared" si="174"/>
        <v>1.6615082531095774E-12</v>
      </c>
      <c r="CX162" s="59">
        <f t="shared" si="122"/>
        <v>290.83736127235068</v>
      </c>
      <c r="CY162" s="59">
        <f ca="1">AVERAGE(OFFSET($CX$3,0,0,'Données projet'!$E$13+1,1))-AVERAGE(OFFSET($H$3,0,0,'Données projet'!$E$13+1,1))</f>
        <v>267.49254683294629</v>
      </c>
      <c r="CZ162" s="59">
        <f t="shared" si="150"/>
        <v>278.02595256967254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16.079959065475396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16.079959065475396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69.31928034700428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8.4429999999999943</v>
      </c>
      <c r="DO162" s="12">
        <f>IF('Données projet'!$A$166&gt;35,DO161+DN162-DW161,IF(A162&lt;'Données projet'!$A$166,$DL$205^A162,IF(A162='Données projet'!$A$166,'Données projet'!$B$166,DO161+DN162-DW161)))</f>
        <v>477.5550000000004</v>
      </c>
      <c r="DP162" s="17">
        <f>DO162*VLOOKUP('Données projet'!$B$14,Paramètres!$A$1:$I$89,3,0)*VLOOKUP('Données projet'!$B$14,Paramètres!$A$1:$I$89,5,0)</f>
        <v>432.09176400000035</v>
      </c>
      <c r="DQ162" s="13">
        <f t="shared" si="176"/>
        <v>98.253268876899142</v>
      </c>
      <c r="DR162" s="20">
        <f t="shared" si="177"/>
        <v>923.68426559393322</v>
      </c>
      <c r="DS162" s="59">
        <f t="shared" si="125"/>
        <v>1214.5216268662823</v>
      </c>
      <c r="DT162" s="59">
        <f ca="1">AVERAGE(OFFSET($DS$3,0,0,'Données projet'!$E$14+1,1))-AVERAGE(OFFSET($H$3,0,0,'Données projet'!$E$14+1,1))</f>
        <v>602.02351907077332</v>
      </c>
      <c r="DU162" s="59">
        <f t="shared" si="152"/>
        <v>278.08067690827272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64.382360007369087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64.382360007369087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69.31928034700428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69.31928034700428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69.31928034700428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69.31928034700428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2.2000000000000002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8.0666666666666682</v>
      </c>
      <c r="H163" s="67">
        <f t="shared" si="110"/>
        <v>224.4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69.331089311122611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360.09035401555587</v>
      </c>
      <c r="T163" s="59">
        <f t="shared" si="142"/>
        <v>266.54879627869821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35.284132259868151</v>
      </c>
      <c r="AA163" s="21">
        <f>EXP(-LN(2)/25)*AA162+(1-EXP(-LN(2)/25))/(LN(2)/25)*Calculateur!V163*Calculateur!X163*VLOOKUP('Données projet'!$B$9,Paramètres!$A$1:$I$89,3,0)*0.475*44/12</f>
        <v>8.7862376317165296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44.070369891584683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69.331089311122611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-2.8421709430404007E-14</v>
      </c>
      <c r="AJ163" s="13">
        <f>AI163*VLOOKUP('Données projet'!$B$10,Paramètres!$A$1:$I$89,3,0)*VLOOKUP('Données projet'!$B$10,Paramètres!$A$1:$I$89,5,0)</f>
        <v>-2.3942448024172337E-14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377.26246345103175</v>
      </c>
      <c r="AO163" s="59">
        <f t="shared" si="144"/>
        <v>258.25890564000258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66.469340997730583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66.469340997730583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69.331089311122611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2.2737367544323206E-13</v>
      </c>
      <c r="BE163" s="13">
        <f>BD163*VLOOKUP('Données projet'!$B$11,Paramètres!$A$1:$I$89,3,0)*VLOOKUP('Données projet'!$B$11,Paramètres!$A$1:$I$89,5,0)</f>
        <v>1.0049916454590858E-13</v>
      </c>
      <c r="BF163" s="13">
        <f t="shared" si="167"/>
        <v>1.5089081593838289E-12</v>
      </c>
      <c r="BG163" s="20">
        <f t="shared" si="168"/>
        <v>2.8030510891776262E-12</v>
      </c>
      <c r="BH163" s="59">
        <f t="shared" si="116"/>
        <v>290.88066080745239</v>
      </c>
      <c r="BI163" s="59">
        <f ca="1">AVERAGE(OFFSET($BH$3,0,0,'Données projet'!$E$11+1,1))-AVERAGE(OFFSET($H$3,0,0,'Données projet'!$E$11+1,1))</f>
        <v>333.23043896066253</v>
      </c>
      <c r="BJ163" s="59">
        <f t="shared" si="146"/>
        <v>440.63438368668983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22.779318139104639</v>
      </c>
      <c r="BQ163" s="21">
        <f>EXP(-LN(2)/25)*BQ162+(1-EXP(-LN(2)/25))/(LN(2)/25)*Calculateur!BL163*Calculateur!BN163*VLOOKUP('Données projet'!$B$11,Paramètres!$A$1:$I$89,3,0)*0.475*44/12</f>
        <v>7.3377331364355971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30.117051275540234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69.331089311122611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1.1368683772161603E-13</v>
      </c>
      <c r="BZ163" s="13">
        <f>BY163*VLOOKUP('Données projet'!$B$12,Paramètres!$A$1:$I$89,3,0)*VLOOKUP('Données projet'!$B$12,Paramètres!$A$1:$I$89,5,0)</f>
        <v>4.5815795601811263E-14</v>
      </c>
      <c r="CA163" s="13">
        <f t="shared" si="170"/>
        <v>7.5374618042508364E-13</v>
      </c>
      <c r="CB163" s="20">
        <f t="shared" si="171"/>
        <v>1.392570441580175E-12</v>
      </c>
      <c r="CC163" s="59">
        <f t="shared" si="119"/>
        <v>290.88066080745097</v>
      </c>
      <c r="CD163" s="59">
        <f ca="1">AVERAGE(OFFSET($CC$3,0,0,'Données projet'!$E$12+1,1))-AVERAGE(OFFSET($H$3,0,0,'Données projet'!$E$12+1,1))</f>
        <v>177.34129362526608</v>
      </c>
      <c r="CE163" s="59">
        <f t="shared" si="148"/>
        <v>156.93407673501022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17.585669019123088</v>
      </c>
      <c r="CL163" s="21">
        <f>EXP(-LN(2)/25)*CL162+(1-EXP(-LN(2)/25))/(LN(2)/25)*Calculateur!CG163*Calculateur!CI163*VLOOKUP('Données projet'!$B$12,Paramètres!$A$1:$I$89,3,0)*0.475*44/12</f>
        <v>4.6144333376969788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22.200102356820068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69.331089311122611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8.5265128291212022E-14</v>
      </c>
      <c r="CU163" s="17">
        <f>CT163*VLOOKUP('Données projet'!$B$13,Paramètres!$A$1:$I$89,3,0)*VLOOKUP('Données projet'!$B$13,Paramètres!$A$1:$I$89,5,0)</f>
        <v>5.5865712056402117E-14</v>
      </c>
      <c r="CV163" s="13">
        <f t="shared" si="173"/>
        <v>8.9811031843713517E-13</v>
      </c>
      <c r="CW163" s="20">
        <f t="shared" si="174"/>
        <v>1.6615082531095774E-12</v>
      </c>
      <c r="CX163" s="59">
        <f t="shared" si="122"/>
        <v>290.88066080745125</v>
      </c>
      <c r="CY163" s="59">
        <f ca="1">AVERAGE(OFFSET($CX$3,0,0,'Données projet'!$E$13+1,1))-AVERAGE(OFFSET($H$3,0,0,'Données projet'!$E$13+1,1))</f>
        <v>267.49254683294629</v>
      </c>
      <c r="CZ163" s="59">
        <f t="shared" si="150"/>
        <v>278.02595256967254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15.764640876008013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15.764640876008013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69.331089311122611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8.4429999999999943</v>
      </c>
      <c r="DO163" s="12">
        <f>IF('Données projet'!$A$166&gt;35,DO162+DN163-DW162,IF(A163&lt;'Données projet'!$A$166,$DL$205^A163,IF(A163='Données projet'!$A$166,'Données projet'!$B$166,DO162+DN163-DW162)))</f>
        <v>485.99800000000039</v>
      </c>
      <c r="DP163" s="17">
        <f>DO163*VLOOKUP('Données projet'!$B$14,Paramètres!$A$1:$I$89,3,0)*VLOOKUP('Données projet'!$B$14,Paramètres!$A$1:$I$89,5,0)</f>
        <v>439.73099040000034</v>
      </c>
      <c r="DQ163" s="13">
        <f t="shared" si="176"/>
        <v>99.786585784186272</v>
      </c>
      <c r="DR163" s="20">
        <f t="shared" si="177"/>
        <v>939.65977852079175</v>
      </c>
      <c r="DS163" s="59">
        <f t="shared" si="125"/>
        <v>1230.5404393282413</v>
      </c>
      <c r="DT163" s="59">
        <f ca="1">AVERAGE(OFFSET($DS$3,0,0,'Données projet'!$E$14+1,1))-AVERAGE(OFFSET($H$3,0,0,'Données projet'!$E$14+1,1))</f>
        <v>602.02351907077332</v>
      </c>
      <c r="DU163" s="59">
        <f t="shared" si="152"/>
        <v>278.08067690827272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63.119861196986655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63.119861196986655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69.331089311122611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69.331089311122611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69.331089311122611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69.331089311122611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2.2000000000000002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8.0666666666666682</v>
      </c>
      <c r="H164" s="67">
        <f t="shared" si="110"/>
        <v>224.4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69.342693416114372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360.09035401555587</v>
      </c>
      <c r="T164" s="59">
        <f t="shared" si="142"/>
        <v>266.54879627869821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34.592231947447772</v>
      </c>
      <c r="AA164" s="21">
        <f>EXP(-LN(2)/25)*AA163+(1-EXP(-LN(2)/25))/(LN(2)/25)*Calculateur!V164*Calculateur!X164*VLOOKUP('Données projet'!$B$9,Paramètres!$A$1:$I$89,3,0)*0.475*44/12</f>
        <v>8.5459775016290855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43.138209449076854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69.342693416114372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-2.8421709430404007E-14</v>
      </c>
      <c r="AJ164" s="13">
        <f>AI164*VLOOKUP('Données projet'!$B$10,Paramètres!$A$1:$I$89,3,0)*VLOOKUP('Données projet'!$B$10,Paramètres!$A$1:$I$89,5,0)</f>
        <v>-2.3942448024172337E-14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377.26246345103175</v>
      </c>
      <c r="AO164" s="59">
        <f t="shared" si="144"/>
        <v>258.25890564000258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65.16591776305988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65.16591776305988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69.342693416114372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2.2737367544323206E-13</v>
      </c>
      <c r="BE164" s="13">
        <f>BD164*VLOOKUP('Données projet'!$B$11,Paramètres!$A$1:$I$89,3,0)*VLOOKUP('Données projet'!$B$11,Paramètres!$A$1:$I$89,5,0)</f>
        <v>1.0049916454590858E-13</v>
      </c>
      <c r="BF164" s="13">
        <f t="shared" si="167"/>
        <v>1.5089081593838289E-12</v>
      </c>
      <c r="BG164" s="20">
        <f t="shared" si="168"/>
        <v>2.8030510891776262E-12</v>
      </c>
      <c r="BH164" s="59">
        <f t="shared" si="116"/>
        <v>290.92320919242218</v>
      </c>
      <c r="BI164" s="59">
        <f ca="1">AVERAGE(OFFSET($BH$3,0,0,'Données projet'!$E$11+1,1))-AVERAGE(OFFSET($H$3,0,0,'Données projet'!$E$11+1,1))</f>
        <v>333.23043896066253</v>
      </c>
      <c r="BJ164" s="59">
        <f t="shared" si="146"/>
        <v>440.63438368668983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22.332629604408943</v>
      </c>
      <c r="BQ164" s="21">
        <f>EXP(-LN(2)/25)*BQ163+(1-EXP(-LN(2)/25))/(LN(2)/25)*Calculateur!BL164*Calculateur!BN164*VLOOKUP('Données projet'!$B$11,Paramètres!$A$1:$I$89,3,0)*0.475*44/12</f>
        <v>7.1370824379451507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29.469712042354093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69.342693416114372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1.1368683772161603E-13</v>
      </c>
      <c r="BZ164" s="13">
        <f>BY164*VLOOKUP('Données projet'!$B$12,Paramètres!$A$1:$I$89,3,0)*VLOOKUP('Données projet'!$B$12,Paramètres!$A$1:$I$89,5,0)</f>
        <v>4.5815795601811263E-14</v>
      </c>
      <c r="CA164" s="13">
        <f t="shared" si="170"/>
        <v>7.5374618042508364E-13</v>
      </c>
      <c r="CB164" s="20">
        <f t="shared" si="171"/>
        <v>1.392570441580175E-12</v>
      </c>
      <c r="CC164" s="59">
        <f t="shared" si="119"/>
        <v>290.92320919242076</v>
      </c>
      <c r="CD164" s="59">
        <f ca="1">AVERAGE(OFFSET($CC$3,0,0,'Données projet'!$E$12+1,1))-AVERAGE(OFFSET($H$3,0,0,'Données projet'!$E$12+1,1))</f>
        <v>177.34129362526608</v>
      </c>
      <c r="CE164" s="59">
        <f t="shared" si="148"/>
        <v>156.93407673501022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17.24082477585706</v>
      </c>
      <c r="CL164" s="21">
        <f>EXP(-LN(2)/25)*CL163+(1-EXP(-LN(2)/25))/(LN(2)/25)*Calculateur!CG164*Calculateur!CI164*VLOOKUP('Données projet'!$B$12,Paramètres!$A$1:$I$89,3,0)*0.475*44/12</f>
        <v>4.488251415415152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21.729076191272213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69.342693416114372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8.5265128291212022E-14</v>
      </c>
      <c r="CU164" s="17">
        <f>CT164*VLOOKUP('Données projet'!$B$13,Paramètres!$A$1:$I$89,3,0)*VLOOKUP('Données projet'!$B$13,Paramètres!$A$1:$I$89,5,0)</f>
        <v>5.5865712056402117E-14</v>
      </c>
      <c r="CV164" s="13">
        <f t="shared" si="173"/>
        <v>8.9811031843713517E-13</v>
      </c>
      <c r="CW164" s="20">
        <f t="shared" si="174"/>
        <v>1.6615082531095774E-12</v>
      </c>
      <c r="CX164" s="59">
        <f t="shared" si="122"/>
        <v>290.92320919242104</v>
      </c>
      <c r="CY164" s="59">
        <f ca="1">AVERAGE(OFFSET($CX$3,0,0,'Données projet'!$E$13+1,1))-AVERAGE(OFFSET($H$3,0,0,'Données projet'!$E$13+1,1))</f>
        <v>267.49254683294629</v>
      </c>
      <c r="CZ164" s="59">
        <f t="shared" si="150"/>
        <v>278.02595256967254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15.45550588391098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15.45550588391098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69.342693416114372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8.4429999999999943</v>
      </c>
      <c r="DO164" s="12">
        <f>IF('Données projet'!$A$166&gt;35,DO163+DN164-DW163,IF(A164&lt;'Données projet'!$A$166,$DL$205^A164,IF(A164='Données projet'!$A$166,'Données projet'!$B$166,DO163+DN164-DW163)))</f>
        <v>494.44100000000037</v>
      </c>
      <c r="DP164" s="17">
        <f>DO164*VLOOKUP('Données projet'!$B$14,Paramètres!$A$1:$I$89,3,0)*VLOOKUP('Données projet'!$B$14,Paramètres!$A$1:$I$89,5,0)</f>
        <v>447.37021680000026</v>
      </c>
      <c r="DQ164" s="13">
        <f t="shared" si="176"/>
        <v>101.3168050491076</v>
      </c>
      <c r="DR164" s="20">
        <f t="shared" si="177"/>
        <v>955.62989638719603</v>
      </c>
      <c r="DS164" s="59">
        <f t="shared" si="125"/>
        <v>1246.5531055796155</v>
      </c>
      <c r="DT164" s="59">
        <f ca="1">AVERAGE(OFFSET($DS$3,0,0,'Données projet'!$E$14+1,1))-AVERAGE(OFFSET($H$3,0,0,'Données projet'!$E$14+1,1))</f>
        <v>602.02351907077332</v>
      </c>
      <c r="DU164" s="59">
        <f t="shared" si="152"/>
        <v>278.08067690827272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61.882119218227587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61.882119218227587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69.342693416114372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69.342693416114372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69.342693416114372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69.342693416114372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2.2000000000000002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8.0666666666666682</v>
      </c>
      <c r="H165" s="67">
        <f t="shared" si="110"/>
        <v>224.4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69.354096215827411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360.09035401555587</v>
      </c>
      <c r="T165" s="59">
        <f t="shared" si="142"/>
        <v>266.54879627869821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33.913899378136435</v>
      </c>
      <c r="AA165" s="21">
        <f>EXP(-LN(2)/25)*AA164+(1-EXP(-LN(2)/25))/(LN(2)/25)*Calculateur!V165*Calculateur!X165*VLOOKUP('Données projet'!$B$9,Paramètres!$A$1:$I$89,3,0)*0.475*44/12</f>
        <v>8.3122872974336133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42.226186675570048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69.354096215827411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-2.8421709430404007E-14</v>
      </c>
      <c r="AJ165" s="13">
        <f>AI165*VLOOKUP('Données projet'!$B$10,Paramètres!$A$1:$I$89,3,0)*VLOOKUP('Données projet'!$B$10,Paramètres!$A$1:$I$89,5,0)</f>
        <v>-2.3942448024172337E-14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377.26246345103175</v>
      </c>
      <c r="AO165" s="59">
        <f t="shared" si="144"/>
        <v>258.25890564000258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63.888053863011393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63.888053863011393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69.354096215827411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2.2737367544323206E-13</v>
      </c>
      <c r="BE165" s="13">
        <f>BD165*VLOOKUP('Données projet'!$B$11,Paramètres!$A$1:$I$89,3,0)*VLOOKUP('Données projet'!$B$11,Paramètres!$A$1:$I$89,5,0)</f>
        <v>1.0049916454590858E-13</v>
      </c>
      <c r="BF165" s="13">
        <f t="shared" si="167"/>
        <v>1.5089081593838289E-12</v>
      </c>
      <c r="BG165" s="20">
        <f t="shared" si="168"/>
        <v>2.8030510891776262E-12</v>
      </c>
      <c r="BH165" s="59">
        <f t="shared" si="116"/>
        <v>290.96501945803664</v>
      </c>
      <c r="BI165" s="59">
        <f ca="1">AVERAGE(OFFSET($BH$3,0,0,'Données projet'!$E$11+1,1))-AVERAGE(OFFSET($H$3,0,0,'Données projet'!$E$11+1,1))</f>
        <v>333.23043896066253</v>
      </c>
      <c r="BJ165" s="59">
        <f t="shared" si="146"/>
        <v>440.63438368668983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21.894700359425524</v>
      </c>
      <c r="BQ165" s="21">
        <f>EXP(-LN(2)/25)*BQ164+(1-EXP(-LN(2)/25))/(LN(2)/25)*Calculateur!BL165*Calculateur!BN165*VLOOKUP('Données projet'!$B$11,Paramètres!$A$1:$I$89,3,0)*0.475*44/12</f>
        <v>6.941918543356687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28.836618902782213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69.354096215827411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1.1368683772161603E-13</v>
      </c>
      <c r="BZ165" s="13">
        <f>BY165*VLOOKUP('Données projet'!$B$12,Paramètres!$A$1:$I$89,3,0)*VLOOKUP('Données projet'!$B$12,Paramètres!$A$1:$I$89,5,0)</f>
        <v>4.5815795601811263E-14</v>
      </c>
      <c r="CA165" s="13">
        <f t="shared" si="170"/>
        <v>7.5374618042508364E-13</v>
      </c>
      <c r="CB165" s="20">
        <f t="shared" si="171"/>
        <v>1.392570441580175E-12</v>
      </c>
      <c r="CC165" s="59">
        <f t="shared" si="119"/>
        <v>290.96501945803521</v>
      </c>
      <c r="CD165" s="59">
        <f ca="1">AVERAGE(OFFSET($CC$3,0,0,'Données projet'!$E$12+1,1))-AVERAGE(OFFSET($H$3,0,0,'Données projet'!$E$12+1,1))</f>
        <v>177.34129362526608</v>
      </c>
      <c r="CE165" s="59">
        <f t="shared" si="148"/>
        <v>156.93407673501022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16.902742717867262</v>
      </c>
      <c r="CL165" s="21">
        <f>EXP(-LN(2)/25)*CL164+(1-EXP(-LN(2)/25))/(LN(2)/25)*Calculateur!CG165*Calculateur!CI165*VLOOKUP('Données projet'!$B$12,Paramètres!$A$1:$I$89,3,0)*0.475*44/12</f>
        <v>4.3655199444337409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21.268262662301005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69.354096215827411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8.5265128291212022E-14</v>
      </c>
      <c r="CU165" s="17">
        <f>CT165*VLOOKUP('Données projet'!$B$13,Paramètres!$A$1:$I$89,3,0)*VLOOKUP('Données projet'!$B$13,Paramètres!$A$1:$I$89,5,0)</f>
        <v>5.5865712056402117E-14</v>
      </c>
      <c r="CV165" s="13">
        <f t="shared" si="173"/>
        <v>8.9811031843713517E-13</v>
      </c>
      <c r="CW165" s="20">
        <f t="shared" si="174"/>
        <v>1.6615082531095774E-12</v>
      </c>
      <c r="CX165" s="59">
        <f t="shared" si="122"/>
        <v>290.9650194580355</v>
      </c>
      <c r="CY165" s="59">
        <f ca="1">AVERAGE(OFFSET($CX$3,0,0,'Données projet'!$E$13+1,1))-AVERAGE(OFFSET($H$3,0,0,'Données projet'!$E$13+1,1))</f>
        <v>267.49254683294629</v>
      </c>
      <c r="CZ165" s="59">
        <f t="shared" si="150"/>
        <v>278.02595256967254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15.152432840455244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15.152432840455244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69.354096215827411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8.4429999999999943</v>
      </c>
      <c r="DO165" s="12">
        <f>IF('Données projet'!$A$166&gt;35,DO164+DN165-DW164,IF(A165&lt;'Données projet'!$A$166,$DL$205^A165,IF(A165='Données projet'!$A$166,'Données projet'!$B$166,DO164+DN165-DW164)))</f>
        <v>502.88400000000036</v>
      </c>
      <c r="DP165" s="17">
        <f>DO165*VLOOKUP('Données projet'!$B$14,Paramètres!$A$1:$I$89,3,0)*VLOOKUP('Données projet'!$B$14,Paramètres!$A$1:$I$89,5,0)</f>
        <v>455.00944320000031</v>
      </c>
      <c r="DQ165" s="13">
        <f t="shared" si="176"/>
        <v>102.84398567063174</v>
      </c>
      <c r="DR165" s="20">
        <f t="shared" si="177"/>
        <v>971.59472194968396</v>
      </c>
      <c r="DS165" s="59">
        <f t="shared" si="125"/>
        <v>1262.5597414077179</v>
      </c>
      <c r="DT165" s="59">
        <f ca="1">AVERAGE(OFFSET($DS$3,0,0,'Données projet'!$E$14+1,1))-AVERAGE(OFFSET($H$3,0,0,'Données projet'!$E$14+1,1))</f>
        <v>602.02351907077332</v>
      </c>
      <c r="DU165" s="59">
        <f t="shared" si="152"/>
        <v>278.08067690827272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60.66864860472392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60.66864860472392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69.354096215827411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69.354096215827411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69.354096215827411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69.354096215827411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2.2000000000000002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8.0666666666666682</v>
      </c>
      <c r="H166" s="67">
        <f t="shared" si="110"/>
        <v>224.4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69.365301202458269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360.09035401555587</v>
      </c>
      <c r="T166" s="59">
        <f t="shared" si="142"/>
        <v>266.54879627869821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33.24886849676728</v>
      </c>
      <c r="AA166" s="21">
        <f>EXP(-LN(2)/25)*AA165+(1-EXP(-LN(2)/25))/(LN(2)/25)*Calculateur!V166*Calculateur!X166*VLOOKUP('Données projet'!$B$9,Paramètres!$A$1:$I$89,3,0)*0.475*44/12</f>
        <v>8.0849873641610994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41.333855860928381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69.365301202458269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-2.8421709430404007E-14</v>
      </c>
      <c r="AJ166" s="13">
        <f>AI166*VLOOKUP('Données projet'!$B$10,Paramètres!$A$1:$I$89,3,0)*VLOOKUP('Données projet'!$B$10,Paramètres!$A$1:$I$89,5,0)</f>
        <v>-2.3942448024172337E-14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377.26246345103175</v>
      </c>
      <c r="AO166" s="59">
        <f t="shared" si="144"/>
        <v>258.25890564000258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62.635248094622838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62.635248094622838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69.365301202458269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2.2737367544323206E-13</v>
      </c>
      <c r="BE166" s="13">
        <f>BD166*VLOOKUP('Données projet'!$B$11,Paramètres!$A$1:$I$89,3,0)*VLOOKUP('Données projet'!$B$11,Paramètres!$A$1:$I$89,5,0)</f>
        <v>1.0049916454590858E-13</v>
      </c>
      <c r="BF166" s="13">
        <f t="shared" si="167"/>
        <v>1.5089081593838289E-12</v>
      </c>
      <c r="BG166" s="20">
        <f t="shared" si="168"/>
        <v>2.8030510891776262E-12</v>
      </c>
      <c r="BH166" s="59">
        <f t="shared" si="116"/>
        <v>291.00610440901642</v>
      </c>
      <c r="BI166" s="59">
        <f ca="1">AVERAGE(OFFSET($BH$3,0,0,'Données projet'!$E$11+1,1))-AVERAGE(OFFSET($H$3,0,0,'Données projet'!$E$11+1,1))</f>
        <v>333.23043896066253</v>
      </c>
      <c r="BJ166" s="59">
        <f t="shared" si="146"/>
        <v>440.63438368668983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21.465358639825766</v>
      </c>
      <c r="BQ166" s="21">
        <f>EXP(-LN(2)/25)*BQ165+(1-EXP(-LN(2)/25))/(LN(2)/25)*Calculateur!BL166*Calculateur!BN166*VLOOKUP('Données projet'!$B$11,Paramètres!$A$1:$I$89,3,0)*0.475*44/12</f>
        <v>6.7520914157289678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28.217450055554735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69.365301202458269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1.1368683772161603E-13</v>
      </c>
      <c r="BZ166" s="13">
        <f>BY166*VLOOKUP('Données projet'!$B$12,Paramètres!$A$1:$I$89,3,0)*VLOOKUP('Données projet'!$B$12,Paramètres!$A$1:$I$89,5,0)</f>
        <v>4.5815795601811263E-14</v>
      </c>
      <c r="CA166" s="13">
        <f t="shared" si="170"/>
        <v>7.5374618042508364E-13</v>
      </c>
      <c r="CB166" s="20">
        <f t="shared" si="171"/>
        <v>1.392570441580175E-12</v>
      </c>
      <c r="CC166" s="59">
        <f t="shared" si="119"/>
        <v>291.00610440901499</v>
      </c>
      <c r="CD166" s="59">
        <f ca="1">AVERAGE(OFFSET($CC$3,0,0,'Données projet'!$E$12+1,1))-AVERAGE(OFFSET($H$3,0,0,'Données projet'!$E$12+1,1))</f>
        <v>177.34129362526608</v>
      </c>
      <c r="CE166" s="59">
        <f t="shared" si="148"/>
        <v>156.93407673501022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16.571290242824951</v>
      </c>
      <c r="CL166" s="21">
        <f>EXP(-LN(2)/25)*CL165+(1-EXP(-LN(2)/25))/(LN(2)/25)*Calculateur!CG166*Calculateur!CI166*VLOOKUP('Données projet'!$B$12,Paramètres!$A$1:$I$89,3,0)*0.475*44/12</f>
        <v>4.2461445719804836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20.817434814805434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69.365301202458269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8.5265128291212022E-14</v>
      </c>
      <c r="CU166" s="17">
        <f>CT166*VLOOKUP('Données projet'!$B$13,Paramètres!$A$1:$I$89,3,0)*VLOOKUP('Données projet'!$B$13,Paramètres!$A$1:$I$89,5,0)</f>
        <v>5.5865712056402117E-14</v>
      </c>
      <c r="CV166" s="13">
        <f t="shared" si="173"/>
        <v>8.9811031843713517E-13</v>
      </c>
      <c r="CW166" s="20">
        <f t="shared" si="174"/>
        <v>1.6615082531095774E-12</v>
      </c>
      <c r="CX166" s="59">
        <f t="shared" si="122"/>
        <v>291.00610440901528</v>
      </c>
      <c r="CY166" s="59">
        <f ca="1">AVERAGE(OFFSET($CX$3,0,0,'Données projet'!$E$13+1,1))-AVERAGE(OFFSET($H$3,0,0,'Données projet'!$E$13+1,1))</f>
        <v>267.49254683294629</v>
      </c>
      <c r="CZ166" s="59">
        <f t="shared" si="150"/>
        <v>278.02595256967254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14.855302874525371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14.855302874525371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69.365301202458269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8.4429999999999943</v>
      </c>
      <c r="DO166" s="12">
        <f>IF('Données projet'!$A$166&gt;35,DO165+DN166-DW165,IF(A166&lt;'Données projet'!$A$166,$DL$205^A166,IF(A166='Données projet'!$A$166,'Données projet'!$B$166,DO165+DN166-DW165)))</f>
        <v>511.32700000000034</v>
      </c>
      <c r="DP166" s="17">
        <f>DO166*VLOOKUP('Données projet'!$B$14,Paramètres!$A$1:$I$89,3,0)*VLOOKUP('Données projet'!$B$14,Paramètres!$A$1:$I$89,5,0)</f>
        <v>462.64866960000029</v>
      </c>
      <c r="DQ166" s="13">
        <f t="shared" si="176"/>
        <v>104.36818455309495</v>
      </c>
      <c r="DR166" s="20">
        <f t="shared" si="177"/>
        <v>987.5543543166408</v>
      </c>
      <c r="DS166" s="59">
        <f t="shared" si="125"/>
        <v>1278.5604587256544</v>
      </c>
      <c r="DT166" s="59">
        <f ca="1">AVERAGE(OFFSET($DS$3,0,0,'Données projet'!$E$14+1,1))-AVERAGE(OFFSET($H$3,0,0,'Données projet'!$E$14+1,1))</f>
        <v>602.02351907077332</v>
      </c>
      <c r="DU166" s="59">
        <f t="shared" si="152"/>
        <v>278.08067690827272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59.478973409807068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59.478973409807068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69.365301202458269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69.365301202458269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69.365301202458269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69.365301202458269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2.2000000000000002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8.0666666666666682</v>
      </c>
      <c r="H167" s="67">
        <f t="shared" si="110"/>
        <v>224.4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69.37631180762169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360.09035401555587</v>
      </c>
      <c r="T167" s="59">
        <f t="shared" si="142"/>
        <v>266.54879627869821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32.596878465352994</v>
      </c>
      <c r="AA167" s="21">
        <f>EXP(-LN(2)/25)*AA166+(1-EXP(-LN(2)/25))/(LN(2)/25)*Calculateur!V167*Calculateur!X167*VLOOKUP('Données projet'!$B$9,Paramètres!$A$1:$I$89,3,0)*0.475*44/12</f>
        <v>7.863902959517107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40.460781424870099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69.37631180762169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-2.8421709430404007E-14</v>
      </c>
      <c r="AJ167" s="13">
        <f>AI167*VLOOKUP('Données projet'!$B$10,Paramètres!$A$1:$I$89,3,0)*VLOOKUP('Données projet'!$B$10,Paramètres!$A$1:$I$89,5,0)</f>
        <v>-2.3942448024172337E-14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377.26246345103175</v>
      </c>
      <c r="AO167" s="59">
        <f t="shared" si="144"/>
        <v>258.25890564000258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61.407009083216316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61.407009083216316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69.37631180762169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2.2737367544323206E-13</v>
      </c>
      <c r="BE167" s="13">
        <f>BD167*VLOOKUP('Données projet'!$B$11,Paramètres!$A$1:$I$89,3,0)*VLOOKUP('Données projet'!$B$11,Paramètres!$A$1:$I$89,5,0)</f>
        <v>1.0049916454590858E-13</v>
      </c>
      <c r="BF167" s="13">
        <f t="shared" si="167"/>
        <v>1.5089081593838289E-12</v>
      </c>
      <c r="BG167" s="20">
        <f t="shared" si="168"/>
        <v>2.8030510891776262E-12</v>
      </c>
      <c r="BH167" s="59">
        <f t="shared" si="116"/>
        <v>291.046476627949</v>
      </c>
      <c r="BI167" s="59">
        <f ca="1">AVERAGE(OFFSET($BH$3,0,0,'Données projet'!$E$11+1,1))-AVERAGE(OFFSET($H$3,0,0,'Données projet'!$E$11+1,1))</f>
        <v>333.23043896066253</v>
      </c>
      <c r="BJ167" s="59">
        <f t="shared" si="146"/>
        <v>440.63438368668983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21.044436049474768</v>
      </c>
      <c r="BQ167" s="21">
        <f>EXP(-LN(2)/25)*BQ166+(1-EXP(-LN(2)/25))/(LN(2)/25)*Calculateur!BL167*Calculateur!BN167*VLOOKUP('Données projet'!$B$11,Paramètres!$A$1:$I$89,3,0)*0.475*44/12</f>
        <v>6.5674551208888037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27.61189117036357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69.37631180762169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1.1368683772161603E-13</v>
      </c>
      <c r="BZ167" s="13">
        <f>BY167*VLOOKUP('Données projet'!$B$12,Paramètres!$A$1:$I$89,3,0)*VLOOKUP('Données projet'!$B$12,Paramètres!$A$1:$I$89,5,0)</f>
        <v>4.5815795601811263E-14</v>
      </c>
      <c r="CA167" s="13">
        <f t="shared" si="170"/>
        <v>7.5374618042508364E-13</v>
      </c>
      <c r="CB167" s="20">
        <f t="shared" si="171"/>
        <v>1.392570441580175E-12</v>
      </c>
      <c r="CC167" s="59">
        <f t="shared" si="119"/>
        <v>291.04647662794758</v>
      </c>
      <c r="CD167" s="59">
        <f ca="1">AVERAGE(OFFSET($CC$3,0,0,'Données projet'!$E$12+1,1))-AVERAGE(OFFSET($H$3,0,0,'Données projet'!$E$12+1,1))</f>
        <v>177.34129362526608</v>
      </c>
      <c r="CE167" s="59">
        <f t="shared" si="148"/>
        <v>156.93407673501022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16.246337348652169</v>
      </c>
      <c r="CL167" s="21">
        <f>EXP(-LN(2)/25)*CL166+(1-EXP(-LN(2)/25))/(LN(2)/25)*Calculateur!CG167*Calculateur!CI167*VLOOKUP('Données projet'!$B$12,Paramètres!$A$1:$I$89,3,0)*0.475*44/12</f>
        <v>4.130033525364639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20.376370874016807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69.37631180762169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8.5265128291212022E-14</v>
      </c>
      <c r="CU167" s="17">
        <f>CT167*VLOOKUP('Données projet'!$B$13,Paramètres!$A$1:$I$89,3,0)*VLOOKUP('Données projet'!$B$13,Paramètres!$A$1:$I$89,5,0)</f>
        <v>5.5865712056402117E-14</v>
      </c>
      <c r="CV167" s="13">
        <f t="shared" si="173"/>
        <v>8.9811031843713517E-13</v>
      </c>
      <c r="CW167" s="20">
        <f t="shared" si="174"/>
        <v>1.6615082531095774E-12</v>
      </c>
      <c r="CX167" s="59">
        <f t="shared" si="122"/>
        <v>291.04647662794787</v>
      </c>
      <c r="CY167" s="59">
        <f ca="1">AVERAGE(OFFSET($CX$3,0,0,'Données projet'!$E$13+1,1))-AVERAGE(OFFSET($H$3,0,0,'Données projet'!$E$13+1,1))</f>
        <v>267.49254683294629</v>
      </c>
      <c r="CZ167" s="59">
        <f t="shared" si="150"/>
        <v>278.02595256967254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14.563999445995998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14.563999445995998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69.37631180762169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>
        <f>VLOOKUP(A167,'Données projet'!$A$165:$I$185,2,0)</f>
        <v>519.77</v>
      </c>
      <c r="DM167" s="12">
        <f>VLOOKUP(A167,'Données projet'!$A$165:$I$185,9,0)</f>
        <v>8.4429999999999943</v>
      </c>
      <c r="DN167" s="12">
        <f t="array" ref="DN167">INDEX(DM:DM,MIN(IF(ISNUMBER(DM167:DM363),ROW(DM167:DM363),"")))</f>
        <v>8.4429999999999943</v>
      </c>
      <c r="DO167" s="12">
        <f>IF('Données projet'!$A$166&gt;35,DO166+DN167-DW166,IF(A167&lt;'Données projet'!$A$166,$DL$205^A167,IF(A167='Données projet'!$A$166,'Données projet'!$B$166,DO166+DN167-DW166)))</f>
        <v>519.77000000000032</v>
      </c>
      <c r="DP167" s="17">
        <f>DO167*VLOOKUP('Données projet'!$B$14,Paramètres!$A$1:$I$89,3,0)*VLOOKUP('Données projet'!$B$14,Paramètres!$A$1:$I$89,5,0)</f>
        <v>470.28789600000022</v>
      </c>
      <c r="DQ167" s="13">
        <f t="shared" si="176"/>
        <v>105.88945661390174</v>
      </c>
      <c r="DR167" s="20">
        <f t="shared" si="177"/>
        <v>1003.5088891358791</v>
      </c>
      <c r="DS167" s="59">
        <f t="shared" si="125"/>
        <v>1294.5553657638254</v>
      </c>
      <c r="DT167" s="59">
        <f ca="1">AVERAGE(OFFSET($DS$3,0,0,'Données projet'!$E$14+1,1))-AVERAGE(OFFSET($H$3,0,0,'Données projet'!$E$14+1,1))</f>
        <v>602.02351907077332</v>
      </c>
      <c r="DU167" s="59">
        <f t="shared" si="152"/>
        <v>278.08067690827272</v>
      </c>
      <c r="DV167" s="15">
        <f>IF(ISNA(VLOOKUP(A167,'Données projet'!$A$165:$I$185,3,0)),0,VLOOKUP(A167,'Données projet'!$A$165:$I$185,3,0))</f>
        <v>14</v>
      </c>
      <c r="DW167" s="15">
        <f>IF(ISNA(VLOOKUP(A167,'Données projet'!$A$165:$I$185,4,0)),0,VLOOKUP(A167,'Données projet'!$A$165:$I$185,4,0))</f>
        <v>59.58</v>
      </c>
      <c r="DX167" s="16">
        <f>IF(ISNA(VLOOKUP(A167,'Données projet'!$A$165:$I$185,5,0)),0%,VLOOKUP(A167,'Données projet'!$A$165:$I$185,5,0)*VLOOKUP('Données projet'!$B$14,Paramètres!$A$1:$I$89,7,0))</f>
        <v>0.25800000000000001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73.687796339175065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73.687796339175065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69.37631180762169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69.37631180762169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69.37631180762169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69.37631180762169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2.2000000000000002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8.0666666666666682</v>
      </c>
      <c r="H168" s="67">
        <f t="shared" si="110"/>
        <v>224.4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69.38713140340154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360.09035401555587</v>
      </c>
      <c r="T168" s="59">
        <f t="shared" si="142"/>
        <v>266.54879627869821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31.957673560780087</v>
      </c>
      <c r="AA168" s="21">
        <f>EXP(-LN(2)/25)*AA167+(1-EXP(-LN(2)/25))/(LN(2)/25)*Calculateur!V168*Calculateur!X168*VLOOKUP('Données projet'!$B$9,Paramètres!$A$1:$I$89,3,0)*0.475*44/12</f>
        <v>7.6488641195444282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39.606537680324514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69.38713140340154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-2.8421709430404007E-14</v>
      </c>
      <c r="AJ168" s="13">
        <f>AI168*VLOOKUP('Données projet'!$B$10,Paramètres!$A$1:$I$89,3,0)*VLOOKUP('Données projet'!$B$10,Paramètres!$A$1:$I$89,5,0)</f>
        <v>-2.3942448024172337E-14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377.26246345103175</v>
      </c>
      <c r="AO168" s="59">
        <f t="shared" si="144"/>
        <v>258.25890564000258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60.202855089671651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60.202855089671651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69.38713140340154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2.2737367544323206E-13</v>
      </c>
      <c r="BE168" s="13">
        <f>BD168*VLOOKUP('Données projet'!$B$11,Paramètres!$A$1:$I$89,3,0)*VLOOKUP('Données projet'!$B$11,Paramètres!$A$1:$I$89,5,0)</f>
        <v>1.0049916454590858E-13</v>
      </c>
      <c r="BF168" s="13">
        <f t="shared" si="167"/>
        <v>1.5089081593838289E-12</v>
      </c>
      <c r="BG168" s="20">
        <f t="shared" si="168"/>
        <v>2.8030510891776262E-12</v>
      </c>
      <c r="BH168" s="59">
        <f t="shared" si="116"/>
        <v>291.0861484791418</v>
      </c>
      <c r="BI168" s="59">
        <f ca="1">AVERAGE(OFFSET($BH$3,0,0,'Données projet'!$E$11+1,1))-AVERAGE(OFFSET($H$3,0,0,'Données projet'!$E$11+1,1))</f>
        <v>333.23043896066253</v>
      </c>
      <c r="BJ168" s="59">
        <f t="shared" si="146"/>
        <v>440.63438368668983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20.631767494383123</v>
      </c>
      <c r="BQ168" s="21">
        <f>EXP(-LN(2)/25)*BQ167+(1-EXP(-LN(2)/25))/(LN(2)/25)*Calculateur!BL168*Calculateur!BN168*VLOOKUP('Données projet'!$B$11,Paramètres!$A$1:$I$89,3,0)*0.475*44/12</f>
        <v>6.3878677152406445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27.019635209623768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69.38713140340154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1.1368683772161603E-13</v>
      </c>
      <c r="BZ168" s="13">
        <f>BY168*VLOOKUP('Données projet'!$B$12,Paramètres!$A$1:$I$89,3,0)*VLOOKUP('Données projet'!$B$12,Paramètres!$A$1:$I$89,5,0)</f>
        <v>4.5815795601811263E-14</v>
      </c>
      <c r="CA168" s="13">
        <f t="shared" si="170"/>
        <v>7.5374618042508364E-13</v>
      </c>
      <c r="CB168" s="20">
        <f t="shared" si="171"/>
        <v>1.392570441580175E-12</v>
      </c>
      <c r="CC168" s="59">
        <f t="shared" si="119"/>
        <v>291.08614847914038</v>
      </c>
      <c r="CD168" s="59">
        <f ca="1">AVERAGE(OFFSET($CC$3,0,0,'Données projet'!$E$12+1,1))-AVERAGE(OFFSET($H$3,0,0,'Données projet'!$E$12+1,1))</f>
        <v>177.34129362526608</v>
      </c>
      <c r="CE168" s="59">
        <f t="shared" si="148"/>
        <v>156.93407673501022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15.927756582532421</v>
      </c>
      <c r="CL168" s="21">
        <f>EXP(-LN(2)/25)*CL167+(1-EXP(-LN(2)/25))/(LN(2)/25)*Calculateur!CG168*Calculateur!CI168*VLOOKUP('Données projet'!$B$12,Paramètres!$A$1:$I$89,3,0)*0.475*44/12</f>
        <v>4.0170975414245191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19.94485412395694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69.38713140340154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8.5265128291212022E-14</v>
      </c>
      <c r="CU168" s="17">
        <f>CT168*VLOOKUP('Données projet'!$B$13,Paramètres!$A$1:$I$89,3,0)*VLOOKUP('Données projet'!$B$13,Paramètres!$A$1:$I$89,5,0)</f>
        <v>5.5865712056402117E-14</v>
      </c>
      <c r="CV168" s="13">
        <f t="shared" si="173"/>
        <v>8.9811031843713517E-13</v>
      </c>
      <c r="CW168" s="20">
        <f t="shared" si="174"/>
        <v>1.6615082531095774E-12</v>
      </c>
      <c r="CX168" s="59">
        <f t="shared" si="122"/>
        <v>291.08614847914066</v>
      </c>
      <c r="CY168" s="59">
        <f ca="1">AVERAGE(OFFSET($CX$3,0,0,'Données projet'!$E$13+1,1))-AVERAGE(OFFSET($H$3,0,0,'Données projet'!$E$13+1,1))</f>
        <v>267.49254683294629</v>
      </c>
      <c r="CZ168" s="59">
        <f t="shared" si="150"/>
        <v>278.02595256967254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14.278408300022539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14.278408300022539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69.38713140340154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8.5459999999999976</v>
      </c>
      <c r="DO168" s="12">
        <f>IF('Données projet'!$A$166&gt;35,DO167+DN168-DW167,IF(A168&lt;'Données projet'!$A$166,$DL$205^A168,IF(A168='Données projet'!$A$166,'Données projet'!$B$166,DO167+DN168-DW167)))</f>
        <v>468.73600000000039</v>
      </c>
      <c r="DP168" s="17">
        <f>DO168*VLOOKUP('Données projet'!$B$14,Paramètres!$A$1:$I$89,3,0)*VLOOKUP('Données projet'!$B$14,Paramètres!$A$1:$I$89,5,0)</f>
        <v>424.11233280000033</v>
      </c>
      <c r="DQ168" s="13">
        <f t="shared" si="176"/>
        <v>96.648293340367189</v>
      </c>
      <c r="DR168" s="20">
        <f t="shared" si="177"/>
        <v>906.99142386114011</v>
      </c>
      <c r="DS168" s="59">
        <f t="shared" si="125"/>
        <v>1198.0775723402792</v>
      </c>
      <c r="DT168" s="59">
        <f ca="1">AVERAGE(OFFSET($DS$3,0,0,'Données projet'!$E$14+1,1))-AVERAGE(OFFSET($H$3,0,0,'Données projet'!$E$14+1,1))</f>
        <v>602.02351907077332</v>
      </c>
      <c r="DU168" s="59">
        <f t="shared" si="152"/>
        <v>278.08067690827272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72.242823598081642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72.242823598081642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69.38713140340154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69.38713140340154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69.38713140340154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69.38713140340154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2.2000000000000002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8.0666666666666682</v>
      </c>
      <c r="H169" s="67">
        <f t="shared" si="110"/>
        <v>224.4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69.397763303383613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360.09035401555587</v>
      </c>
      <c r="T169" s="59">
        <f t="shared" si="142"/>
        <v>266.54879627869821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31.331003074509361</v>
      </c>
      <c r="AA169" s="21">
        <f>EXP(-LN(2)/25)*AA168+(1-EXP(-LN(2)/25))/(LN(2)/25)*Calculateur!V169*Calculateur!X169*VLOOKUP('Données projet'!$B$9,Paramètres!$A$1:$I$89,3,0)*0.475*44/12</f>
        <v>7.4397055279592035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38.770708602468567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69.397763303383613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-2.8421709430404007E-14</v>
      </c>
      <c r="AJ169" s="13">
        <f>AI169*VLOOKUP('Données projet'!$B$10,Paramètres!$A$1:$I$89,3,0)*VLOOKUP('Données projet'!$B$10,Paramètres!$A$1:$I$89,5,0)</f>
        <v>-2.3942448024172337E-14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377.26246345103175</v>
      </c>
      <c r="AO169" s="59">
        <f t="shared" si="144"/>
        <v>258.25890564000258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59.022313821478981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59.022313821478981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69.397763303383613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2.2737367544323206E-13</v>
      </c>
      <c r="BE169" s="13">
        <f>BD169*VLOOKUP('Données projet'!$B$11,Paramètres!$A$1:$I$89,3,0)*VLOOKUP('Données projet'!$B$11,Paramètres!$A$1:$I$89,5,0)</f>
        <v>1.0049916454590858E-13</v>
      </c>
      <c r="BF169" s="13">
        <f t="shared" si="167"/>
        <v>1.5089081593838289E-12</v>
      </c>
      <c r="BG169" s="20">
        <f t="shared" si="168"/>
        <v>2.8030510891776262E-12</v>
      </c>
      <c r="BH169" s="59">
        <f t="shared" si="116"/>
        <v>291.12513211240935</v>
      </c>
      <c r="BI169" s="59">
        <f ca="1">AVERAGE(OFFSET($BH$3,0,0,'Données projet'!$E$11+1,1))-AVERAGE(OFFSET($H$3,0,0,'Données projet'!$E$11+1,1))</f>
        <v>333.23043896066253</v>
      </c>
      <c r="BJ169" s="59">
        <f t="shared" si="146"/>
        <v>440.63438368668983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20.227191117953861</v>
      </c>
      <c r="BQ169" s="21">
        <f>EXP(-LN(2)/25)*BQ168+(1-EXP(-LN(2)/25))/(LN(2)/25)*Calculateur!BL169*Calculateur!BN169*VLOOKUP('Données projet'!$B$11,Paramètres!$A$1:$I$89,3,0)*0.475*44/12</f>
        <v>6.2131911366440251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26.440382254597885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69.397763303383613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1.1368683772161603E-13</v>
      </c>
      <c r="BZ169" s="13">
        <f>BY169*VLOOKUP('Données projet'!$B$12,Paramètres!$A$1:$I$89,3,0)*VLOOKUP('Données projet'!$B$12,Paramètres!$A$1:$I$89,5,0)</f>
        <v>4.5815795601811263E-14</v>
      </c>
      <c r="CA169" s="13">
        <f t="shared" si="170"/>
        <v>7.5374618042508364E-13</v>
      </c>
      <c r="CB169" s="20">
        <f t="shared" si="171"/>
        <v>1.392570441580175E-12</v>
      </c>
      <c r="CC169" s="59">
        <f t="shared" si="119"/>
        <v>291.12513211240793</v>
      </c>
      <c r="CD169" s="59">
        <f ca="1">AVERAGE(OFFSET($CC$3,0,0,'Données projet'!$E$12+1,1))-AVERAGE(OFFSET($H$3,0,0,'Données projet'!$E$12+1,1))</f>
        <v>177.34129362526608</v>
      </c>
      <c r="CE169" s="59">
        <f t="shared" si="148"/>
        <v>156.93407673501022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15.615422990921202</v>
      </c>
      <c r="CL169" s="21">
        <f>EXP(-LN(2)/25)*CL168+(1-EXP(-LN(2)/25))/(LN(2)/25)*Calculateur!CG169*Calculateur!CI169*VLOOKUP('Données projet'!$B$12,Paramètres!$A$1:$I$89,3,0)*0.475*44/12</f>
        <v>3.9072497979042873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19.522672788825489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69.397763303383613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8.5265128291212022E-14</v>
      </c>
      <c r="CU169" s="17">
        <f>CT169*VLOOKUP('Données projet'!$B$13,Paramètres!$A$1:$I$89,3,0)*VLOOKUP('Données projet'!$B$13,Paramètres!$A$1:$I$89,5,0)</f>
        <v>5.5865712056402117E-14</v>
      </c>
      <c r="CV169" s="13">
        <f t="shared" si="173"/>
        <v>8.9811031843713517E-13</v>
      </c>
      <c r="CW169" s="20">
        <f t="shared" si="174"/>
        <v>1.6615082531095774E-12</v>
      </c>
      <c r="CX169" s="59">
        <f t="shared" si="122"/>
        <v>291.12513211240821</v>
      </c>
      <c r="CY169" s="59">
        <f ca="1">AVERAGE(OFFSET($CX$3,0,0,'Données projet'!$E$13+1,1))-AVERAGE(OFFSET($H$3,0,0,'Données projet'!$E$13+1,1))</f>
        <v>267.49254683294629</v>
      </c>
      <c r="CZ169" s="59">
        <f t="shared" si="150"/>
        <v>278.02595256967254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13.99841742222822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13.99841742222822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69.397763303383613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8.5459999999999976</v>
      </c>
      <c r="DO169" s="12">
        <f>IF('Données projet'!$A$166&gt;35,DO168+DN169-DW168,IF(A169&lt;'Données projet'!$A$166,$DL$205^A169,IF(A169='Données projet'!$A$166,'Données projet'!$B$166,DO168+DN169-DW168)))</f>
        <v>477.28200000000038</v>
      </c>
      <c r="DP169" s="17">
        <f>DO169*VLOOKUP('Données projet'!$B$14,Paramètres!$A$1:$I$89,3,0)*VLOOKUP('Données projet'!$B$14,Paramètres!$A$1:$I$89,5,0)</f>
        <v>431.84475360000033</v>
      </c>
      <c r="DQ169" s="13">
        <f t="shared" si="176"/>
        <v>98.203637489221336</v>
      </c>
      <c r="DR169" s="20">
        <f t="shared" si="177"/>
        <v>923.16761448039449</v>
      </c>
      <c r="DS169" s="59">
        <f t="shared" si="125"/>
        <v>1214.292746592801</v>
      </c>
      <c r="DT169" s="59">
        <f ca="1">AVERAGE(OFFSET($DS$3,0,0,'Données projet'!$E$14+1,1))-AVERAGE(OFFSET($H$3,0,0,'Données projet'!$E$14+1,1))</f>
        <v>602.02351907077332</v>
      </c>
      <c r="DU169" s="59">
        <f t="shared" si="152"/>
        <v>278.08067690827272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70.826185891094724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70.826185891094724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69.397763303383613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69.397763303383613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69.397763303383613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69.397763303383613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2.2000000000000002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8.0666666666666682</v>
      </c>
      <c r="H170" s="67">
        <f t="shared" si="110"/>
        <v>224.4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69.408210763670354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360.09035401555587</v>
      </c>
      <c r="T170" s="59">
        <f t="shared" si="142"/>
        <v>266.54879627869821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30.716621214243151</v>
      </c>
      <c r="AA170" s="21">
        <f>EXP(-LN(2)/25)*AA169+(1-EXP(-LN(2)/25))/(LN(2)/25)*Calculateur!V170*Calculateur!X170*VLOOKUP('Données projet'!$B$9,Paramètres!$A$1:$I$89,3,0)*0.475*44/12</f>
        <v>7.2362663890600487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37.952887603303196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69.408210763670354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-2.8421709430404007E-14</v>
      </c>
      <c r="AJ170" s="13">
        <f>AI170*VLOOKUP('Données projet'!$B$10,Paramètres!$A$1:$I$89,3,0)*VLOOKUP('Données projet'!$B$10,Paramètres!$A$1:$I$89,5,0)</f>
        <v>-2.3942448024172337E-14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377.26246345103175</v>
      </c>
      <c r="AO170" s="59">
        <f t="shared" si="144"/>
        <v>258.25890564000258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57.864922247496501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57.864922247496501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69.408210763670354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2.2737367544323206E-13</v>
      </c>
      <c r="BE170" s="13">
        <f>BD170*VLOOKUP('Données projet'!$B$11,Paramètres!$A$1:$I$89,3,0)*VLOOKUP('Données projet'!$B$11,Paramètres!$A$1:$I$89,5,0)</f>
        <v>1.0049916454590858E-13</v>
      </c>
      <c r="BF170" s="13">
        <f t="shared" si="167"/>
        <v>1.5089081593838289E-12</v>
      </c>
      <c r="BG170" s="20">
        <f t="shared" si="168"/>
        <v>2.8030510891776262E-12</v>
      </c>
      <c r="BH170" s="59">
        <f t="shared" si="116"/>
        <v>291.1634394667941</v>
      </c>
      <c r="BI170" s="59">
        <f ca="1">AVERAGE(OFFSET($BH$3,0,0,'Données projet'!$E$11+1,1))-AVERAGE(OFFSET($H$3,0,0,'Données projet'!$E$11+1,1))</f>
        <v>333.23043896066253</v>
      </c>
      <c r="BJ170" s="59">
        <f t="shared" si="146"/>
        <v>440.63438368668983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19.830548237499155</v>
      </c>
      <c r="BQ170" s="21">
        <f>EXP(-LN(2)/25)*BQ169+(1-EXP(-LN(2)/25))/(LN(2)/25)*Calculateur!BL170*Calculateur!BN170*VLOOKUP('Données projet'!$B$11,Paramètres!$A$1:$I$89,3,0)*0.475*44/12</f>
        <v>6.043291098274973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25.873839335774129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69.408210763670354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1.1368683772161603E-13</v>
      </c>
      <c r="BZ170" s="13">
        <f>BY170*VLOOKUP('Données projet'!$B$12,Paramètres!$A$1:$I$89,3,0)*VLOOKUP('Données projet'!$B$12,Paramètres!$A$1:$I$89,5,0)</f>
        <v>4.5815795601811263E-14</v>
      </c>
      <c r="CA170" s="13">
        <f t="shared" si="170"/>
        <v>7.5374618042508364E-13</v>
      </c>
      <c r="CB170" s="20">
        <f t="shared" si="171"/>
        <v>1.392570441580175E-12</v>
      </c>
      <c r="CC170" s="59">
        <f t="shared" si="119"/>
        <v>291.16343946679268</v>
      </c>
      <c r="CD170" s="59">
        <f ca="1">AVERAGE(OFFSET($CC$3,0,0,'Données projet'!$E$12+1,1))-AVERAGE(OFFSET($H$3,0,0,'Données projet'!$E$12+1,1))</f>
        <v>177.34129362526608</v>
      </c>
      <c r="CE170" s="59">
        <f t="shared" si="148"/>
        <v>156.93407673501022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15.309214070536799</v>
      </c>
      <c r="CL170" s="21">
        <f>EXP(-LN(2)/25)*CL169+(1-EXP(-LN(2)/25))/(LN(2)/25)*Calculateur!CG170*Calculateur!CI170*VLOOKUP('Données projet'!$B$12,Paramètres!$A$1:$I$89,3,0)*0.475*44/12</f>
        <v>3.8004058467072577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19.109619917244057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69.408210763670354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8.5265128291212022E-14</v>
      </c>
      <c r="CU170" s="17">
        <f>CT170*VLOOKUP('Données projet'!$B$13,Paramètres!$A$1:$I$89,3,0)*VLOOKUP('Données projet'!$B$13,Paramètres!$A$1:$I$89,5,0)</f>
        <v>5.5865712056402117E-14</v>
      </c>
      <c r="CV170" s="13">
        <f t="shared" si="173"/>
        <v>8.9811031843713517E-13</v>
      </c>
      <c r="CW170" s="20">
        <f t="shared" si="174"/>
        <v>1.6615082531095774E-12</v>
      </c>
      <c r="CX170" s="59">
        <f t="shared" si="122"/>
        <v>291.16343946679297</v>
      </c>
      <c r="CY170" s="59">
        <f ca="1">AVERAGE(OFFSET($CX$3,0,0,'Données projet'!$E$13+1,1))-AVERAGE(OFFSET($H$3,0,0,'Données projet'!$E$13+1,1))</f>
        <v>267.49254683294629</v>
      </c>
      <c r="CZ170" s="59">
        <f t="shared" si="150"/>
        <v>278.02595256967254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13.723916994769876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13.723916994769876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69.408210763670354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8.5459999999999976</v>
      </c>
      <c r="DO170" s="12">
        <f>IF('Données projet'!$A$166&gt;35,DO169+DN170-DW169,IF(A170&lt;'Données projet'!$A$166,$DL$205^A170,IF(A170='Données projet'!$A$166,'Données projet'!$B$166,DO169+DN170-DW169)))</f>
        <v>485.82800000000037</v>
      </c>
      <c r="DP170" s="17">
        <f>DO170*VLOOKUP('Données projet'!$B$14,Paramètres!$A$1:$I$89,3,0)*VLOOKUP('Données projet'!$B$14,Paramètres!$A$1:$I$89,5,0)</f>
        <v>439.57717440000033</v>
      </c>
      <c r="DQ170" s="13">
        <f t="shared" si="176"/>
        <v>99.755743172047673</v>
      </c>
      <c r="DR170" s="20">
        <f t="shared" si="177"/>
        <v>939.33816477131688</v>
      </c>
      <c r="DS170" s="59">
        <f t="shared" si="125"/>
        <v>1230.5016042381083</v>
      </c>
      <c r="DT170" s="59">
        <f ca="1">AVERAGE(OFFSET($DS$3,0,0,'Données projet'!$E$14+1,1))-AVERAGE(OFFSET($H$3,0,0,'Données projet'!$E$14+1,1))</f>
        <v>602.02351907077332</v>
      </c>
      <c r="DU170" s="59">
        <f t="shared" si="152"/>
        <v>278.08067690827272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69.43732758547813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69.43732758547813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69.408210763670354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69.408210763670354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69.408210763670354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69.408210763670354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2.2000000000000002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8.0666666666666682</v>
      </c>
      <c r="H171" s="67">
        <f t="shared" si="110"/>
        <v>224.4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69.418476983878151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360.09035401555587</v>
      </c>
      <c r="T171" s="59">
        <f t="shared" si="142"/>
        <v>266.54879627869821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30.114287007520826</v>
      </c>
      <c r="AA171" s="21">
        <f>EXP(-LN(2)/25)*AA170+(1-EXP(-LN(2)/25))/(LN(2)/25)*Calculateur!V171*Calculateur!X171*VLOOKUP('Données projet'!$B$9,Paramètres!$A$1:$I$89,3,0)*0.475*44/12</f>
        <v>7.0383903041124913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37.152677311633319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69.418476983878151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-2.8421709430404007E-14</v>
      </c>
      <c r="AJ171" s="13">
        <f>AI171*VLOOKUP('Données projet'!$B$10,Paramètres!$A$1:$I$89,3,0)*VLOOKUP('Données projet'!$B$10,Paramètres!$A$1:$I$89,5,0)</f>
        <v>-2.3942448024172337E-14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377.26246345103175</v>
      </c>
      <c r="AO171" s="59">
        <f t="shared" si="144"/>
        <v>258.25890564000258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56.730226416340663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56.730226416340663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69.418476983878151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2.2737367544323206E-13</v>
      </c>
      <c r="BE171" s="13">
        <f>BD171*VLOOKUP('Données projet'!$B$11,Paramètres!$A$1:$I$89,3,0)*VLOOKUP('Données projet'!$B$11,Paramètres!$A$1:$I$89,5,0)</f>
        <v>1.0049916454590858E-13</v>
      </c>
      <c r="BF171" s="13">
        <f t="shared" si="167"/>
        <v>1.5089081593838289E-12</v>
      </c>
      <c r="BG171" s="20">
        <f t="shared" si="168"/>
        <v>2.8030510891776262E-12</v>
      </c>
      <c r="BH171" s="59">
        <f t="shared" si="116"/>
        <v>291.2010822742227</v>
      </c>
      <c r="BI171" s="59">
        <f ca="1">AVERAGE(OFFSET($BH$3,0,0,'Données projet'!$E$11+1,1))-AVERAGE(OFFSET($H$3,0,0,'Données projet'!$E$11+1,1))</f>
        <v>333.23043896066253</v>
      </c>
      <c r="BJ171" s="59">
        <f t="shared" si="146"/>
        <v>440.63438368668983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19.441683282001897</v>
      </c>
      <c r="BQ171" s="21">
        <f>EXP(-LN(2)/25)*BQ170+(1-EXP(-LN(2)/25))/(LN(2)/25)*Calculateur!BL171*Calculateur!BN171*VLOOKUP('Données projet'!$B$11,Paramètres!$A$1:$I$89,3,0)*0.475*44/12</f>
        <v>5.8780369853897776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25.319720267391673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69.418476983878151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1.1368683772161603E-13</v>
      </c>
      <c r="BZ171" s="13">
        <f>BY171*VLOOKUP('Données projet'!$B$12,Paramètres!$A$1:$I$89,3,0)*VLOOKUP('Données projet'!$B$12,Paramètres!$A$1:$I$89,5,0)</f>
        <v>4.5815795601811263E-14</v>
      </c>
      <c r="CA171" s="13">
        <f t="shared" si="170"/>
        <v>7.5374618042508364E-13</v>
      </c>
      <c r="CB171" s="20">
        <f t="shared" si="171"/>
        <v>1.392570441580175E-12</v>
      </c>
      <c r="CC171" s="59">
        <f t="shared" si="119"/>
        <v>291.20108227422128</v>
      </c>
      <c r="CD171" s="59">
        <f ca="1">AVERAGE(OFFSET($CC$3,0,0,'Données projet'!$E$12+1,1))-AVERAGE(OFFSET($H$3,0,0,'Données projet'!$E$12+1,1))</f>
        <v>177.34129362526608</v>
      </c>
      <c r="CE171" s="59">
        <f t="shared" si="148"/>
        <v>156.93407673501022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15.009009720312134</v>
      </c>
      <c r="CL171" s="21">
        <f>EXP(-LN(2)/25)*CL170+(1-EXP(-LN(2)/25))/(LN(2)/25)*Calculateur!CG171*Calculateur!CI171*VLOOKUP('Données projet'!$B$12,Paramètres!$A$1:$I$89,3,0)*0.475*44/12</f>
        <v>3.6964835489743901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18.705493269286524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69.418476983878151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8.5265128291212022E-14</v>
      </c>
      <c r="CU171" s="17">
        <f>CT171*VLOOKUP('Données projet'!$B$13,Paramètres!$A$1:$I$89,3,0)*VLOOKUP('Données projet'!$B$13,Paramètres!$A$1:$I$89,5,0)</f>
        <v>5.5865712056402117E-14</v>
      </c>
      <c r="CV171" s="13">
        <f t="shared" si="173"/>
        <v>8.9811031843713517E-13</v>
      </c>
      <c r="CW171" s="20">
        <f t="shared" si="174"/>
        <v>1.6615082531095774E-12</v>
      </c>
      <c r="CX171" s="59">
        <f t="shared" si="122"/>
        <v>291.20108227422156</v>
      </c>
      <c r="CY171" s="59">
        <f ca="1">AVERAGE(OFFSET($CX$3,0,0,'Données projet'!$E$13+1,1))-AVERAGE(OFFSET($H$3,0,0,'Données projet'!$E$13+1,1))</f>
        <v>267.49254683294629</v>
      </c>
      <c r="CZ171" s="59">
        <f t="shared" si="150"/>
        <v>278.02595256967254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13.454799353265262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13.454799353265262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69.418476983878151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8.5459999999999976</v>
      </c>
      <c r="DO171" s="12">
        <f>IF('Données projet'!$A$166&gt;35,DO170+DN171-DW170,IF(A171&lt;'Données projet'!$A$166,$DL$205^A171,IF(A171='Données projet'!$A$166,'Données projet'!$B$166,DO170+DN171-DW170)))</f>
        <v>494.37400000000036</v>
      </c>
      <c r="DP171" s="17">
        <f>DO171*VLOOKUP('Données projet'!$B$14,Paramètres!$A$1:$I$89,3,0)*VLOOKUP('Données projet'!$B$14,Paramètres!$A$1:$I$89,5,0)</f>
        <v>447.30959520000027</v>
      </c>
      <c r="DQ171" s="13">
        <f t="shared" si="176"/>
        <v>101.30467392781068</v>
      </c>
      <c r="DR171" s="20">
        <f t="shared" si="177"/>
        <v>955.50318539760417</v>
      </c>
      <c r="DS171" s="59">
        <f t="shared" si="125"/>
        <v>1246.704267671824</v>
      </c>
      <c r="DT171" s="59">
        <f ca="1">AVERAGE(OFFSET($DS$3,0,0,'Données projet'!$E$14+1,1))-AVERAGE(OFFSET($H$3,0,0,'Données projet'!$E$14+1,1))</f>
        <v>602.02351907077332</v>
      </c>
      <c r="DU171" s="59">
        <f t="shared" si="152"/>
        <v>278.08067690827272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68.075703944114764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68.075703944114764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69.418476983878151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69.418476983878151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69.418476983878151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69.418476983878151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2.2000000000000002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8.0666666666666682</v>
      </c>
      <c r="H172" s="67">
        <f t="shared" si="110"/>
        <v>224.4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69.428565108117169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360.09035401555587</v>
      </c>
      <c r="T172" s="59">
        <f t="shared" si="142"/>
        <v>266.54879627869821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29.523764207204739</v>
      </c>
      <c r="AA172" s="21">
        <f>EXP(-LN(2)/25)*AA171+(1-EXP(-LN(2)/25))/(LN(2)/25)*Calculateur!V172*Calculateur!X172*VLOOKUP('Données projet'!$B$9,Paramètres!$A$1:$I$89,3,0)*0.475*44/12</f>
        <v>6.8459251511136756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36.369689358318411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69.428565108117169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-2.8421709430404007E-14</v>
      </c>
      <c r="AJ172" s="13">
        <f>AI172*VLOOKUP('Données projet'!$B$10,Paramètres!$A$1:$I$89,3,0)*VLOOKUP('Données projet'!$B$10,Paramètres!$A$1:$I$89,5,0)</f>
        <v>-2.3942448024172337E-14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377.26246345103175</v>
      </c>
      <c r="AO172" s="59">
        <f t="shared" si="144"/>
        <v>258.25890564000258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55.617781278337674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55.617781278337674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69.428565108117169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2.2737367544323206E-13</v>
      </c>
      <c r="BE172" s="13">
        <f>BD172*VLOOKUP('Données projet'!$B$11,Paramètres!$A$1:$I$89,3,0)*VLOOKUP('Données projet'!$B$11,Paramètres!$A$1:$I$89,5,0)</f>
        <v>1.0049916454590858E-13</v>
      </c>
      <c r="BF172" s="13">
        <f t="shared" si="167"/>
        <v>1.5089081593838289E-12</v>
      </c>
      <c r="BG172" s="20">
        <f t="shared" si="168"/>
        <v>2.8030510891776262E-12</v>
      </c>
      <c r="BH172" s="59">
        <f t="shared" si="116"/>
        <v>291.23807206309908</v>
      </c>
      <c r="BI172" s="59">
        <f ca="1">AVERAGE(OFFSET($BH$3,0,0,'Données projet'!$E$11+1,1))-AVERAGE(OFFSET($H$3,0,0,'Données projet'!$E$11+1,1))</f>
        <v>333.23043896066253</v>
      </c>
      <c r="BJ172" s="59">
        <f t="shared" si="146"/>
        <v>440.63438368668983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19.060443731097735</v>
      </c>
      <c r="BQ172" s="21">
        <f>EXP(-LN(2)/25)*BQ171+(1-EXP(-LN(2)/25))/(LN(2)/25)*Calculateur!BL172*Calculateur!BN172*VLOOKUP('Données projet'!$B$11,Paramètres!$A$1:$I$89,3,0)*0.475*44/12</f>
        <v>5.7173017549117633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24.777745486009497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69.428565108117169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1.1368683772161603E-13</v>
      </c>
      <c r="BZ172" s="13">
        <f>BY172*VLOOKUP('Données projet'!$B$12,Paramètres!$A$1:$I$89,3,0)*VLOOKUP('Données projet'!$B$12,Paramètres!$A$1:$I$89,5,0)</f>
        <v>4.5815795601811263E-14</v>
      </c>
      <c r="CA172" s="13">
        <f t="shared" si="170"/>
        <v>7.5374618042508364E-13</v>
      </c>
      <c r="CB172" s="20">
        <f t="shared" si="171"/>
        <v>1.392570441580175E-12</v>
      </c>
      <c r="CC172" s="59">
        <f t="shared" si="119"/>
        <v>291.23807206309766</v>
      </c>
      <c r="CD172" s="59">
        <f ca="1">AVERAGE(OFFSET($CC$3,0,0,'Données projet'!$E$12+1,1))-AVERAGE(OFFSET($H$3,0,0,'Données projet'!$E$12+1,1))</f>
        <v>177.34129362526608</v>
      </c>
      <c r="CE172" s="59">
        <f t="shared" si="148"/>
        <v>156.93407673501022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14.714692194288801</v>
      </c>
      <c r="CL172" s="21">
        <f>EXP(-LN(2)/25)*CL171+(1-EXP(-LN(2)/25))/(LN(2)/25)*Calculateur!CG172*Calculateur!CI172*VLOOKUP('Données projet'!$B$12,Paramètres!$A$1:$I$89,3,0)*0.475*44/12</f>
        <v>3.595403011938064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18.310095206226865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69.428565108117169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8.5265128291212022E-14</v>
      </c>
      <c r="CU172" s="17">
        <f>CT172*VLOOKUP('Données projet'!$B$13,Paramètres!$A$1:$I$89,3,0)*VLOOKUP('Données projet'!$B$13,Paramètres!$A$1:$I$89,5,0)</f>
        <v>5.5865712056402117E-14</v>
      </c>
      <c r="CV172" s="13">
        <f t="shared" si="173"/>
        <v>8.9811031843713517E-13</v>
      </c>
      <c r="CW172" s="20">
        <f t="shared" si="174"/>
        <v>1.6615082531095774E-12</v>
      </c>
      <c r="CX172" s="59">
        <f t="shared" si="122"/>
        <v>291.23807206309795</v>
      </c>
      <c r="CY172" s="59">
        <f ca="1">AVERAGE(OFFSET($CX$3,0,0,'Données projet'!$E$13+1,1))-AVERAGE(OFFSET($H$3,0,0,'Données projet'!$E$13+1,1))</f>
        <v>267.49254683294629</v>
      </c>
      <c r="CZ172" s="59">
        <f t="shared" si="150"/>
        <v>278.02595256967254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13.190958944564999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13.190958944564999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69.428565108117169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8.5459999999999976</v>
      </c>
      <c r="DO172" s="12">
        <f>IF('Données projet'!$A$166&gt;35,DO171+DN172-DW171,IF(A172&lt;'Données projet'!$A$166,$DL$205^A172,IF(A172='Données projet'!$A$166,'Données projet'!$B$166,DO171+DN172-DW171)))</f>
        <v>502.92000000000036</v>
      </c>
      <c r="DP172" s="17">
        <f>DO172*VLOOKUP('Données projet'!$B$14,Paramètres!$A$1:$I$89,3,0)*VLOOKUP('Données projet'!$B$14,Paramètres!$A$1:$I$89,5,0)</f>
        <v>455.04201600000027</v>
      </c>
      <c r="DQ172" s="13">
        <f t="shared" si="176"/>
        <v>102.85049097288233</v>
      </c>
      <c r="DR172" s="20">
        <f t="shared" si="177"/>
        <v>971.66278297777069</v>
      </c>
      <c r="DS172" s="59">
        <f t="shared" si="125"/>
        <v>1262.9008550408671</v>
      </c>
      <c r="DT172" s="59">
        <f ca="1">AVERAGE(OFFSET($DS$3,0,0,'Données projet'!$E$14+1,1))-AVERAGE(OFFSET($H$3,0,0,'Données projet'!$E$14+1,1))</f>
        <v>602.02351907077332</v>
      </c>
      <c r="DU172" s="59">
        <f t="shared" si="152"/>
        <v>278.08067690827272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66.740780911850109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66.740780911850109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69.428565108117169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69.428565108117169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69.428565108117169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69.428565108117169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2.2000000000000002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8.0666666666666682</v>
      </c>
      <c r="H173" s="67">
        <f t="shared" si="110"/>
        <v>224.4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69.438478225954299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360.09035401555587</v>
      </c>
      <c r="T173" s="59">
        <f t="shared" si="142"/>
        <v>266.54879627869821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28.944821198819504</v>
      </c>
      <c r="AA173" s="21">
        <f>EXP(-LN(2)/25)*AA172+(1-EXP(-LN(2)/25))/(LN(2)/25)*Calculateur!V173*Calculateur!X173*VLOOKUP('Données projet'!$B$9,Paramètres!$A$1:$I$89,3,0)*0.475*44/12</f>
        <v>6.6587229678449154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35.60354416666442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69.438478225954299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-2.8421709430404007E-14</v>
      </c>
      <c r="AJ173" s="13">
        <f>AI173*VLOOKUP('Données projet'!$B$10,Paramètres!$A$1:$I$89,3,0)*VLOOKUP('Données projet'!$B$10,Paramètres!$A$1:$I$89,5,0)</f>
        <v>-2.3942448024172337E-14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377.26246345103175</v>
      </c>
      <c r="AO173" s="59">
        <f t="shared" si="144"/>
        <v>258.25890564000258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54.527150510966386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54.527150510966386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69.438478225954299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2.2737367544323206E-13</v>
      </c>
      <c r="BE173" s="13">
        <f>BD173*VLOOKUP('Données projet'!$B$11,Paramètres!$A$1:$I$89,3,0)*VLOOKUP('Données projet'!$B$11,Paramètres!$A$1:$I$89,5,0)</f>
        <v>1.0049916454590858E-13</v>
      </c>
      <c r="BF173" s="13">
        <f t="shared" si="167"/>
        <v>1.5089081593838289E-12</v>
      </c>
      <c r="BG173" s="20">
        <f t="shared" si="168"/>
        <v>2.8030510891776262E-12</v>
      </c>
      <c r="BH173" s="59">
        <f t="shared" si="116"/>
        <v>291.27442016183522</v>
      </c>
      <c r="BI173" s="59">
        <f ca="1">AVERAGE(OFFSET($BH$3,0,0,'Données projet'!$E$11+1,1))-AVERAGE(OFFSET($H$3,0,0,'Données projet'!$E$11+1,1))</f>
        <v>333.23043896066253</v>
      </c>
      <c r="BJ173" s="59">
        <f t="shared" si="146"/>
        <v>440.63438368668983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18.686680055253639</v>
      </c>
      <c r="BQ173" s="21">
        <f>EXP(-LN(2)/25)*BQ172+(1-EXP(-LN(2)/25))/(LN(2)/25)*Calculateur!BL173*Calculateur!BN173*VLOOKUP('Données projet'!$B$11,Paramètres!$A$1:$I$89,3,0)*0.475*44/12</f>
        <v>5.5609618377638688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24.247641893017509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69.438478225954299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1.1368683772161603E-13</v>
      </c>
      <c r="BZ173" s="13">
        <f>BY173*VLOOKUP('Données projet'!$B$12,Paramètres!$A$1:$I$89,3,0)*VLOOKUP('Données projet'!$B$12,Paramètres!$A$1:$I$89,5,0)</f>
        <v>4.5815795601811263E-14</v>
      </c>
      <c r="CA173" s="13">
        <f t="shared" si="170"/>
        <v>7.5374618042508364E-13</v>
      </c>
      <c r="CB173" s="20">
        <f t="shared" si="171"/>
        <v>1.392570441580175E-12</v>
      </c>
      <c r="CC173" s="59">
        <f t="shared" si="119"/>
        <v>291.2744201618338</v>
      </c>
      <c r="CD173" s="59">
        <f ca="1">AVERAGE(OFFSET($CC$3,0,0,'Données projet'!$E$12+1,1))-AVERAGE(OFFSET($H$3,0,0,'Données projet'!$E$12+1,1))</f>
        <v>177.34129362526608</v>
      </c>
      <c r="CE173" s="59">
        <f t="shared" si="148"/>
        <v>156.93407673501022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14.426146055434822</v>
      </c>
      <c r="CL173" s="21">
        <f>EXP(-LN(2)/25)*CL172+(1-EXP(-LN(2)/25))/(LN(2)/25)*Calculateur!CG173*Calculateur!CI173*VLOOKUP('Données projet'!$B$12,Paramètres!$A$1:$I$89,3,0)*0.475*44/12</f>
        <v>3.4970865275025909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17.923232582937413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69.438478225954299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8.5265128291212022E-14</v>
      </c>
      <c r="CU173" s="17">
        <f>CT173*VLOOKUP('Données projet'!$B$13,Paramètres!$A$1:$I$89,3,0)*VLOOKUP('Données projet'!$B$13,Paramètres!$A$1:$I$89,5,0)</f>
        <v>5.5865712056402117E-14</v>
      </c>
      <c r="CV173" s="13">
        <f t="shared" si="173"/>
        <v>8.9811031843713517E-13</v>
      </c>
      <c r="CW173" s="20">
        <f t="shared" si="174"/>
        <v>1.6615082531095774E-12</v>
      </c>
      <c r="CX173" s="59">
        <f t="shared" si="122"/>
        <v>291.27442016183409</v>
      </c>
      <c r="CY173" s="59">
        <f ca="1">AVERAGE(OFFSET($CX$3,0,0,'Données projet'!$E$13+1,1))-AVERAGE(OFFSET($H$3,0,0,'Données projet'!$E$13+1,1))</f>
        <v>267.49254683294629</v>
      </c>
      <c r="CZ173" s="59">
        <f t="shared" si="150"/>
        <v>278.02595256967254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12.93229228535259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12.93229228535259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69.438478225954299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8.5459999999999976</v>
      </c>
      <c r="DO173" s="12">
        <f>IF('Données projet'!$A$166&gt;35,DO172+DN173-DW172,IF(A173&lt;'Données projet'!$A$166,$DL$205^A173,IF(A173='Données projet'!$A$166,'Données projet'!$B$166,DO172+DN173-DW172)))</f>
        <v>511.46600000000035</v>
      </c>
      <c r="DP173" s="17">
        <f>DO173*VLOOKUP('Données projet'!$B$14,Paramètres!$A$1:$I$89,3,0)*VLOOKUP('Données projet'!$B$14,Paramètres!$A$1:$I$89,5,0)</f>
        <v>462.77443680000027</v>
      </c>
      <c r="DQ173" s="13">
        <f t="shared" si="176"/>
        <v>104.39325332394039</v>
      </c>
      <c r="DR173" s="20">
        <f t="shared" si="177"/>
        <v>987.81706029919678</v>
      </c>
      <c r="DS173" s="59">
        <f t="shared" si="125"/>
        <v>1279.0914804610293</v>
      </c>
      <c r="DT173" s="59">
        <f ca="1">AVERAGE(OFFSET($DS$3,0,0,'Données projet'!$E$14+1,1))-AVERAGE(OFFSET($H$3,0,0,'Données projet'!$E$14+1,1))</f>
        <v>602.02351907077332</v>
      </c>
      <c r="DU173" s="59">
        <f t="shared" si="152"/>
        <v>278.08067690827272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65.432034906025521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65.432034906025521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69.438478225954299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69.438478225954299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69.438478225954299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69.438478225954299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2.2000000000000002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8.0666666666666682</v>
      </c>
      <c r="H174" s="67">
        <f t="shared" si="110"/>
        <v>224.4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69.448219373359379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360.09035401555587</v>
      </c>
      <c r="T174" s="59">
        <f t="shared" si="142"/>
        <v>266.54879627869821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28.377230909708338</v>
      </c>
      <c r="AA174" s="21">
        <f>EXP(-LN(2)/25)*AA173+(1-EXP(-LN(2)/25))/(LN(2)/25)*Calculateur!V174*Calculateur!X174*VLOOKUP('Données projet'!$B$9,Paramètres!$A$1:$I$89,3,0)*0.475*44/12</f>
        <v>6.4766398381221739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34.853870747830513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69.448219373359379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-2.8421709430404007E-14</v>
      </c>
      <c r="AJ174" s="13">
        <f>AI174*VLOOKUP('Données projet'!$B$10,Paramètres!$A$1:$I$89,3,0)*VLOOKUP('Données projet'!$B$10,Paramètres!$A$1:$I$89,5,0)</f>
        <v>-2.3942448024172337E-14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377.26246345103175</v>
      </c>
      <c r="AO174" s="59">
        <f t="shared" si="144"/>
        <v>258.25890564000258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53.457906347724162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53.457906347724162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69.448219373359379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2.2737367544323206E-13</v>
      </c>
      <c r="BE174" s="13">
        <f>BD174*VLOOKUP('Données projet'!$B$11,Paramètres!$A$1:$I$89,3,0)*VLOOKUP('Données projet'!$B$11,Paramètres!$A$1:$I$89,5,0)</f>
        <v>1.0049916454590858E-13</v>
      </c>
      <c r="BF174" s="13">
        <f t="shared" si="167"/>
        <v>1.5089081593838289E-12</v>
      </c>
      <c r="BG174" s="20">
        <f t="shared" si="168"/>
        <v>2.8030510891776262E-12</v>
      </c>
      <c r="BH174" s="59">
        <f t="shared" si="116"/>
        <v>291.3101377023205</v>
      </c>
      <c r="BI174" s="59">
        <f ca="1">AVERAGE(OFFSET($BH$3,0,0,'Données projet'!$E$11+1,1))-AVERAGE(OFFSET($H$3,0,0,'Données projet'!$E$11+1,1))</f>
        <v>333.23043896066253</v>
      </c>
      <c r="BJ174" s="59">
        <f t="shared" si="146"/>
        <v>440.63438368668983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18.320245657119514</v>
      </c>
      <c r="BQ174" s="21">
        <f>EXP(-LN(2)/25)*BQ173+(1-EXP(-LN(2)/25))/(LN(2)/25)*Calculateur!BL174*Calculateur!BN174*VLOOKUP('Données projet'!$B$11,Paramètres!$A$1:$I$89,3,0)*0.475*44/12</f>
        <v>5.4088970438719421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23.729142700991456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69.448219373359379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1.1368683772161603E-13</v>
      </c>
      <c r="BZ174" s="13">
        <f>BY174*VLOOKUP('Données projet'!$B$12,Paramètres!$A$1:$I$89,3,0)*VLOOKUP('Données projet'!$B$12,Paramètres!$A$1:$I$89,5,0)</f>
        <v>4.5815795601811263E-14</v>
      </c>
      <c r="CA174" s="13">
        <f t="shared" si="170"/>
        <v>7.5374618042508364E-13</v>
      </c>
      <c r="CB174" s="20">
        <f t="shared" si="171"/>
        <v>1.392570441580175E-12</v>
      </c>
      <c r="CC174" s="59">
        <f t="shared" si="119"/>
        <v>291.31013770231908</v>
      </c>
      <c r="CD174" s="59">
        <f ca="1">AVERAGE(OFFSET($CC$3,0,0,'Données projet'!$E$12+1,1))-AVERAGE(OFFSET($H$3,0,0,'Données projet'!$E$12+1,1))</f>
        <v>177.34129362526608</v>
      </c>
      <c r="CE174" s="59">
        <f t="shared" si="148"/>
        <v>156.93407673501022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14.143258130368002</v>
      </c>
      <c r="CL174" s="21">
        <f>EXP(-LN(2)/25)*CL173+(1-EXP(-LN(2)/25))/(LN(2)/25)*Calculateur!CG174*Calculateur!CI174*VLOOKUP('Données projet'!$B$12,Paramètres!$A$1:$I$89,3,0)*0.475*44/12</f>
        <v>3.4014585125042447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17.544716642872245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69.448219373359379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8.5265128291212022E-14</v>
      </c>
      <c r="CU174" s="17">
        <f>CT174*VLOOKUP('Données projet'!$B$13,Paramètres!$A$1:$I$89,3,0)*VLOOKUP('Données projet'!$B$13,Paramètres!$A$1:$I$89,5,0)</f>
        <v>5.5865712056402117E-14</v>
      </c>
      <c r="CV174" s="13">
        <f t="shared" si="173"/>
        <v>8.9811031843713517E-13</v>
      </c>
      <c r="CW174" s="20">
        <f t="shared" si="174"/>
        <v>1.6615082531095774E-12</v>
      </c>
      <c r="CX174" s="59">
        <f t="shared" si="122"/>
        <v>291.31013770231937</v>
      </c>
      <c r="CY174" s="59">
        <f ca="1">AVERAGE(OFFSET($CX$3,0,0,'Données projet'!$E$13+1,1))-AVERAGE(OFFSET($H$3,0,0,'Données projet'!$E$13+1,1))</f>
        <v>267.49254683294629</v>
      </c>
      <c r="CZ174" s="59">
        <f t="shared" si="150"/>
        <v>278.02595256967254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12.678697921556253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12.678697921556253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69.448219373359379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8.5459999999999976</v>
      </c>
      <c r="DO174" s="12">
        <f>IF('Données projet'!$A$166&gt;35,DO173+DN174-DW173,IF(A174&lt;'Données projet'!$A$166,$DL$205^A174,IF(A174='Données projet'!$A$166,'Données projet'!$B$166,DO173+DN174-DW173)))</f>
        <v>520.0120000000004</v>
      </c>
      <c r="DP174" s="17">
        <f>DO174*VLOOKUP('Données projet'!$B$14,Paramètres!$A$1:$I$89,3,0)*VLOOKUP('Données projet'!$B$14,Paramètres!$A$1:$I$89,5,0)</f>
        <v>470.50685760000033</v>
      </c>
      <c r="DQ174" s="13">
        <f t="shared" si="176"/>
        <v>105.93301791241842</v>
      </c>
      <c r="DR174" s="20">
        <f t="shared" si="177"/>
        <v>1003.9661165174626</v>
      </c>
      <c r="DS174" s="59">
        <f t="shared" si="125"/>
        <v>1295.2762542197804</v>
      </c>
      <c r="DT174" s="59">
        <f ca="1">AVERAGE(OFFSET($DS$3,0,0,'Données projet'!$E$14+1,1))-AVERAGE(OFFSET($H$3,0,0,'Données projet'!$E$14+1,1))</f>
        <v>602.02351907077332</v>
      </c>
      <c r="DU174" s="59">
        <f t="shared" si="152"/>
        <v>278.08067690827272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64.148952611118901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64.148952611118901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69.448219373359379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69.448219373359379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69.448219373359379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69.448219373359379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2.2000000000000002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8.0666666666666682</v>
      </c>
      <c r="H175" s="67">
        <f t="shared" si="110"/>
        <v>224.4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69.457791533634918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360.09035401555587</v>
      </c>
      <c r="T175" s="59">
        <f t="shared" si="142"/>
        <v>266.54879627869821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27.820770719970749</v>
      </c>
      <c r="AA175" s="21">
        <f>EXP(-LN(2)/25)*AA174+(1-EXP(-LN(2)/25))/(LN(2)/25)*Calculateur!V175*Calculateur!X175*VLOOKUP('Données projet'!$B$9,Paramètres!$A$1:$I$89,3,0)*0.475*44/12</f>
        <v>6.2995357811570365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34.120306501127786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69.457791533634918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-2.8421709430404007E-14</v>
      </c>
      <c r="AJ175" s="13">
        <f>AI175*VLOOKUP('Données projet'!$B$10,Paramètres!$A$1:$I$89,3,0)*VLOOKUP('Données projet'!$B$10,Paramètres!$A$1:$I$89,5,0)</f>
        <v>-2.3942448024172337E-14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377.26246345103175</v>
      </c>
      <c r="AO175" s="59">
        <f t="shared" si="144"/>
        <v>258.25890564000258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52.409629410348579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52.409629410348579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69.457791533634918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2.2737367544323206E-13</v>
      </c>
      <c r="BE175" s="13">
        <f>BD175*VLOOKUP('Données projet'!$B$11,Paramètres!$A$1:$I$89,3,0)*VLOOKUP('Données projet'!$B$11,Paramètres!$A$1:$I$89,5,0)</f>
        <v>1.0049916454590858E-13</v>
      </c>
      <c r="BF175" s="13">
        <f t="shared" si="167"/>
        <v>1.5089081593838289E-12</v>
      </c>
      <c r="BG175" s="20">
        <f t="shared" si="168"/>
        <v>2.8030510891776262E-12</v>
      </c>
      <c r="BH175" s="59">
        <f t="shared" si="116"/>
        <v>291.34523562333084</v>
      </c>
      <c r="BI175" s="59">
        <f ca="1">AVERAGE(OFFSET($BH$3,0,0,'Données projet'!$E$11+1,1))-AVERAGE(OFFSET($H$3,0,0,'Données projet'!$E$11+1,1))</f>
        <v>333.23043896066253</v>
      </c>
      <c r="BJ175" s="59">
        <f t="shared" si="146"/>
        <v>440.63438368668983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17.960996814029887</v>
      </c>
      <c r="BQ175" s="21">
        <f>EXP(-LN(2)/25)*BQ174+(1-EXP(-LN(2)/25))/(LN(2)/25)*Calculateur!BL175*Calculateur!BN175*VLOOKUP('Données projet'!$B$11,Paramètres!$A$1:$I$89,3,0)*0.475*44/12</f>
        <v>5.2609904697657308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23.221987283795617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69.457791533634918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1.1368683772161603E-13</v>
      </c>
      <c r="BZ175" s="13">
        <f>BY175*VLOOKUP('Données projet'!$B$12,Paramètres!$A$1:$I$89,3,0)*VLOOKUP('Données projet'!$B$12,Paramètres!$A$1:$I$89,5,0)</f>
        <v>4.5815795601811263E-14</v>
      </c>
      <c r="CA175" s="13">
        <f t="shared" si="170"/>
        <v>7.5374618042508364E-13</v>
      </c>
      <c r="CB175" s="20">
        <f t="shared" si="171"/>
        <v>1.392570441580175E-12</v>
      </c>
      <c r="CC175" s="59">
        <f t="shared" si="119"/>
        <v>291.34523562332942</v>
      </c>
      <c r="CD175" s="59">
        <f ca="1">AVERAGE(OFFSET($CC$3,0,0,'Données projet'!$E$12+1,1))-AVERAGE(OFFSET($H$3,0,0,'Données projet'!$E$12+1,1))</f>
        <v>177.34129362526608</v>
      </c>
      <c r="CE175" s="59">
        <f t="shared" si="148"/>
        <v>156.93407673501022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13.865917464967145</v>
      </c>
      <c r="CL175" s="21">
        <f>EXP(-LN(2)/25)*CL174+(1-EXP(-LN(2)/25))/(LN(2)/25)*Calculateur!CG175*Calculateur!CI175*VLOOKUP('Données projet'!$B$12,Paramètres!$A$1:$I$89,3,0)*0.475*44/12</f>
        <v>3.308445450604887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17.174362915572033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69.457791533634918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8.5265128291212022E-14</v>
      </c>
      <c r="CU175" s="17">
        <f>CT175*VLOOKUP('Données projet'!$B$13,Paramètres!$A$1:$I$89,3,0)*VLOOKUP('Données projet'!$B$13,Paramètres!$A$1:$I$89,5,0)</f>
        <v>5.5865712056402117E-14</v>
      </c>
      <c r="CV175" s="13">
        <f t="shared" si="173"/>
        <v>8.9811031843713517E-13</v>
      </c>
      <c r="CW175" s="20">
        <f t="shared" si="174"/>
        <v>1.6615082531095774E-12</v>
      </c>
      <c r="CX175" s="59">
        <f t="shared" si="122"/>
        <v>291.3452356233297</v>
      </c>
      <c r="CY175" s="59">
        <f ca="1">AVERAGE(OFFSET($CX$3,0,0,'Données projet'!$E$13+1,1))-AVERAGE(OFFSET($H$3,0,0,'Données projet'!$E$13+1,1))</f>
        <v>267.49254683294629</v>
      </c>
      <c r="CZ175" s="59">
        <f t="shared" si="150"/>
        <v>278.02595256967254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12.430076388556673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12.430076388556673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69.457791533634918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8.5459999999999976</v>
      </c>
      <c r="DO175" s="12">
        <f>IF('Données projet'!$A$166&gt;35,DO174+DN175-DW174,IF(A175&lt;'Données projet'!$A$166,$DL$205^A175,IF(A175='Données projet'!$A$166,'Données projet'!$B$166,DO174+DN175-DW174)))</f>
        <v>528.55800000000045</v>
      </c>
      <c r="DP175" s="17">
        <f>DO175*VLOOKUP('Données projet'!$B$14,Paramètres!$A$1:$I$89,3,0)*VLOOKUP('Données projet'!$B$14,Paramètres!$A$1:$I$89,5,0)</f>
        <v>478.23927840000039</v>
      </c>
      <c r="DQ175" s="13">
        <f t="shared" si="176"/>
        <v>107.46983969122122</v>
      </c>
      <c r="DR175" s="20">
        <f t="shared" si="177"/>
        <v>1020.110047342211</v>
      </c>
      <c r="DS175" s="59">
        <f t="shared" si="125"/>
        <v>1311.455282965539</v>
      </c>
      <c r="DT175" s="59">
        <f ca="1">AVERAGE(OFFSET($DS$3,0,0,'Données projet'!$E$14+1,1))-AVERAGE(OFFSET($H$3,0,0,'Données projet'!$E$14+1,1))</f>
        <v>602.02351907077332</v>
      </c>
      <c r="DU175" s="59">
        <f t="shared" si="152"/>
        <v>278.08067690827272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62.891030777412482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62.891030777412482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69.457791533634918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69.457791533634918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69.457791533634918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69.457791533634918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2.2000000000000002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8.0666666666666682</v>
      </c>
      <c r="H176" s="67">
        <f t="shared" si="110"/>
        <v>224.4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69.467197638329822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360.09035401555587</v>
      </c>
      <c r="T176" s="59">
        <f t="shared" si="142"/>
        <v>266.54879627869821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27.275222375146711</v>
      </c>
      <c r="AA176" s="21">
        <f>EXP(-LN(2)/25)*AA175+(1-EXP(-LN(2)/25))/(LN(2)/25)*Calculateur!V176*Calculateur!X176*VLOOKUP('Données projet'!$B$9,Paramètres!$A$1:$I$89,3,0)*0.475*44/12</f>
        <v>6.1272746439431085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33.402497019089822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69.467197638329822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-2.8421709430404007E-14</v>
      </c>
      <c r="AJ176" s="13">
        <f>AI176*VLOOKUP('Données projet'!$B$10,Paramètres!$A$1:$I$89,3,0)*VLOOKUP('Données projet'!$B$10,Paramètres!$A$1:$I$89,5,0)</f>
        <v>-2.3942448024172337E-14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377.26246345103175</v>
      </c>
      <c r="AO176" s="59">
        <f t="shared" si="144"/>
        <v>258.25890564000258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51.381908544329136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51.381908544329136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69.467197638329822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2.2737367544323206E-13</v>
      </c>
      <c r="BE176" s="13">
        <f>BD176*VLOOKUP('Données projet'!$B$11,Paramètres!$A$1:$I$89,3,0)*VLOOKUP('Données projet'!$B$11,Paramètres!$A$1:$I$89,5,0)</f>
        <v>1.0049916454590858E-13</v>
      </c>
      <c r="BF176" s="13">
        <f t="shared" si="167"/>
        <v>1.5089081593838289E-12</v>
      </c>
      <c r="BG176" s="20">
        <f t="shared" si="168"/>
        <v>2.8030510891776262E-12</v>
      </c>
      <c r="BH176" s="59">
        <f t="shared" si="116"/>
        <v>291.3797246738788</v>
      </c>
      <c r="BI176" s="59">
        <f ca="1">AVERAGE(OFFSET($BH$3,0,0,'Données projet'!$E$11+1,1))-AVERAGE(OFFSET($H$3,0,0,'Données projet'!$E$11+1,1))</f>
        <v>333.23043896066253</v>
      </c>
      <c r="BJ176" s="59">
        <f t="shared" si="146"/>
        <v>440.63438368668983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17.608792621633089</v>
      </c>
      <c r="BQ176" s="21">
        <f>EXP(-LN(2)/25)*BQ175+(1-EXP(-LN(2)/25))/(LN(2)/25)*Calculateur!BL176*Calculateur!BN176*VLOOKUP('Données projet'!$B$11,Paramètres!$A$1:$I$89,3,0)*0.475*44/12</f>
        <v>5.1171284087065221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22.725921030339613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69.467197638329822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1.1368683772161603E-13</v>
      </c>
      <c r="BZ176" s="13">
        <f>BY176*VLOOKUP('Données projet'!$B$12,Paramètres!$A$1:$I$89,3,0)*VLOOKUP('Données projet'!$B$12,Paramètres!$A$1:$I$89,5,0)</f>
        <v>4.5815795601811263E-14</v>
      </c>
      <c r="CA176" s="13">
        <f t="shared" si="170"/>
        <v>7.5374618042508364E-13</v>
      </c>
      <c r="CB176" s="20">
        <f t="shared" si="171"/>
        <v>1.392570441580175E-12</v>
      </c>
      <c r="CC176" s="59">
        <f t="shared" si="119"/>
        <v>291.37972467387738</v>
      </c>
      <c r="CD176" s="59">
        <f ca="1">AVERAGE(OFFSET($CC$3,0,0,'Données projet'!$E$12+1,1))-AVERAGE(OFFSET($H$3,0,0,'Données projet'!$E$12+1,1))</f>
        <v>177.34129362526608</v>
      </c>
      <c r="CE176" s="59">
        <f t="shared" si="148"/>
        <v>156.93407673501022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13.594015280853696</v>
      </c>
      <c r="CL176" s="21">
        <f>EXP(-LN(2)/25)*CL175+(1-EXP(-LN(2)/25))/(LN(2)/25)*Calculateur!CG176*Calculateur!CI176*VLOOKUP('Données projet'!$B$12,Paramètres!$A$1:$I$89,3,0)*0.475*44/12</f>
        <v>3.2179758357745119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16.811991116628207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69.467197638329822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8.5265128291212022E-14</v>
      </c>
      <c r="CU176" s="17">
        <f>CT176*VLOOKUP('Données projet'!$B$13,Paramètres!$A$1:$I$89,3,0)*VLOOKUP('Données projet'!$B$13,Paramètres!$A$1:$I$89,5,0)</f>
        <v>5.5865712056402117E-14</v>
      </c>
      <c r="CV176" s="13">
        <f t="shared" si="173"/>
        <v>8.9811031843713517E-13</v>
      </c>
      <c r="CW176" s="20">
        <f t="shared" si="174"/>
        <v>1.6615082531095774E-12</v>
      </c>
      <c r="CX176" s="59">
        <f t="shared" si="122"/>
        <v>291.37972467387766</v>
      </c>
      <c r="CY176" s="59">
        <f ca="1">AVERAGE(OFFSET($CX$3,0,0,'Données projet'!$E$13+1,1))-AVERAGE(OFFSET($H$3,0,0,'Données projet'!$E$13+1,1))</f>
        <v>267.49254683294629</v>
      </c>
      <c r="CZ176" s="59">
        <f t="shared" si="150"/>
        <v>278.02595256967254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12.186330172175053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12.186330172175053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69.467197638329822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8.5459999999999976</v>
      </c>
      <c r="DO176" s="12">
        <f>IF('Données projet'!$A$166&gt;35,DO175+DN176-DW175,IF(A176&lt;'Données projet'!$A$166,$DL$205^A176,IF(A176='Données projet'!$A$166,'Données projet'!$B$166,DO175+DN176-DW175)))</f>
        <v>537.1040000000005</v>
      </c>
      <c r="DP176" s="17">
        <f>DO176*VLOOKUP('Données projet'!$B$14,Paramètres!$A$1:$I$89,3,0)*VLOOKUP('Données projet'!$B$14,Paramètres!$A$1:$I$89,5,0)</f>
        <v>485.97169920000039</v>
      </c>
      <c r="DQ176" s="13">
        <f t="shared" si="176"/>
        <v>109.00377173434057</v>
      </c>
      <c r="DR176" s="20">
        <f t="shared" si="177"/>
        <v>1036.2489452106438</v>
      </c>
      <c r="DS176" s="59">
        <f t="shared" si="125"/>
        <v>1327.6286698845197</v>
      </c>
      <c r="DT176" s="59">
        <f ca="1">AVERAGE(OFFSET($DS$3,0,0,'Données projet'!$E$14+1,1))-AVERAGE(OFFSET($H$3,0,0,'Données projet'!$E$14+1,1))</f>
        <v>602.02351907077332</v>
      </c>
      <c r="DU176" s="59">
        <f t="shared" si="152"/>
        <v>278.08067690827272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61.657776023608484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61.657776023608484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69.467197638329822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69.467197638329822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69.467197638329822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69.467197638329822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2.2000000000000002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8.0666666666666682</v>
      </c>
      <c r="H177" s="67">
        <f t="shared" si="110"/>
        <v>224.4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69.476440568137178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360.09035401555587</v>
      </c>
      <c r="T177" s="59">
        <f t="shared" si="142"/>
        <v>266.54879627869821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26.740371900613042</v>
      </c>
      <c r="AA177" s="21">
        <f>EXP(-LN(2)/25)*AA176+(1-EXP(-LN(2)/25))/(LN(2)/25)*Calculateur!V177*Calculateur!X177*VLOOKUP('Données projet'!$B$9,Paramètres!$A$1:$I$89,3,0)*0.475*44/12</f>
        <v>5.9597239965851143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32.700095897198153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69.476440568137178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-2.8421709430404007E-14</v>
      </c>
      <c r="AJ177" s="13">
        <f>AI177*VLOOKUP('Données projet'!$B$10,Paramètres!$A$1:$I$89,3,0)*VLOOKUP('Données projet'!$B$10,Paramètres!$A$1:$I$89,5,0)</f>
        <v>-2.3942448024172337E-14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377.26246345103175</v>
      </c>
      <c r="AO177" s="59">
        <f t="shared" si="144"/>
        <v>258.25890564000258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50.374340657644495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50.374340657644495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69.476440568137178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2.2737367544323206E-13</v>
      </c>
      <c r="BE177" s="13">
        <f>BD177*VLOOKUP('Données projet'!$B$11,Paramètres!$A$1:$I$89,3,0)*VLOOKUP('Données projet'!$B$11,Paramètres!$A$1:$I$89,5,0)</f>
        <v>1.0049916454590858E-13</v>
      </c>
      <c r="BF177" s="13">
        <f t="shared" si="167"/>
        <v>1.5089081593838289E-12</v>
      </c>
      <c r="BG177" s="20">
        <f t="shared" si="168"/>
        <v>2.8030510891776262E-12</v>
      </c>
      <c r="BH177" s="59">
        <f t="shared" si="116"/>
        <v>291.41361541650576</v>
      </c>
      <c r="BI177" s="59">
        <f ca="1">AVERAGE(OFFSET($BH$3,0,0,'Données projet'!$E$11+1,1))-AVERAGE(OFFSET($H$3,0,0,'Données projet'!$E$11+1,1))</f>
        <v>333.23043896066253</v>
      </c>
      <c r="BJ177" s="59">
        <f t="shared" si="146"/>
        <v>440.63438368668983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17.263494938625847</v>
      </c>
      <c r="BQ177" s="21">
        <f>EXP(-LN(2)/25)*BQ176+(1-EXP(-LN(2)/25))/(LN(2)/25)*Calculateur!BL177*Calculateur!BN177*VLOOKUP('Données projet'!$B$11,Paramètres!$A$1:$I$89,3,0)*0.475*44/12</f>
        <v>4.9772002632723549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22.240695201898202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69.476440568137178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1.1368683772161603E-13</v>
      </c>
      <c r="BZ177" s="13">
        <f>BY177*VLOOKUP('Données projet'!$B$12,Paramètres!$A$1:$I$89,3,0)*VLOOKUP('Données projet'!$B$12,Paramètres!$A$1:$I$89,5,0)</f>
        <v>4.5815795601811263E-14</v>
      </c>
      <c r="CA177" s="13">
        <f t="shared" si="170"/>
        <v>7.5374618042508364E-13</v>
      </c>
      <c r="CB177" s="20">
        <f t="shared" si="171"/>
        <v>1.392570441580175E-12</v>
      </c>
      <c r="CC177" s="59">
        <f t="shared" si="119"/>
        <v>291.41361541650434</v>
      </c>
      <c r="CD177" s="59">
        <f ca="1">AVERAGE(OFFSET($CC$3,0,0,'Données projet'!$E$12+1,1))-AVERAGE(OFFSET($H$3,0,0,'Données projet'!$E$12+1,1))</f>
        <v>177.34129362526608</v>
      </c>
      <c r="CE177" s="59">
        <f t="shared" si="148"/>
        <v>156.93407673501022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13.327444932726756</v>
      </c>
      <c r="CL177" s="21">
        <f>EXP(-LN(2)/25)*CL176+(1-EXP(-LN(2)/25))/(LN(2)/25)*Calculateur!CG177*Calculateur!CI177*VLOOKUP('Données projet'!$B$12,Paramètres!$A$1:$I$89,3,0)*0.475*44/12</f>
        <v>3.1299801173192634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16.45742505004602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69.476440568137178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8.5265128291212022E-14</v>
      </c>
      <c r="CU177" s="17">
        <f>CT177*VLOOKUP('Données projet'!$B$13,Paramètres!$A$1:$I$89,3,0)*VLOOKUP('Données projet'!$B$13,Paramètres!$A$1:$I$89,5,0)</f>
        <v>5.5865712056402117E-14</v>
      </c>
      <c r="CV177" s="13">
        <f t="shared" si="173"/>
        <v>8.9811031843713517E-13</v>
      </c>
      <c r="CW177" s="20">
        <f t="shared" si="174"/>
        <v>1.6615082531095774E-12</v>
      </c>
      <c r="CX177" s="59">
        <f t="shared" si="122"/>
        <v>291.41361541650463</v>
      </c>
      <c r="CY177" s="59">
        <f ca="1">AVERAGE(OFFSET($CX$3,0,0,'Données projet'!$E$13+1,1))-AVERAGE(OFFSET($H$3,0,0,'Données projet'!$E$13+1,1))</f>
        <v>267.49254683294629</v>
      </c>
      <c r="CZ177" s="59">
        <f t="shared" si="150"/>
        <v>278.02595256967254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11.947363670426164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11.947363670426164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69.476440568137178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>
        <f>VLOOKUP(A177,'Données projet'!$A$165:$I$185,2,0)</f>
        <v>545.65</v>
      </c>
      <c r="DM177" s="12">
        <f>VLOOKUP(A177,'Données projet'!$A$165:$I$185,9,0)</f>
        <v>8.5459999999999976</v>
      </c>
      <c r="DN177" s="12">
        <f t="array" ref="DN177">INDEX(DM:DM,MIN(IF(ISNUMBER(DM177:DM373),ROW(DM177:DM373),"")))</f>
        <v>8.5459999999999976</v>
      </c>
      <c r="DO177" s="12">
        <f>IF('Données projet'!$A$166&gt;35,DO176+DN177-DW176,IF(A177&lt;'Données projet'!$A$166,$DL$205^A177,IF(A177='Données projet'!$A$166,'Données projet'!$B$166,DO176+DN177-DW176)))</f>
        <v>545.65000000000055</v>
      </c>
      <c r="DP177" s="17">
        <f>DO177*VLOOKUP('Données projet'!$B$14,Paramètres!$A$1:$I$89,3,0)*VLOOKUP('Données projet'!$B$14,Paramètres!$A$1:$I$89,5,0)</f>
        <v>493.7041200000005</v>
      </c>
      <c r="DQ177" s="13">
        <f t="shared" si="176"/>
        <v>110.53486532995269</v>
      </c>
      <c r="DR177" s="20">
        <f t="shared" si="177"/>
        <v>1052.3828994496685</v>
      </c>
      <c r="DS177" s="59">
        <f t="shared" si="125"/>
        <v>1343.7965148661715</v>
      </c>
      <c r="DT177" s="59">
        <f ca="1">AVERAGE(OFFSET($DS$3,0,0,'Données projet'!$E$14+1,1))-AVERAGE(OFFSET($H$3,0,0,'Données projet'!$E$14+1,1))</f>
        <v>602.02351907077332</v>
      </c>
      <c r="DU177" s="59">
        <f t="shared" si="152"/>
        <v>278.08067690827272</v>
      </c>
      <c r="DV177" s="15">
        <f>IF(ISNA(VLOOKUP(A177,'Données projet'!$A$165:$I$185,3,0)),0,VLOOKUP(A177,'Données projet'!$A$165:$I$185,3,0))</f>
        <v>15</v>
      </c>
      <c r="DW177" s="15">
        <f>IF(ISNA(VLOOKUP(A177,'Données projet'!$A$165:$I$185,4,0)),0,VLOOKUP(A177,'Données projet'!$A$165:$I$185,4,0))</f>
        <v>214.77</v>
      </c>
      <c r="DX177" s="16">
        <f>IF(ISNA(VLOOKUP(A177,'Données projet'!$A$165:$I$185,5,0)),0%,VLOOKUP(A177,'Données projet'!$A$165:$I$185,5,0)*VLOOKUP('Données projet'!$B$14,Paramètres!$A$1:$I$89,7,0))</f>
        <v>0.25800000000000001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115.87208689768337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115.87208689768337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69.476440568137178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69.476440568137178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69.476440568137178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69.476440568137178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2.2000000000000002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8.0666666666666682</v>
      </c>
      <c r="H178" s="67">
        <f t="shared" si="110"/>
        <v>224.4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69.485523153776455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360.09035401555587</v>
      </c>
      <c r="T178" s="59">
        <f t="shared" si="142"/>
        <v>266.54879627869821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26.216009517658399</v>
      </c>
      <c r="AA178" s="21">
        <f>EXP(-LN(2)/25)*AA177+(1-EXP(-LN(2)/25))/(LN(2)/25)*Calculateur!V178*Calculateur!X178*VLOOKUP('Données projet'!$B$9,Paramètres!$A$1:$I$89,3,0)*0.475*44/12</f>
        <v>5.7967550304902309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32.012764548148631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69.485523153776455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-2.8421709430404007E-14</v>
      </c>
      <c r="AJ178" s="13">
        <f>AI178*VLOOKUP('Données projet'!$B$10,Paramètres!$A$1:$I$89,3,0)*VLOOKUP('Données projet'!$B$10,Paramètres!$A$1:$I$89,5,0)</f>
        <v>-2.3942448024172337E-14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377.26246345103175</v>
      </c>
      <c r="AO178" s="59">
        <f t="shared" si="144"/>
        <v>258.25890564000258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49.386530562662017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49.386530562662017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69.485523153776455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2.2737367544323206E-13</v>
      </c>
      <c r="BE178" s="13">
        <f>BD178*VLOOKUP('Données projet'!$B$11,Paramètres!$A$1:$I$89,3,0)*VLOOKUP('Données projet'!$B$11,Paramètres!$A$1:$I$89,5,0)</f>
        <v>1.0049916454590858E-13</v>
      </c>
      <c r="BF178" s="13">
        <f t="shared" si="167"/>
        <v>1.5089081593838289E-12</v>
      </c>
      <c r="BG178" s="20">
        <f t="shared" si="168"/>
        <v>2.8030510891776262E-12</v>
      </c>
      <c r="BH178" s="59">
        <f t="shared" si="116"/>
        <v>291.44691823051642</v>
      </c>
      <c r="BI178" s="59">
        <f ca="1">AVERAGE(OFFSET($BH$3,0,0,'Données projet'!$E$11+1,1))-AVERAGE(OFFSET($H$3,0,0,'Données projet'!$E$11+1,1))</f>
        <v>333.23043896066253</v>
      </c>
      <c r="BJ178" s="59">
        <f t="shared" si="146"/>
        <v>440.63438368668983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16.924968332571584</v>
      </c>
      <c r="BQ178" s="21">
        <f>EXP(-LN(2)/25)*BQ177+(1-EXP(-LN(2)/25))/(LN(2)/25)*Calculateur!BL178*Calculateur!BN178*VLOOKUP('Données projet'!$B$11,Paramètres!$A$1:$I$89,3,0)*0.475*44/12</f>
        <v>4.841098460333586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21.766066792905171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69.485523153776455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1.1368683772161603E-13</v>
      </c>
      <c r="BZ178" s="13">
        <f>BY178*VLOOKUP('Données projet'!$B$12,Paramètres!$A$1:$I$89,3,0)*VLOOKUP('Données projet'!$B$12,Paramètres!$A$1:$I$89,5,0)</f>
        <v>4.5815795601811263E-14</v>
      </c>
      <c r="CA178" s="13">
        <f t="shared" si="170"/>
        <v>7.5374618042508364E-13</v>
      </c>
      <c r="CB178" s="20">
        <f t="shared" si="171"/>
        <v>1.392570441580175E-12</v>
      </c>
      <c r="CC178" s="59">
        <f t="shared" si="119"/>
        <v>291.446918230515</v>
      </c>
      <c r="CD178" s="59">
        <f ca="1">AVERAGE(OFFSET($CC$3,0,0,'Données projet'!$E$12+1,1))-AVERAGE(OFFSET($H$3,0,0,'Données projet'!$E$12+1,1))</f>
        <v>177.34129362526608</v>
      </c>
      <c r="CE178" s="59">
        <f t="shared" si="148"/>
        <v>156.93407673501022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13.066101866534728</v>
      </c>
      <c r="CL178" s="21">
        <f>EXP(-LN(2)/25)*CL177+(1-EXP(-LN(2)/25))/(LN(2)/25)*Calculateur!CG178*Calculateur!CI178*VLOOKUP('Données projet'!$B$12,Paramètres!$A$1:$I$89,3,0)*0.475*44/12</f>
        <v>3.0443906464126673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16.110492512947395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69.485523153776455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8.5265128291212022E-14</v>
      </c>
      <c r="CU178" s="17">
        <f>CT178*VLOOKUP('Données projet'!$B$13,Paramètres!$A$1:$I$89,3,0)*VLOOKUP('Données projet'!$B$13,Paramètres!$A$1:$I$89,5,0)</f>
        <v>5.5865712056402117E-14</v>
      </c>
      <c r="CV178" s="13">
        <f t="shared" si="173"/>
        <v>8.9811031843713517E-13</v>
      </c>
      <c r="CW178" s="20">
        <f t="shared" si="174"/>
        <v>1.6615082531095774E-12</v>
      </c>
      <c r="CX178" s="59">
        <f t="shared" si="122"/>
        <v>291.44691823051528</v>
      </c>
      <c r="CY178" s="59">
        <f ca="1">AVERAGE(OFFSET($CX$3,0,0,'Données projet'!$E$13+1,1))-AVERAGE(OFFSET($H$3,0,0,'Données projet'!$E$13+1,1))</f>
        <v>267.49254683294629</v>
      </c>
      <c r="CZ178" s="59">
        <f t="shared" si="150"/>
        <v>278.02595256967254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11.713083156021398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11.713083156021398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69.485523153776455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5.3866666666666747</v>
      </c>
      <c r="DO178" s="12">
        <f>IF('Données projet'!$A$166&gt;35,DO177+DN178-DW177,IF(A178&lt;'Données projet'!$A$166,$DL$205^A178,IF(A178='Données projet'!$A$166,'Données projet'!$B$166,DO177+DN178-DW177)))</f>
        <v>336.26666666666722</v>
      </c>
      <c r="DP178" s="17">
        <f>DO178*VLOOKUP('Données projet'!$B$14,Paramètres!$A$1:$I$89,3,0)*VLOOKUP('Données projet'!$B$14,Paramètres!$A$1:$I$89,5,0)</f>
        <v>304.2540800000005</v>
      </c>
      <c r="DQ178" s="13">
        <f t="shared" si="176"/>
        <v>72.067549889405967</v>
      </c>
      <c r="DR178" s="20">
        <f t="shared" si="177"/>
        <v>655.42683872404962</v>
      </c>
      <c r="DS178" s="59">
        <f t="shared" si="125"/>
        <v>946.87375695456331</v>
      </c>
      <c r="DT178" s="59">
        <f ca="1">AVERAGE(OFFSET($DS$3,0,0,'Données projet'!$E$14+1,1))-AVERAGE(OFFSET($H$3,0,0,'Données projet'!$E$14+1,1))</f>
        <v>602.02351907077332</v>
      </c>
      <c r="DU178" s="59">
        <f t="shared" si="152"/>
        <v>278.08067690827272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113.59990594861424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113.59990594861424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69.485523153776455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69.485523153776455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69.485523153776455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69.485523153776455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2.2000000000000002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8.0666666666666682</v>
      </c>
      <c r="H179" s="67">
        <f t="shared" si="110"/>
        <v>224.4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69.494448176860516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360.09035401555587</v>
      </c>
      <c r="T179" s="59">
        <f t="shared" si="142"/>
        <v>266.54879627869821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25.701929561204025</v>
      </c>
      <c r="AA179" s="21">
        <f>EXP(-LN(2)/25)*AA178+(1-EXP(-LN(2)/25))/(LN(2)/25)*Calculateur!V179*Calculateur!X179*VLOOKUP('Données projet'!$B$9,Paramètres!$A$1:$I$89,3,0)*0.475*44/12</f>
        <v>5.6382424593433775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31.340172020547403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69.494448176860516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-2.8421709430404007E-14</v>
      </c>
      <c r="AJ179" s="13">
        <f>AI179*VLOOKUP('Données projet'!$B$10,Paramètres!$A$1:$I$89,3,0)*VLOOKUP('Données projet'!$B$10,Paramètres!$A$1:$I$89,5,0)</f>
        <v>-2.3942448024172337E-14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377.26246345103175</v>
      </c>
      <c r="AO179" s="59">
        <f t="shared" si="144"/>
        <v>258.25890564000258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48.418090821137476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48.418090821137476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69.494448176860516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2.2737367544323206E-13</v>
      </c>
      <c r="BE179" s="13">
        <f>BD179*VLOOKUP('Données projet'!$B$11,Paramètres!$A$1:$I$89,3,0)*VLOOKUP('Données projet'!$B$11,Paramètres!$A$1:$I$89,5,0)</f>
        <v>1.0049916454590858E-13</v>
      </c>
      <c r="BF179" s="13">
        <f t="shared" si="167"/>
        <v>1.5089081593838289E-12</v>
      </c>
      <c r="BG179" s="20">
        <f t="shared" si="168"/>
        <v>2.8030510891776262E-12</v>
      </c>
      <c r="BH179" s="59">
        <f t="shared" si="116"/>
        <v>291.479643315158</v>
      </c>
      <c r="BI179" s="59">
        <f ca="1">AVERAGE(OFFSET($BH$3,0,0,'Données projet'!$E$11+1,1))-AVERAGE(OFFSET($H$3,0,0,'Données projet'!$E$11+1,1))</f>
        <v>333.23043896066253</v>
      </c>
      <c r="BJ179" s="59">
        <f t="shared" si="146"/>
        <v>440.63438368668983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16.593080026781205</v>
      </c>
      <c r="BQ179" s="21">
        <f>EXP(-LN(2)/25)*BQ178+(1-EXP(-LN(2)/25))/(LN(2)/25)*Calculateur!BL179*Calculateur!BN179*VLOOKUP('Données projet'!$B$11,Paramètres!$A$1:$I$89,3,0)*0.475*44/12</f>
        <v>4.7087183683534608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21.301798395134668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69.494448176860516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1.1368683772161603E-13</v>
      </c>
      <c r="BZ179" s="13">
        <f>BY179*VLOOKUP('Données projet'!$B$12,Paramètres!$A$1:$I$89,3,0)*VLOOKUP('Données projet'!$B$12,Paramètres!$A$1:$I$89,5,0)</f>
        <v>4.5815795601811263E-14</v>
      </c>
      <c r="CA179" s="13">
        <f t="shared" si="170"/>
        <v>7.5374618042508364E-13</v>
      </c>
      <c r="CB179" s="20">
        <f t="shared" si="171"/>
        <v>1.392570441580175E-12</v>
      </c>
      <c r="CC179" s="59">
        <f t="shared" si="119"/>
        <v>291.47964331515658</v>
      </c>
      <c r="CD179" s="59">
        <f ca="1">AVERAGE(OFFSET($CC$3,0,0,'Données projet'!$E$12+1,1))-AVERAGE(OFFSET($H$3,0,0,'Données projet'!$E$12+1,1))</f>
        <v>177.34129362526608</v>
      </c>
      <c r="CE179" s="59">
        <f t="shared" si="148"/>
        <v>156.93407673501022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12.809883578467195</v>
      </c>
      <c r="CL179" s="21">
        <f>EXP(-LN(2)/25)*CL178+(1-EXP(-LN(2)/25))/(LN(2)/25)*Calculateur!CG179*Calculateur!CI179*VLOOKUP('Données projet'!$B$12,Paramètres!$A$1:$I$89,3,0)*0.475*44/12</f>
        <v>2.9611416240889668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15.771025202556162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69.494448176860516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8.5265128291212022E-14</v>
      </c>
      <c r="CU179" s="17">
        <f>CT179*VLOOKUP('Données projet'!$B$13,Paramètres!$A$1:$I$89,3,0)*VLOOKUP('Données projet'!$B$13,Paramètres!$A$1:$I$89,5,0)</f>
        <v>5.5865712056402117E-14</v>
      </c>
      <c r="CV179" s="13">
        <f t="shared" si="173"/>
        <v>8.9811031843713517E-13</v>
      </c>
      <c r="CW179" s="20">
        <f t="shared" si="174"/>
        <v>1.6615082531095774E-12</v>
      </c>
      <c r="CX179" s="59">
        <f t="shared" si="122"/>
        <v>291.47964331515686</v>
      </c>
      <c r="CY179" s="59">
        <f ca="1">AVERAGE(OFFSET($CX$3,0,0,'Données projet'!$E$13+1,1))-AVERAGE(OFFSET($H$3,0,0,'Données projet'!$E$13+1,1))</f>
        <v>267.49254683294629</v>
      </c>
      <c r="CZ179" s="59">
        <f t="shared" si="150"/>
        <v>278.02595256967254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11.483396739607105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11.483396739607105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69.494448176860516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5.3866666666666747</v>
      </c>
      <c r="DO179" s="12">
        <f>IF('Données projet'!$A$166&gt;35,DO178+DN179-DW178,IF(A179&lt;'Données projet'!$A$166,$DL$205^A179,IF(A179='Données projet'!$A$166,'Données projet'!$B$166,DO178+DN179-DW178)))</f>
        <v>341.65333333333388</v>
      </c>
      <c r="DP179" s="17">
        <f>DO179*VLOOKUP('Données projet'!$B$14,Paramètres!$A$1:$I$89,3,0)*VLOOKUP('Données projet'!$B$14,Paramètres!$A$1:$I$89,5,0)</f>
        <v>309.12793600000049</v>
      </c>
      <c r="DQ179" s="13">
        <f t="shared" si="176"/>
        <v>73.086678650713282</v>
      </c>
      <c r="DR179" s="20">
        <f t="shared" si="177"/>
        <v>665.6904538499931</v>
      </c>
      <c r="DS179" s="59">
        <f t="shared" si="125"/>
        <v>957.17009716514826</v>
      </c>
      <c r="DT179" s="59">
        <f ca="1">AVERAGE(OFFSET($DS$3,0,0,'Données projet'!$E$14+1,1))-AVERAGE(OFFSET($H$3,0,0,'Données projet'!$E$14+1,1))</f>
        <v>602.02351907077332</v>
      </c>
      <c r="DU179" s="59">
        <f t="shared" si="152"/>
        <v>278.08067690827272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111.37228108206281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111.37228108206281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69.494448176860516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69.494448176860516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69.494448176860516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69.494448176860516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2.2000000000000002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8.0666666666666682</v>
      </c>
      <c r="H180" s="67">
        <f t="shared" si="110"/>
        <v>224.4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69.503218370747433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360.09035401555587</v>
      </c>
      <c r="T180" s="59">
        <f t="shared" si="142"/>
        <v>266.54879627869821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25.19793039913791</v>
      </c>
      <c r="AA180" s="21">
        <f>EXP(-LN(2)/25)*AA179+(1-EXP(-LN(2)/25))/(LN(2)/25)*Calculateur!V180*Calculateur!X180*VLOOKUP('Données projet'!$B$9,Paramètres!$A$1:$I$89,3,0)*0.475*44/12</f>
        <v>5.4840644227903486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30.681994821928257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69.503218370747433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-2.8421709430404007E-14</v>
      </c>
      <c r="AJ180" s="13">
        <f>AI180*VLOOKUP('Données projet'!$B$10,Paramètres!$A$1:$I$89,3,0)*VLOOKUP('Données projet'!$B$10,Paramètres!$A$1:$I$89,5,0)</f>
        <v>-2.3942448024172337E-14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377.26246345103175</v>
      </c>
      <c r="AO180" s="59">
        <f t="shared" si="144"/>
        <v>258.25890564000258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47.468641592254315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47.468641592254315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69.503218370747433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2.2737367544323206E-13</v>
      </c>
      <c r="BE180" s="13">
        <f>BD180*VLOOKUP('Données projet'!$B$11,Paramètres!$A$1:$I$89,3,0)*VLOOKUP('Données projet'!$B$11,Paramètres!$A$1:$I$89,5,0)</f>
        <v>1.0049916454590858E-13</v>
      </c>
      <c r="BF180" s="13">
        <f t="shared" si="167"/>
        <v>1.5089081593838289E-12</v>
      </c>
      <c r="BG180" s="20">
        <f t="shared" si="168"/>
        <v>2.8030510891776262E-12</v>
      </c>
      <c r="BH180" s="59">
        <f t="shared" si="116"/>
        <v>291.51180069274335</v>
      </c>
      <c r="BI180" s="59">
        <f ca="1">AVERAGE(OFFSET($BH$3,0,0,'Données projet'!$E$11+1,1))-AVERAGE(OFFSET($H$3,0,0,'Données projet'!$E$11+1,1))</f>
        <v>333.23043896066253</v>
      </c>
      <c r="BJ180" s="59">
        <f t="shared" si="146"/>
        <v>440.63438368668983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16.267699848235498</v>
      </c>
      <c r="BQ180" s="21">
        <f>EXP(-LN(2)/25)*BQ179+(1-EXP(-LN(2)/25))/(LN(2)/25)*Calculateur!BL180*Calculateur!BN180*VLOOKUP('Données projet'!$B$11,Paramètres!$A$1:$I$89,3,0)*0.475*44/12</f>
        <v>4.5799582169500983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20.847658065185598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69.503218370747433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1.1368683772161603E-13</v>
      </c>
      <c r="BZ180" s="13">
        <f>BY180*VLOOKUP('Données projet'!$B$12,Paramètres!$A$1:$I$89,3,0)*VLOOKUP('Données projet'!$B$12,Paramètres!$A$1:$I$89,5,0)</f>
        <v>4.5815795601811263E-14</v>
      </c>
      <c r="CA180" s="13">
        <f t="shared" si="170"/>
        <v>7.5374618042508364E-13</v>
      </c>
      <c r="CB180" s="20">
        <f t="shared" si="171"/>
        <v>1.392570441580175E-12</v>
      </c>
      <c r="CC180" s="59">
        <f t="shared" si="119"/>
        <v>291.51180069274193</v>
      </c>
      <c r="CD180" s="59">
        <f ca="1">AVERAGE(OFFSET($CC$3,0,0,'Données projet'!$E$12+1,1))-AVERAGE(OFFSET($H$3,0,0,'Données projet'!$E$12+1,1))</f>
        <v>177.34129362526608</v>
      </c>
      <c r="CE180" s="59">
        <f t="shared" si="148"/>
        <v>156.93407673501022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12.558689574750941</v>
      </c>
      <c r="CL180" s="21">
        <f>EXP(-LN(2)/25)*CL179+(1-EXP(-LN(2)/25))/(LN(2)/25)*Calculateur!CG180*Calculateur!CI180*VLOOKUP('Données projet'!$B$12,Paramètres!$A$1:$I$89,3,0)*0.475*44/12</f>
        <v>2.8801690506585835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15.438858625409525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69.503218370747433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8.5265128291212022E-14</v>
      </c>
      <c r="CU180" s="17">
        <f>CT180*VLOOKUP('Données projet'!$B$13,Paramètres!$A$1:$I$89,3,0)*VLOOKUP('Données projet'!$B$13,Paramètres!$A$1:$I$89,5,0)</f>
        <v>5.5865712056402117E-14</v>
      </c>
      <c r="CV180" s="13">
        <f t="shared" si="173"/>
        <v>8.9811031843713517E-13</v>
      </c>
      <c r="CW180" s="20">
        <f t="shared" si="174"/>
        <v>1.6615082531095774E-12</v>
      </c>
      <c r="CX180" s="59">
        <f t="shared" si="122"/>
        <v>291.51180069274221</v>
      </c>
      <c r="CY180" s="59">
        <f ca="1">AVERAGE(OFFSET($CX$3,0,0,'Données projet'!$E$13+1,1))-AVERAGE(OFFSET($H$3,0,0,'Données projet'!$E$13+1,1))</f>
        <v>267.49254683294629</v>
      </c>
      <c r="CZ180" s="59">
        <f t="shared" si="150"/>
        <v>278.02595256967254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11.258214333723815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11.258214333723815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69.503218370747433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>
        <f>VLOOKUP(A180,'Données projet'!$A$165:$I$185,2,0)</f>
        <v>347.04</v>
      </c>
      <c r="DM180" s="12">
        <f>VLOOKUP(A180,'Données projet'!$A$165:$I$185,9,0)</f>
        <v>5.3866666666666747</v>
      </c>
      <c r="DN180" s="12">
        <f t="array" ref="DN180">INDEX(DM:DM,MIN(IF(ISNUMBER(DM180:DM376),ROW(DM180:DM376),"")))</f>
        <v>5.3866666666666747</v>
      </c>
      <c r="DO180" s="12">
        <f>IF('Données projet'!$A$166&gt;35,DO179+DN180-DW179,IF(A180&lt;'Données projet'!$A$166,$DL$205^A180,IF(A180='Données projet'!$A$166,'Données projet'!$B$166,DO179+DN180-DW179)))</f>
        <v>347.04000000000053</v>
      </c>
      <c r="DP180" s="17">
        <f>DO180*VLOOKUP('Données projet'!$B$14,Paramètres!$A$1:$I$89,3,0)*VLOOKUP('Données projet'!$B$14,Paramètres!$A$1:$I$89,5,0)</f>
        <v>314.00179200000048</v>
      </c>
      <c r="DQ180" s="13">
        <f t="shared" si="176"/>
        <v>74.103938722927282</v>
      </c>
      <c r="DR180" s="20">
        <f t="shared" si="177"/>
        <v>675.95081434243241</v>
      </c>
      <c r="DS180" s="59">
        <f t="shared" si="125"/>
        <v>967.46261503517303</v>
      </c>
      <c r="DT180" s="59">
        <f ca="1">AVERAGE(OFFSET($DS$3,0,0,'Données projet'!$E$14+1,1))-AVERAGE(OFFSET($H$3,0,0,'Données projet'!$E$14+1,1))</f>
        <v>602.02351907077332</v>
      </c>
      <c r="DU180" s="59">
        <f t="shared" si="152"/>
        <v>278.08067690827272</v>
      </c>
      <c r="DV180" s="15">
        <f>IF(ISNA(VLOOKUP(A180,'Données projet'!$A$165:$I$185,3,0)),0,VLOOKUP(A180,'Données projet'!$A$165:$I$185,3,0))</f>
        <v>16</v>
      </c>
      <c r="DW180" s="15">
        <f>IF(ISNA(VLOOKUP(A180,'Données projet'!$A$165:$I$185,4,0)),0,VLOOKUP(A180,'Données projet'!$A$165:$I$185,4,0))</f>
        <v>115.19</v>
      </c>
      <c r="DX180" s="16">
        <f>IF(ISNA(VLOOKUP(A180,'Données projet'!$A$165:$I$185,5,0)),0%,VLOOKUP(A180,'Données projet'!$A$165:$I$185,5,0)*VLOOKUP('Données projet'!$B$14,Paramètres!$A$1:$I$89,7,0))</f>
        <v>0.25800000000000001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138.91418204963006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138.91418204963006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69.503218370747433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69.503218370747433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69.503218370747433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69.503218370747433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2.2000000000000002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8.0666666666666682</v>
      </c>
      <c r="H181" s="67">
        <f t="shared" si="110"/>
        <v>224.4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69.511836421377623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360.09035401555587</v>
      </c>
      <c r="T181" s="59">
        <f t="shared" si="142"/>
        <v>266.54879627869821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24.703814353230776</v>
      </c>
      <c r="AA181" s="21">
        <f>EXP(-LN(2)/25)*AA180+(1-EXP(-LN(2)/25))/(LN(2)/25)*Calculateur!V181*Calculateur!X181*VLOOKUP('Données projet'!$B$9,Paramètres!$A$1:$I$89,3,0)*0.475*44/12</f>
        <v>5.3341023927547324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30.037916745985509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69.511836421377623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-2.8421709430404007E-14</v>
      </c>
      <c r="AJ181" s="13">
        <f>AI181*VLOOKUP('Données projet'!$B$10,Paramètres!$A$1:$I$89,3,0)*VLOOKUP('Données projet'!$B$10,Paramètres!$A$1:$I$89,5,0)</f>
        <v>-2.3942448024172337E-14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377.26246345103175</v>
      </c>
      <c r="AO181" s="59">
        <f t="shared" si="144"/>
        <v>258.25890564000258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46.537810483642708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46.537810483642708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69.511836421377623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2.2737367544323206E-13</v>
      </c>
      <c r="BE181" s="13">
        <f>BD181*VLOOKUP('Données projet'!$B$11,Paramètres!$A$1:$I$89,3,0)*VLOOKUP('Données projet'!$B$11,Paramètres!$A$1:$I$89,5,0)</f>
        <v>1.0049916454590858E-13</v>
      </c>
      <c r="BF181" s="13">
        <f t="shared" si="167"/>
        <v>1.5089081593838289E-12</v>
      </c>
      <c r="BG181" s="20">
        <f t="shared" si="168"/>
        <v>2.8030510891776262E-12</v>
      </c>
      <c r="BH181" s="59">
        <f t="shared" si="116"/>
        <v>291.54340021172072</v>
      </c>
      <c r="BI181" s="59">
        <f ca="1">AVERAGE(OFFSET($BH$3,0,0,'Données projet'!$E$11+1,1))-AVERAGE(OFFSET($H$3,0,0,'Données projet'!$E$11+1,1))</f>
        <v>333.23043896066253</v>
      </c>
      <c r="BJ181" s="59">
        <f t="shared" si="146"/>
        <v>440.63438368668983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15.94870017652876</v>
      </c>
      <c r="BQ181" s="21">
        <f>EXP(-LN(2)/25)*BQ180+(1-EXP(-LN(2)/25))/(LN(2)/25)*Calculateur!BL181*Calculateur!BN181*VLOOKUP('Données projet'!$B$11,Paramètres!$A$1:$I$89,3,0)*0.475*44/12</f>
        <v>4.4547190186580625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20.403419195186821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69.511836421377623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1.1368683772161603E-13</v>
      </c>
      <c r="BZ181" s="13">
        <f>BY181*VLOOKUP('Données projet'!$B$12,Paramètres!$A$1:$I$89,3,0)*VLOOKUP('Données projet'!$B$12,Paramètres!$A$1:$I$89,5,0)</f>
        <v>4.5815795601811263E-14</v>
      </c>
      <c r="CA181" s="13">
        <f t="shared" si="170"/>
        <v>7.5374618042508364E-13</v>
      </c>
      <c r="CB181" s="20">
        <f t="shared" si="171"/>
        <v>1.392570441580175E-12</v>
      </c>
      <c r="CC181" s="59">
        <f t="shared" si="119"/>
        <v>291.5434002117193</v>
      </c>
      <c r="CD181" s="59">
        <f ca="1">AVERAGE(OFFSET($CC$3,0,0,'Données projet'!$E$12+1,1))-AVERAGE(OFFSET($H$3,0,0,'Données projet'!$E$12+1,1))</f>
        <v>177.34129362526608</v>
      </c>
      <c r="CE181" s="59">
        <f t="shared" si="148"/>
        <v>156.93407673501022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12.312421332234349</v>
      </c>
      <c r="CL181" s="21">
        <f>EXP(-LN(2)/25)*CL180+(1-EXP(-LN(2)/25))/(LN(2)/25)*Calculateur!CG181*Calculateur!CI181*VLOOKUP('Données projet'!$B$12,Paramètres!$A$1:$I$89,3,0)*0.475*44/12</f>
        <v>2.801410676506817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15.113832008741166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69.511836421377623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8.5265128291212022E-14</v>
      </c>
      <c r="CU181" s="17">
        <f>CT181*VLOOKUP('Données projet'!$B$13,Paramètres!$A$1:$I$89,3,0)*VLOOKUP('Données projet'!$B$13,Paramètres!$A$1:$I$89,5,0)</f>
        <v>5.5865712056402117E-14</v>
      </c>
      <c r="CV181" s="13">
        <f t="shared" si="173"/>
        <v>8.9811031843713517E-13</v>
      </c>
      <c r="CW181" s="20">
        <f t="shared" si="174"/>
        <v>1.6615082531095774E-12</v>
      </c>
      <c r="CX181" s="59">
        <f t="shared" si="122"/>
        <v>291.54340021171959</v>
      </c>
      <c r="CY181" s="59">
        <f ca="1">AVERAGE(OFFSET($CX$3,0,0,'Données projet'!$E$13+1,1))-AVERAGE(OFFSET($H$3,0,0,'Données projet'!$E$13+1,1))</f>
        <v>267.49254683294629</v>
      </c>
      <c r="CZ181" s="59">
        <f t="shared" si="150"/>
        <v>278.02595256967254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11.037447617472191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11.037447617472191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69.511836421377623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3.2566666666666606</v>
      </c>
      <c r="DO181" s="12">
        <f>IF('Données projet'!$A$166&gt;35,DO180+DN181-DW180,IF(A181&lt;'Données projet'!$A$166,$DL$205^A181,IF(A181='Données projet'!$A$166,'Données projet'!$B$166,DO180+DN181-DW180)))</f>
        <v>235.10666666666719</v>
      </c>
      <c r="DP181" s="17">
        <f>DO181*VLOOKUP('Données projet'!$B$14,Paramètres!$A$1:$I$89,3,0)*VLOOKUP('Données projet'!$B$14,Paramètres!$A$1:$I$89,5,0)</f>
        <v>212.72451200000049</v>
      </c>
      <c r="DQ181" s="13">
        <f t="shared" si="176"/>
        <v>52.530512718953382</v>
      </c>
      <c r="DR181" s="20">
        <f t="shared" si="177"/>
        <v>461.98583471884461</v>
      </c>
      <c r="DS181" s="59">
        <f t="shared" si="125"/>
        <v>753.52923493056255</v>
      </c>
      <c r="DT181" s="59">
        <f ca="1">AVERAGE(OFFSET($DS$3,0,0,'Données projet'!$E$14+1,1))-AVERAGE(OFFSET($H$3,0,0,'Données projet'!$E$14+1,1))</f>
        <v>602.02351907077332</v>
      </c>
      <c r="DU181" s="59">
        <f t="shared" si="152"/>
        <v>278.08067690827272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136.19015966892155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136.19015966892155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69.511836421377623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69.511836421377623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69.511836421377623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69.511836421377623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2.2000000000000002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8.0666666666666682</v>
      </c>
      <c r="H182" s="67">
        <f t="shared" si="110"/>
        <v>224.4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69.520304968096468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360.09035401555587</v>
      </c>
      <c r="T182" s="59">
        <f t="shared" si="142"/>
        <v>266.54879627869821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24.219387621602849</v>
      </c>
      <c r="AA182" s="21">
        <f>EXP(-LN(2)/25)*AA181+(1-EXP(-LN(2)/25))/(LN(2)/25)*Calculateur!V182*Calculateur!X182*VLOOKUP('Données projet'!$B$9,Paramètres!$A$1:$I$89,3,0)*0.475*44/12</f>
        <v>5.1882410823166003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29.40762870391945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69.520304968096468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-2.8421709430404007E-14</v>
      </c>
      <c r="AJ182" s="13">
        <f>AI182*VLOOKUP('Données projet'!$B$10,Paramètres!$A$1:$I$89,3,0)*VLOOKUP('Données projet'!$B$10,Paramètres!$A$1:$I$89,5,0)</f>
        <v>-2.3942448024172337E-14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377.26246345103175</v>
      </c>
      <c r="AO182" s="59">
        <f t="shared" si="144"/>
        <v>258.25890564000258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45.625232405320055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45.625232405320055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69.520304968096468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2.2737367544323206E-13</v>
      </c>
      <c r="BE182" s="13">
        <f>BD182*VLOOKUP('Données projet'!$B$11,Paramètres!$A$1:$I$89,3,0)*VLOOKUP('Données projet'!$B$11,Paramètres!$A$1:$I$89,5,0)</f>
        <v>1.0049916454590858E-13</v>
      </c>
      <c r="BF182" s="13">
        <f t="shared" si="167"/>
        <v>1.5089081593838289E-12</v>
      </c>
      <c r="BG182" s="20">
        <f t="shared" si="168"/>
        <v>2.8030510891776262E-12</v>
      </c>
      <c r="BH182" s="59">
        <f t="shared" si="116"/>
        <v>291.5744515496898</v>
      </c>
      <c r="BI182" s="59">
        <f ca="1">AVERAGE(OFFSET($BH$3,0,0,'Données projet'!$E$11+1,1))-AVERAGE(OFFSET($H$3,0,0,'Données projet'!$E$11+1,1))</f>
        <v>333.23043896066253</v>
      </c>
      <c r="BJ182" s="59">
        <f t="shared" si="146"/>
        <v>440.63438368668983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15.635955893813604</v>
      </c>
      <c r="BQ182" s="21">
        <f>EXP(-LN(2)/25)*BQ181+(1-EXP(-LN(2)/25))/(LN(2)/25)*Calculateur!BL182*Calculateur!BN182*VLOOKUP('Données projet'!$B$11,Paramètres!$A$1:$I$89,3,0)*0.475*44/12</f>
        <v>4.3329044928293659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19.968860386642969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69.520304968096468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1.1368683772161603E-13</v>
      </c>
      <c r="BZ182" s="13">
        <f>BY182*VLOOKUP('Données projet'!$B$12,Paramètres!$A$1:$I$89,3,0)*VLOOKUP('Données projet'!$B$12,Paramètres!$A$1:$I$89,5,0)</f>
        <v>4.5815795601811263E-14</v>
      </c>
      <c r="CA182" s="13">
        <f t="shared" si="170"/>
        <v>7.5374618042508364E-13</v>
      </c>
      <c r="CB182" s="20">
        <f t="shared" si="171"/>
        <v>1.392570441580175E-12</v>
      </c>
      <c r="CC182" s="59">
        <f t="shared" si="119"/>
        <v>291.57445154968838</v>
      </c>
      <c r="CD182" s="59">
        <f ca="1">AVERAGE(OFFSET($CC$3,0,0,'Données projet'!$E$12+1,1))-AVERAGE(OFFSET($H$3,0,0,'Données projet'!$E$12+1,1))</f>
        <v>177.34129362526608</v>
      </c>
      <c r="CE182" s="59">
        <f t="shared" si="148"/>
        <v>156.93407673501022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12.070982259744712</v>
      </c>
      <c r="CL182" s="21">
        <f>EXP(-LN(2)/25)*CL181+(1-EXP(-LN(2)/25))/(LN(2)/25)*Calculateur!CG182*Calculateur!CI182*VLOOKUP('Données projet'!$B$12,Paramètres!$A$1:$I$89,3,0)*0.475*44/12</f>
        <v>2.7248059542379535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14.795788213982664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69.520304968096468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8.5265128291212022E-14</v>
      </c>
      <c r="CU182" s="17">
        <f>CT182*VLOOKUP('Données projet'!$B$13,Paramètres!$A$1:$I$89,3,0)*VLOOKUP('Données projet'!$B$13,Paramètres!$A$1:$I$89,5,0)</f>
        <v>5.5865712056402117E-14</v>
      </c>
      <c r="CV182" s="13">
        <f t="shared" si="173"/>
        <v>8.9811031843713517E-13</v>
      </c>
      <c r="CW182" s="20">
        <f t="shared" si="174"/>
        <v>1.6615082531095774E-12</v>
      </c>
      <c r="CX182" s="59">
        <f t="shared" si="122"/>
        <v>291.57445154968866</v>
      </c>
      <c r="CY182" s="59">
        <f ca="1">AVERAGE(OFFSET($CX$3,0,0,'Données projet'!$E$13+1,1))-AVERAGE(OFFSET($H$3,0,0,'Données projet'!$E$13+1,1))</f>
        <v>267.49254683294629</v>
      </c>
      <c r="CZ182" s="59">
        <f t="shared" si="150"/>
        <v>278.02595256967254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10.82101000187186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10.82101000187186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69.520304968096468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3.2566666666666606</v>
      </c>
      <c r="DO182" s="12">
        <f>IF('Données projet'!$A$166&gt;35,DO181+DN182-DW181,IF(A182&lt;'Données projet'!$A$166,$DL$205^A182,IF(A182='Données projet'!$A$166,'Données projet'!$B$166,DO181+DN182-DW181)))</f>
        <v>238.36333333333386</v>
      </c>
      <c r="DP182" s="17">
        <f>DO182*VLOOKUP('Données projet'!$B$14,Paramètres!$A$1:$I$89,3,0)*VLOOKUP('Données projet'!$B$14,Paramètres!$A$1:$I$89,5,0)</f>
        <v>215.67114400000045</v>
      </c>
      <c r="DQ182" s="13">
        <f t="shared" si="176"/>
        <v>53.172944836363733</v>
      </c>
      <c r="DR182" s="20">
        <f t="shared" si="177"/>
        <v>468.23678805666754</v>
      </c>
      <c r="DS182" s="59">
        <f t="shared" si="125"/>
        <v>759.81123960635455</v>
      </c>
      <c r="DT182" s="59">
        <f ca="1">AVERAGE(OFFSET($DS$3,0,0,'Données projet'!$E$14+1,1))-AVERAGE(OFFSET($H$3,0,0,'Données projet'!$E$14+1,1))</f>
        <v>602.02351907077332</v>
      </c>
      <c r="DU182" s="59">
        <f t="shared" si="152"/>
        <v>278.08067690827272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133.51955370560913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133.51955370560913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69.520304968096468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69.520304968096468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69.520304968096468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69.520304968096468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2.2000000000000002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8.0666666666666682</v>
      </c>
      <c r="H183" s="67">
        <f t="shared" si="110"/>
        <v>224.4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69.528626604462559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360.09035401555587</v>
      </c>
      <c r="T183" s="59">
        <f t="shared" si="142"/>
        <v>266.54879627869821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23.744460202711014</v>
      </c>
      <c r="AA183" s="21">
        <f>EXP(-LN(2)/25)*AA182+(1-EXP(-LN(2)/25))/(LN(2)/25)*Calculateur!V183*Calculateur!X183*VLOOKUP('Données projet'!$B$9,Paramètres!$A$1:$I$89,3,0)*0.475*44/12</f>
        <v>5.0463683570829119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28.790828559793926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69.528626604462559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-2.8421709430404007E-14</v>
      </c>
      <c r="AJ183" s="13">
        <f>AI183*VLOOKUP('Données projet'!$B$10,Paramètres!$A$1:$I$89,3,0)*VLOOKUP('Données projet'!$B$10,Paramètres!$A$1:$I$89,5,0)</f>
        <v>-2.3942448024172337E-14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377.26246345103175</v>
      </c>
      <c r="AO183" s="59">
        <f t="shared" si="144"/>
        <v>258.25890564000258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44.730549426495649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44.730549426495649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69.528626604462559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2.2737367544323206E-13</v>
      </c>
      <c r="BE183" s="13">
        <f>BD183*VLOOKUP('Données projet'!$B$11,Paramètres!$A$1:$I$89,3,0)*VLOOKUP('Données projet'!$B$11,Paramètres!$A$1:$I$89,5,0)</f>
        <v>1.0049916454590858E-13</v>
      </c>
      <c r="BF183" s="13">
        <f t="shared" si="167"/>
        <v>1.5089081593838289E-12</v>
      </c>
      <c r="BG183" s="20">
        <f t="shared" si="168"/>
        <v>2.8030510891776262E-12</v>
      </c>
      <c r="BH183" s="59">
        <f t="shared" si="116"/>
        <v>291.60496421636549</v>
      </c>
      <c r="BI183" s="59">
        <f ca="1">AVERAGE(OFFSET($BH$3,0,0,'Données projet'!$E$11+1,1))-AVERAGE(OFFSET($H$3,0,0,'Données projet'!$E$11+1,1))</f>
        <v>333.23043896066253</v>
      </c>
      <c r="BJ183" s="59">
        <f t="shared" si="146"/>
        <v>440.63438368668983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15.329344335727315</v>
      </c>
      <c r="BQ183" s="21">
        <f>EXP(-LN(2)/25)*BQ182+(1-EXP(-LN(2)/25))/(LN(2)/25)*Calculateur!BL183*Calculateur!BN183*VLOOKUP('Données projet'!$B$11,Paramètres!$A$1:$I$89,3,0)*0.475*44/12</f>
        <v>4.2144209916154027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19.543765327342719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69.528626604462559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1.1368683772161603E-13</v>
      </c>
      <c r="BZ183" s="13">
        <f>BY183*VLOOKUP('Données projet'!$B$12,Paramètres!$A$1:$I$89,3,0)*VLOOKUP('Données projet'!$B$12,Paramètres!$A$1:$I$89,5,0)</f>
        <v>4.5815795601811263E-14</v>
      </c>
      <c r="CA183" s="13">
        <f t="shared" si="170"/>
        <v>7.5374618042508364E-13</v>
      </c>
      <c r="CB183" s="20">
        <f t="shared" si="171"/>
        <v>1.392570441580175E-12</v>
      </c>
      <c r="CC183" s="59">
        <f t="shared" si="119"/>
        <v>291.60496421636407</v>
      </c>
      <c r="CD183" s="59">
        <f ca="1">AVERAGE(OFFSET($CC$3,0,0,'Données projet'!$E$12+1,1))-AVERAGE(OFFSET($H$3,0,0,'Données projet'!$E$12+1,1))</f>
        <v>177.34129362526608</v>
      </c>
      <c r="CE183" s="59">
        <f t="shared" si="148"/>
        <v>156.93407673501022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11.834277660203304</v>
      </c>
      <c r="CL183" s="21">
        <f>EXP(-LN(2)/25)*CL182+(1-EXP(-LN(2)/25))/(LN(2)/25)*Calculateur!CG183*Calculateur!CI183*VLOOKUP('Données projet'!$B$12,Paramètres!$A$1:$I$89,3,0)*0.475*44/12</f>
        <v>2.6502959921279992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14.484573652331303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69.528626604462559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8.5265128291212022E-14</v>
      </c>
      <c r="CU183" s="17">
        <f>CT183*VLOOKUP('Données projet'!$B$13,Paramètres!$A$1:$I$89,3,0)*VLOOKUP('Données projet'!$B$13,Paramètres!$A$1:$I$89,5,0)</f>
        <v>5.5865712056402117E-14</v>
      </c>
      <c r="CV183" s="13">
        <f t="shared" si="173"/>
        <v>8.9811031843713517E-13</v>
      </c>
      <c r="CW183" s="20">
        <f t="shared" si="174"/>
        <v>1.6615082531095774E-12</v>
      </c>
      <c r="CX183" s="59">
        <f t="shared" si="122"/>
        <v>291.60496421636435</v>
      </c>
      <c r="CY183" s="59">
        <f ca="1">AVERAGE(OFFSET($CX$3,0,0,'Données projet'!$E$13+1,1))-AVERAGE(OFFSET($H$3,0,0,'Données projet'!$E$13+1,1))</f>
        <v>267.49254683294629</v>
      </c>
      <c r="CZ183" s="59">
        <f t="shared" si="150"/>
        <v>278.02595256967254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10.608816595899542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10.608816595899542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69.528626604462559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>
        <f>VLOOKUP(A183,'Données projet'!$A$165:$I$185,2,0)</f>
        <v>241.62</v>
      </c>
      <c r="DM183" s="12">
        <f>VLOOKUP(A183,'Données projet'!$A$165:$I$185,9,0)</f>
        <v>3.2566666666666606</v>
      </c>
      <c r="DN183" s="12">
        <f t="array" ref="DN183">INDEX(DM:DM,MIN(IF(ISNUMBER(DM183:DM379),ROW(DM183:DM379),"")))</f>
        <v>3.2566666666666606</v>
      </c>
      <c r="DO183" s="12">
        <f>IF('Données projet'!$A$166&gt;35,DO182+DN183-DW182,IF(A183&lt;'Données projet'!$A$166,$DL$205^A183,IF(A183='Données projet'!$A$166,'Données projet'!$B$166,DO182+DN183-DW182)))</f>
        <v>241.62000000000052</v>
      </c>
      <c r="DP183" s="17">
        <f>DO183*VLOOKUP('Données projet'!$B$14,Paramètres!$A$1:$I$89,3,0)*VLOOKUP('Données projet'!$B$14,Paramètres!$A$1:$I$89,5,0)</f>
        <v>218.61777600000045</v>
      </c>
      <c r="DQ183" s="13">
        <f t="shared" si="176"/>
        <v>53.814356054061541</v>
      </c>
      <c r="DR183" s="20">
        <f t="shared" si="177"/>
        <v>474.48596332749122</v>
      </c>
      <c r="DS183" s="59">
        <f t="shared" si="125"/>
        <v>766.09092754385392</v>
      </c>
      <c r="DT183" s="59">
        <f ca="1">AVERAGE(OFFSET($DS$3,0,0,'Données projet'!$E$14+1,1))-AVERAGE(OFFSET($H$3,0,0,'Données projet'!$E$14+1,1))</f>
        <v>602.02351907077332</v>
      </c>
      <c r="DU183" s="59">
        <f t="shared" si="152"/>
        <v>278.08067690827272</v>
      </c>
      <c r="DV183" s="15">
        <f>IF(ISNA(VLOOKUP(A183,'Données projet'!$A$165:$I$185,3,0)),0,VLOOKUP(A183,'Données projet'!$A$165:$I$185,3,0))</f>
        <v>17</v>
      </c>
      <c r="DW183" s="15">
        <f>IF(ISNA(VLOOKUP(A183,'Données projet'!$A$165:$I$185,4,0)),0,VLOOKUP(A183,'Données projet'!$A$165:$I$185,4,0))</f>
        <v>77.72</v>
      </c>
      <c r="DX183" s="16">
        <f>IF(ISNA(VLOOKUP(A183,'Données projet'!$A$165:$I$185,5,0)),0%,VLOOKUP(A183,'Données projet'!$A$165:$I$185,5,0)*VLOOKUP('Données projet'!$B$14,Paramètres!$A$1:$I$89,7,0))</f>
        <v>0.25800000000000001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150.95768056842175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150.95768056842175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69.528626604462559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69.528626604462559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69.528626604462559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69.528626604462559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2.2000000000000002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8.0666666666666682</v>
      </c>
      <c r="H184" s="67">
        <f t="shared" si="110"/>
        <v>224.4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69.536803879042097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360.09035401555587</v>
      </c>
      <c r="T184" s="59">
        <f t="shared" si="142"/>
        <v>266.54879627869821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23.278845820826529</v>
      </c>
      <c r="AA184" s="21">
        <f>EXP(-LN(2)/25)*AA183+(1-EXP(-LN(2)/25))/(LN(2)/25)*Calculateur!V184*Calculateur!X184*VLOOKUP('Données projet'!$B$9,Paramètres!$A$1:$I$89,3,0)*0.475*44/12</f>
        <v>4.9083751489815013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28.187220969808031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69.536803879042097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-2.8421709430404007E-14</v>
      </c>
      <c r="AJ184" s="13">
        <f>AI184*VLOOKUP('Données projet'!$B$10,Paramètres!$A$1:$I$89,3,0)*VLOOKUP('Données projet'!$B$10,Paramètres!$A$1:$I$89,5,0)</f>
        <v>-2.3942448024172337E-14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377.26246345103175</v>
      </c>
      <c r="AO184" s="59">
        <f t="shared" si="144"/>
        <v>258.25890564000258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43.853410635183252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43.853410635183252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69.536803879042097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2.2737367544323206E-13</v>
      </c>
      <c r="BE184" s="13">
        <f>BD184*VLOOKUP('Données projet'!$B$11,Paramètres!$A$1:$I$89,3,0)*VLOOKUP('Données projet'!$B$11,Paramètres!$A$1:$I$89,5,0)</f>
        <v>1.0049916454590858E-13</v>
      </c>
      <c r="BF184" s="13">
        <f t="shared" si="167"/>
        <v>1.5089081593838289E-12</v>
      </c>
      <c r="BG184" s="20">
        <f t="shared" si="168"/>
        <v>2.8030510891776262E-12</v>
      </c>
      <c r="BH184" s="59">
        <f t="shared" si="116"/>
        <v>291.63494755649049</v>
      </c>
      <c r="BI184" s="59">
        <f ca="1">AVERAGE(OFFSET($BH$3,0,0,'Données projet'!$E$11+1,1))-AVERAGE(OFFSET($H$3,0,0,'Données projet'!$E$11+1,1))</f>
        <v>333.23043896066253</v>
      </c>
      <c r="BJ184" s="59">
        <f t="shared" si="146"/>
        <v>440.63438368668983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15.028745243280515</v>
      </c>
      <c r="BQ184" s="21">
        <f>EXP(-LN(2)/25)*BQ183+(1-EXP(-LN(2)/25))/(LN(2)/25)*Calculateur!BL184*Calculateur!BN184*VLOOKUP('Données projet'!$B$11,Paramètres!$A$1:$I$89,3,0)*0.475*44/12</f>
        <v>4.0991774279729114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19.127922671253426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69.536803879042097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1.1368683772161603E-13</v>
      </c>
      <c r="BZ184" s="13">
        <f>BY184*VLOOKUP('Données projet'!$B$12,Paramètres!$A$1:$I$89,3,0)*VLOOKUP('Données projet'!$B$12,Paramètres!$A$1:$I$89,5,0)</f>
        <v>4.5815795601811263E-14</v>
      </c>
      <c r="CA184" s="13">
        <f t="shared" si="170"/>
        <v>7.5374618042508364E-13</v>
      </c>
      <c r="CB184" s="20">
        <f t="shared" si="171"/>
        <v>1.392570441580175E-12</v>
      </c>
      <c r="CC184" s="59">
        <f t="shared" si="119"/>
        <v>291.63494755648907</v>
      </c>
      <c r="CD184" s="59">
        <f ca="1">AVERAGE(OFFSET($CC$3,0,0,'Données projet'!$E$12+1,1))-AVERAGE(OFFSET($H$3,0,0,'Données projet'!$E$12+1,1))</f>
        <v>177.34129362526608</v>
      </c>
      <c r="CE184" s="59">
        <f t="shared" si="148"/>
        <v>156.93407673501022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11.602214693483353</v>
      </c>
      <c r="CL184" s="21">
        <f>EXP(-LN(2)/25)*CL183+(1-EXP(-LN(2)/25))/(LN(2)/25)*Calculateur!CG184*Calculateur!CI184*VLOOKUP('Données projet'!$B$12,Paramètres!$A$1:$I$89,3,0)*0.475*44/12</f>
        <v>2.5778235088502499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14.180038202333602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69.536803879042097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8.5265128291212022E-14</v>
      </c>
      <c r="CU184" s="17">
        <f>CT184*VLOOKUP('Données projet'!$B$13,Paramètres!$A$1:$I$89,3,0)*VLOOKUP('Données projet'!$B$13,Paramètres!$A$1:$I$89,5,0)</f>
        <v>5.5865712056402117E-14</v>
      </c>
      <c r="CV184" s="13">
        <f t="shared" si="173"/>
        <v>8.9811031843713517E-13</v>
      </c>
      <c r="CW184" s="20">
        <f t="shared" si="174"/>
        <v>1.6615082531095774E-12</v>
      </c>
      <c r="CX184" s="59">
        <f t="shared" si="122"/>
        <v>291.63494755648935</v>
      </c>
      <c r="CY184" s="59">
        <f ca="1">AVERAGE(OFFSET($CX$3,0,0,'Données projet'!$E$13+1,1))-AVERAGE(OFFSET($H$3,0,0,'Données projet'!$E$13+1,1))</f>
        <v>267.49254683294629</v>
      </c>
      <c r="CZ184" s="59">
        <f t="shared" si="150"/>
        <v>278.02595256967254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10.400784173193143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10.400784173193143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69.536803879042097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1.9533333333333285</v>
      </c>
      <c r="DO184" s="12">
        <f>IF('Données projet'!$A$166&gt;35,DO183+DN184-DW183,IF(A184&lt;'Données projet'!$A$166,$DL$205^A184,IF(A184='Données projet'!$A$166,'Données projet'!$B$166,DO183+DN184-DW183)))</f>
        <v>165.85333333333384</v>
      </c>
      <c r="DP184" s="17">
        <f>DO184*VLOOKUP('Données projet'!$B$14,Paramètres!$A$1:$I$89,3,0)*VLOOKUP('Données projet'!$B$14,Paramètres!$A$1:$I$89,5,0)</f>
        <v>150.06409600000046</v>
      </c>
      <c r="DQ184" s="13">
        <f t="shared" si="176"/>
        <v>38.593151304664545</v>
      </c>
      <c r="DR184" s="20">
        <f t="shared" si="177"/>
        <v>328.57803905562486</v>
      </c>
      <c r="DS184" s="59">
        <f t="shared" si="125"/>
        <v>620.21298661211256</v>
      </c>
      <c r="DT184" s="59">
        <f ca="1">AVERAGE(OFFSET($DS$3,0,0,'Données projet'!$E$14+1,1))-AVERAGE(OFFSET($H$3,0,0,'Données projet'!$E$14+1,1))</f>
        <v>602.02351907077332</v>
      </c>
      <c r="DU184" s="59">
        <f t="shared" si="152"/>
        <v>278.08067690827272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147.99749252756848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147.99749252756848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69.536803879042097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69.536803879042097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69.536803879042097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69.536803879042097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2.2000000000000002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8.0666666666666682</v>
      </c>
      <c r="H185" s="67">
        <f t="shared" si="110"/>
        <v>224.4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69.544839296189338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360.09035401555587</v>
      </c>
      <c r="T185" s="59">
        <f t="shared" si="142"/>
        <v>266.54879627869821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22.822361852974065</v>
      </c>
      <c r="AA185" s="21">
        <f>EXP(-LN(2)/25)*AA184+(1-EXP(-LN(2)/25))/(LN(2)/25)*Calculateur!V185*Calculateur!X185*VLOOKUP('Données projet'!$B$9,Paramètres!$A$1:$I$89,3,0)*0.475*44/12</f>
        <v>4.7741553724123715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27.596517225386435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69.544839296189338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-2.8421709430404007E-14</v>
      </c>
      <c r="AJ185" s="13">
        <f>AI185*VLOOKUP('Données projet'!$B$10,Paramètres!$A$1:$I$89,3,0)*VLOOKUP('Données projet'!$B$10,Paramètres!$A$1:$I$89,5,0)</f>
        <v>-2.3942448024172337E-14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377.26246345103175</v>
      </c>
      <c r="AO185" s="59">
        <f t="shared" si="144"/>
        <v>258.25890564000258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42.993472000566655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42.993472000566655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69.544839296189338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2.2737367544323206E-13</v>
      </c>
      <c r="BE185" s="13">
        <f>BD185*VLOOKUP('Données projet'!$B$11,Paramètres!$A$1:$I$89,3,0)*VLOOKUP('Données projet'!$B$11,Paramètres!$A$1:$I$89,5,0)</f>
        <v>1.0049916454590858E-13</v>
      </c>
      <c r="BF185" s="13">
        <f t="shared" si="167"/>
        <v>1.5089081593838289E-12</v>
      </c>
      <c r="BG185" s="20">
        <f t="shared" si="168"/>
        <v>2.8030510891776262E-12</v>
      </c>
      <c r="BH185" s="59">
        <f t="shared" si="116"/>
        <v>291.66441075269699</v>
      </c>
      <c r="BI185" s="59">
        <f ca="1">AVERAGE(OFFSET($BH$3,0,0,'Données projet'!$E$11+1,1))-AVERAGE(OFFSET($H$3,0,0,'Données projet'!$E$11+1,1))</f>
        <v>333.23043896066253</v>
      </c>
      <c r="BJ185" s="59">
        <f t="shared" si="146"/>
        <v>440.63438368668983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14.734040715689252</v>
      </c>
      <c r="BQ185" s="21">
        <f>EXP(-LN(2)/25)*BQ184+(1-EXP(-LN(2)/25))/(LN(2)/25)*Calculateur!BL185*Calculateur!BN185*VLOOKUP('Données projet'!$B$11,Paramètres!$A$1:$I$89,3,0)*0.475*44/12</f>
        <v>3.9870852056386199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18.721125921327872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69.544839296189338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1.1368683772161603E-13</v>
      </c>
      <c r="BZ185" s="13">
        <f>BY185*VLOOKUP('Données projet'!$B$12,Paramètres!$A$1:$I$89,3,0)*VLOOKUP('Données projet'!$B$12,Paramètres!$A$1:$I$89,5,0)</f>
        <v>4.5815795601811263E-14</v>
      </c>
      <c r="CA185" s="13">
        <f t="shared" si="170"/>
        <v>7.5374618042508364E-13</v>
      </c>
      <c r="CB185" s="20">
        <f t="shared" si="171"/>
        <v>1.392570441580175E-12</v>
      </c>
      <c r="CC185" s="59">
        <f t="shared" si="119"/>
        <v>291.66441075269557</v>
      </c>
      <c r="CD185" s="59">
        <f ca="1">AVERAGE(OFFSET($CC$3,0,0,'Données projet'!$E$12+1,1))-AVERAGE(OFFSET($H$3,0,0,'Données projet'!$E$12+1,1))</f>
        <v>177.34129362526608</v>
      </c>
      <c r="CE185" s="59">
        <f t="shared" si="148"/>
        <v>156.93407673501022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11.374702339996345</v>
      </c>
      <c r="CL185" s="21">
        <f>EXP(-LN(2)/25)*CL184+(1-EXP(-LN(2)/25))/(LN(2)/25)*Calculateur!CG185*Calculateur!CI185*VLOOKUP('Données projet'!$B$12,Paramètres!$A$1:$I$89,3,0)*0.475*44/12</f>
        <v>2.5073327894388933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13.882035129435238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69.544839296189338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8.5265128291212022E-14</v>
      </c>
      <c r="CU185" s="17">
        <f>CT185*VLOOKUP('Données projet'!$B$13,Paramètres!$A$1:$I$89,3,0)*VLOOKUP('Données projet'!$B$13,Paramètres!$A$1:$I$89,5,0)</f>
        <v>5.5865712056402117E-14</v>
      </c>
      <c r="CV185" s="13">
        <f t="shared" si="173"/>
        <v>8.9811031843713517E-13</v>
      </c>
      <c r="CW185" s="20">
        <f t="shared" si="174"/>
        <v>1.6615082531095774E-12</v>
      </c>
      <c r="CX185" s="59">
        <f t="shared" si="122"/>
        <v>291.66441075269586</v>
      </c>
      <c r="CY185" s="59">
        <f ca="1">AVERAGE(OFFSET($CX$3,0,0,'Données projet'!$E$13+1,1))-AVERAGE(OFFSET($H$3,0,0,'Données projet'!$E$13+1,1))</f>
        <v>267.49254683294629</v>
      </c>
      <c r="CZ185" s="59">
        <f t="shared" si="150"/>
        <v>278.02595256967254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10.196831139408769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10.196831139408769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69.544839296189338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1.9533333333333285</v>
      </c>
      <c r="DO185" s="12">
        <f>IF('Données projet'!$A$166&gt;35,DO184+DN185-DW184,IF(A185&lt;'Données projet'!$A$166,$DL$205^A185,IF(A185='Données projet'!$A$166,'Données projet'!$B$166,DO184+DN185-DW184)))</f>
        <v>167.80666666666716</v>
      </c>
      <c r="DP185" s="17">
        <f>DO185*VLOOKUP('Données projet'!$B$14,Paramètres!$A$1:$I$89,3,0)*VLOOKUP('Données projet'!$B$14,Paramètres!$A$1:$I$89,5,0)</f>
        <v>151.83147200000045</v>
      </c>
      <c r="DQ185" s="13">
        <f t="shared" si="176"/>
        <v>38.994499777620597</v>
      </c>
      <c r="DR185" s="20">
        <f t="shared" si="177"/>
        <v>332.35523417935661</v>
      </c>
      <c r="DS185" s="59">
        <f t="shared" si="125"/>
        <v>624.01964493205082</v>
      </c>
      <c r="DT185" s="59">
        <f ca="1">AVERAGE(OFFSET($DS$3,0,0,'Données projet'!$E$14+1,1))-AVERAGE(OFFSET($H$3,0,0,'Données projet'!$E$14+1,1))</f>
        <v>602.02351907077332</v>
      </c>
      <c r="DU185" s="59">
        <f t="shared" si="152"/>
        <v>278.08067690827272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145.09535196865994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145.09535196865994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69.544839296189338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69.544839296189338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69.544839296189338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69.544839296189338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2.2000000000000002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8.0666666666666682</v>
      </c>
      <c r="H186" s="67">
        <f t="shared" si="110"/>
        <v>224.4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69.552735316813553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360.09035401555587</v>
      </c>
      <c r="T186" s="59">
        <f t="shared" si="142"/>
        <v>266.54879627869821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22.374829257303464</v>
      </c>
      <c r="AA186" s="21">
        <f>EXP(-LN(2)/25)*AA185+(1-EXP(-LN(2)/25))/(LN(2)/25)*Calculateur!V186*Calculateur!X186*VLOOKUP('Données projet'!$B$9,Paramètres!$A$1:$I$89,3,0)*0.475*44/12</f>
        <v>4.6436058426918354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27.018435099995301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69.552735316813553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-2.8421709430404007E-14</v>
      </c>
      <c r="AJ186" s="13">
        <f>AI186*VLOOKUP('Données projet'!$B$10,Paramètres!$A$1:$I$89,3,0)*VLOOKUP('Données projet'!$B$10,Paramètres!$A$1:$I$89,5,0)</f>
        <v>-2.3942448024172337E-14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377.26246345103175</v>
      </c>
      <c r="AO186" s="59">
        <f t="shared" si="144"/>
        <v>258.25890564000258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42.150396238064111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42.150396238064111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69.552735316813553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2.2737367544323206E-13</v>
      </c>
      <c r="BE186" s="13">
        <f>BD186*VLOOKUP('Données projet'!$B$11,Paramètres!$A$1:$I$89,3,0)*VLOOKUP('Données projet'!$B$11,Paramètres!$A$1:$I$89,5,0)</f>
        <v>1.0049916454590858E-13</v>
      </c>
      <c r="BF186" s="13">
        <f t="shared" si="167"/>
        <v>1.5089081593838289E-12</v>
      </c>
      <c r="BG186" s="20">
        <f t="shared" si="168"/>
        <v>2.8030510891776262E-12</v>
      </c>
      <c r="BH186" s="59">
        <f t="shared" si="116"/>
        <v>291.69336282831915</v>
      </c>
      <c r="BI186" s="59">
        <f ca="1">AVERAGE(OFFSET($BH$3,0,0,'Données projet'!$E$11+1,1))-AVERAGE(OFFSET($H$3,0,0,'Données projet'!$E$11+1,1))</f>
        <v>333.23043896066253</v>
      </c>
      <c r="BJ186" s="59">
        <f t="shared" si="146"/>
        <v>440.63438368668983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14.445115164132043</v>
      </c>
      <c r="BQ186" s="21">
        <f>EXP(-LN(2)/25)*BQ185+(1-EXP(-LN(2)/25))/(LN(2)/25)*Calculateur!BL186*Calculateur!BN186*VLOOKUP('Données projet'!$B$11,Paramètres!$A$1:$I$89,3,0)*0.475*44/12</f>
        <v>3.8780581510187333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18.323173315150775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69.552735316813553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1.1368683772161603E-13</v>
      </c>
      <c r="BZ186" s="13">
        <f>BY186*VLOOKUP('Données projet'!$B$12,Paramètres!$A$1:$I$89,3,0)*VLOOKUP('Données projet'!$B$12,Paramètres!$A$1:$I$89,5,0)</f>
        <v>4.5815795601811263E-14</v>
      </c>
      <c r="CA186" s="13">
        <f t="shared" si="170"/>
        <v>7.5374618042508364E-13</v>
      </c>
      <c r="CB186" s="20">
        <f t="shared" si="171"/>
        <v>1.392570441580175E-12</v>
      </c>
      <c r="CC186" s="59">
        <f t="shared" si="119"/>
        <v>291.69336282831773</v>
      </c>
      <c r="CD186" s="59">
        <f ca="1">AVERAGE(OFFSET($CC$3,0,0,'Données projet'!$E$12+1,1))-AVERAGE(OFFSET($H$3,0,0,'Données projet'!$E$12+1,1))</f>
        <v>177.34129362526608</v>
      </c>
      <c r="CE186" s="59">
        <f t="shared" si="148"/>
        <v>156.93407673501022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11.151651364992384</v>
      </c>
      <c r="CL186" s="21">
        <f>EXP(-LN(2)/25)*CL185+(1-EXP(-LN(2)/25))/(LN(2)/25)*Calculateur!CG186*Calculateur!CI186*VLOOKUP('Données projet'!$B$12,Paramètres!$A$1:$I$89,3,0)*0.475*44/12</f>
        <v>2.4387696424567857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13.590421007449169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69.552735316813553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8.5265128291212022E-14</v>
      </c>
      <c r="CU186" s="17">
        <f>CT186*VLOOKUP('Données projet'!$B$13,Paramètres!$A$1:$I$89,3,0)*VLOOKUP('Données projet'!$B$13,Paramètres!$A$1:$I$89,5,0)</f>
        <v>5.5865712056402117E-14</v>
      </c>
      <c r="CV186" s="13">
        <f t="shared" si="173"/>
        <v>8.9811031843713517E-13</v>
      </c>
      <c r="CW186" s="20">
        <f t="shared" si="174"/>
        <v>1.6615082531095774E-12</v>
      </c>
      <c r="CX186" s="59">
        <f t="shared" si="122"/>
        <v>291.69336282831802</v>
      </c>
      <c r="CY186" s="59">
        <f ca="1">AVERAGE(OFFSET($CX$3,0,0,'Données projet'!$E$13+1,1))-AVERAGE(OFFSET($H$3,0,0,'Données projet'!$E$13+1,1))</f>
        <v>267.49254683294629</v>
      </c>
      <c r="CZ186" s="59">
        <f t="shared" si="150"/>
        <v>278.02595256967254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9.9968775002178383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9.9968775002178383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69.552735316813553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>
        <f>VLOOKUP(A186,'Données projet'!$A$165:$I$185,2,0)</f>
        <v>169.76</v>
      </c>
      <c r="DM186" s="12">
        <f>VLOOKUP(A186,'Données projet'!$A$165:$I$185,9,0)</f>
        <v>1.9533333333333285</v>
      </c>
      <c r="DN186" s="12">
        <f t="array" ref="DN186">INDEX(DM:DM,MIN(IF(ISNUMBER(DM186:DM382),ROW(DM186:DM382),"")))</f>
        <v>1.9533333333333285</v>
      </c>
      <c r="DO186" s="12">
        <f>IF('Données projet'!$A$166&gt;35,DO185+DN186-DW185,IF(A186&lt;'Données projet'!$A$166,$DL$205^A186,IF(A186='Données projet'!$A$166,'Données projet'!$B$166,DO185+DN186-DW185)))</f>
        <v>169.76000000000047</v>
      </c>
      <c r="DP186" s="17">
        <f>DO186*VLOOKUP('Données projet'!$B$14,Paramètres!$A$1:$I$89,3,0)*VLOOKUP('Données projet'!$B$14,Paramètres!$A$1:$I$89,5,0)</f>
        <v>153.5988480000004</v>
      </c>
      <c r="DQ186" s="13">
        <f t="shared" si="176"/>
        <v>39.395304802658316</v>
      </c>
      <c r="DR186" s="20">
        <f t="shared" si="177"/>
        <v>336.13148279796388</v>
      </c>
      <c r="DS186" s="59">
        <f t="shared" si="125"/>
        <v>627.82484562628019</v>
      </c>
      <c r="DT186" s="59">
        <f ca="1">AVERAGE(OFFSET($DS$3,0,0,'Données projet'!$E$14+1,1))-AVERAGE(OFFSET($H$3,0,0,'Données projet'!$E$14+1,1))</f>
        <v>602.02351907077332</v>
      </c>
      <c r="DU186" s="59">
        <f t="shared" si="152"/>
        <v>278.08067690827272</v>
      </c>
      <c r="DV186" s="15">
        <f>IF(ISNA(VLOOKUP(A186,'Données projet'!$A$165:$I$185,3,0)),0,VLOOKUP(A186,'Données projet'!$A$165:$I$185,3,0))</f>
        <v>18</v>
      </c>
      <c r="DW186" s="15">
        <f>IF(ISNA(VLOOKUP(A186,'Données projet'!$A$165:$I$185,4,0)),0,VLOOKUP(A186,'Données projet'!$A$165:$I$185,4,0))</f>
        <v>169.76</v>
      </c>
      <c r="DX186" s="16">
        <f>IF(ISNA(VLOOKUP(A186,'Données projet'!$A$165:$I$185,5,0)),0%,VLOOKUP(A186,'Données projet'!$A$165:$I$185,5,0)*VLOOKUP('Données projet'!$B$14,Paramètres!$A$1:$I$89,7,0))</f>
        <v>0.25800000000000001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186.05825662893167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186.05825662893167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69.552735316813553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69.552735316813553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69.552735316813553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69.552735316813553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2.2000000000000002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8.0666666666666682</v>
      </c>
      <c r="H187" s="67">
        <f t="shared" si="110"/>
        <v>224.4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69.560494359132804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360.09035401555587</v>
      </c>
      <c r="T187" s="59">
        <f t="shared" si="142"/>
        <v>266.54879627869821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21.936072502866033</v>
      </c>
      <c r="AA187" s="21">
        <f>EXP(-LN(2)/25)*AA186+(1-EXP(-LN(2)/25))/(LN(2)/25)*Calculateur!V187*Calculateur!X187*VLOOKUP('Données projet'!$B$9,Paramètres!$A$1:$I$89,3,0)*0.475*44/12</f>
        <v>4.5166261967268087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26.45269869959284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69.560494359132804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-2.8421709430404007E-14</v>
      </c>
      <c r="AJ187" s="13">
        <f>AI187*VLOOKUP('Données projet'!$B$10,Paramètres!$A$1:$I$89,3,0)*VLOOKUP('Données projet'!$B$10,Paramètres!$A$1:$I$89,5,0)</f>
        <v>-2.3942448024172337E-14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377.26246345103175</v>
      </c>
      <c r="AO187" s="59">
        <f t="shared" si="144"/>
        <v>258.25890564000258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41.323852677038808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41.323852677038808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69.560494359132804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2.2737367544323206E-13</v>
      </c>
      <c r="BE187" s="13">
        <f>BD187*VLOOKUP('Données projet'!$B$11,Paramètres!$A$1:$I$89,3,0)*VLOOKUP('Données projet'!$B$11,Paramètres!$A$1:$I$89,5,0)</f>
        <v>1.0049916454590858E-13</v>
      </c>
      <c r="BF187" s="13">
        <f t="shared" si="167"/>
        <v>1.5089081593838289E-12</v>
      </c>
      <c r="BG187" s="20">
        <f t="shared" si="168"/>
        <v>2.8030510891776262E-12</v>
      </c>
      <c r="BH187" s="59">
        <f t="shared" si="116"/>
        <v>291.72181265015638</v>
      </c>
      <c r="BI187" s="59">
        <f ca="1">AVERAGE(OFFSET($BH$3,0,0,'Données projet'!$E$11+1,1))-AVERAGE(OFFSET($H$3,0,0,'Données projet'!$E$11+1,1))</f>
        <v>333.23043896066253</v>
      </c>
      <c r="BJ187" s="59">
        <f t="shared" si="146"/>
        <v>440.63438368668983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14.161855266413683</v>
      </c>
      <c r="BQ187" s="21">
        <f>EXP(-LN(2)/25)*BQ186+(1-EXP(-LN(2)/25))/(LN(2)/25)*Calculateur!BL187*Calculateur!BN187*VLOOKUP('Données projet'!$B$11,Paramètres!$A$1:$I$89,3,0)*0.475*44/12</f>
        <v>3.7720124469409111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17.933867713354594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69.560494359132804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1.1368683772161603E-13</v>
      </c>
      <c r="BZ187" s="13">
        <f>BY187*VLOOKUP('Données projet'!$B$12,Paramètres!$A$1:$I$89,3,0)*VLOOKUP('Données projet'!$B$12,Paramètres!$A$1:$I$89,5,0)</f>
        <v>4.5815795601811263E-14</v>
      </c>
      <c r="CA187" s="13">
        <f t="shared" si="170"/>
        <v>7.5374618042508364E-13</v>
      </c>
      <c r="CB187" s="20">
        <f t="shared" si="171"/>
        <v>1.392570441580175E-12</v>
      </c>
      <c r="CC187" s="59">
        <f t="shared" si="119"/>
        <v>291.72181265015496</v>
      </c>
      <c r="CD187" s="59">
        <f ca="1">AVERAGE(OFFSET($CC$3,0,0,'Données projet'!$E$12+1,1))-AVERAGE(OFFSET($H$3,0,0,'Données projet'!$E$12+1,1))</f>
        <v>177.34129362526608</v>
      </c>
      <c r="CE187" s="59">
        <f t="shared" si="148"/>
        <v>156.93407673501022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10.93297428356059</v>
      </c>
      <c r="CL187" s="21">
        <f>EXP(-LN(2)/25)*CL186+(1-EXP(-LN(2)/25))/(LN(2)/25)*Calculateur!CG187*Calculateur!CI187*VLOOKUP('Données projet'!$B$12,Paramètres!$A$1:$I$89,3,0)*0.475*44/12</f>
        <v>2.3720813583344835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13.305055641895073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69.560494359132804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8.5265128291212022E-14</v>
      </c>
      <c r="CU187" s="17">
        <f>CT187*VLOOKUP('Données projet'!$B$13,Paramètres!$A$1:$I$89,3,0)*VLOOKUP('Données projet'!$B$13,Paramètres!$A$1:$I$89,5,0)</f>
        <v>5.5865712056402117E-14</v>
      </c>
      <c r="CV187" s="13">
        <f t="shared" si="173"/>
        <v>8.9811031843713517E-13</v>
      </c>
      <c r="CW187" s="20">
        <f t="shared" si="174"/>
        <v>1.6615082531095774E-12</v>
      </c>
      <c r="CX187" s="59">
        <f t="shared" si="122"/>
        <v>291.72181265015524</v>
      </c>
      <c r="CY187" s="59">
        <f ca="1">AVERAGE(OFFSET($CX$3,0,0,'Données projet'!$E$13+1,1))-AVERAGE(OFFSET($H$3,0,0,'Données projet'!$E$13+1,1))</f>
        <v>267.49254683294629</v>
      </c>
      <c r="CZ187" s="59">
        <f t="shared" si="150"/>
        <v>278.02595256967254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9.8008448299317639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9.8008448299317639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69.560494359132804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4.8316906031686813E-13</v>
      </c>
      <c r="DP187" s="17">
        <f>DO187*VLOOKUP('Données projet'!$B$14,Paramètres!$A$1:$I$89,3,0)*VLOOKUP('Données projet'!$B$14,Paramètres!$A$1:$I$89,5,0)</f>
        <v>4.3717136577470225E-13</v>
      </c>
      <c r="DQ187" s="13">
        <f t="shared" si="176"/>
        <v>5.5313598682231701E-12</v>
      </c>
      <c r="DR187" s="20">
        <f t="shared" si="177"/>
        <v>1.039519189921296E-11</v>
      </c>
      <c r="DS187" s="59">
        <f t="shared" si="125"/>
        <v>291.721812650164</v>
      </c>
      <c r="DT187" s="59">
        <f ca="1">AVERAGE(OFFSET($DS$3,0,0,'Données projet'!$E$14+1,1))-AVERAGE(OFFSET($H$3,0,0,'Données projet'!$E$14+1,1))</f>
        <v>602.02351907077332</v>
      </c>
      <c r="DU187" s="59">
        <f t="shared" si="152"/>
        <v>278.08067690827272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182.40976770076921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182.40976770076921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69.560494359132804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69.560494359132804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69.560494359132804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69.560494359132804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2.2000000000000002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8.0666666666666682</v>
      </c>
      <c r="H188" s="67">
        <f t="shared" si="110"/>
        <v>224.4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69.568118799414449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360.09035401555587</v>
      </c>
      <c r="T188" s="59">
        <f t="shared" si="142"/>
        <v>266.54879627869821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21.505919500767924</v>
      </c>
      <c r="AA188" s="21">
        <f>EXP(-LN(2)/25)*AA187+(1-EXP(-LN(2)/25))/(LN(2)/25)*Calculateur!V188*Calculateur!X188*VLOOKUP('Données projet'!$B$9,Paramètres!$A$1:$I$89,3,0)*0.475*44/12</f>
        <v>4.3931188158582657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25.899038316626189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69.568118799414449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-2.8421709430404007E-14</v>
      </c>
      <c r="AJ188" s="13">
        <f>AI188*VLOOKUP('Données projet'!$B$10,Paramètres!$A$1:$I$89,3,0)*VLOOKUP('Données projet'!$B$10,Paramètres!$A$1:$I$89,5,0)</f>
        <v>-2.3942448024172337E-14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377.26246345103175</v>
      </c>
      <c r="AO188" s="59">
        <f t="shared" si="144"/>
        <v>258.25890564000258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40.51351713110342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40.51351713110342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69.568118799414449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2.2737367544323206E-13</v>
      </c>
      <c r="BE188" s="13">
        <f>BD188*VLOOKUP('Données projet'!$B$11,Paramètres!$A$1:$I$89,3,0)*VLOOKUP('Données projet'!$B$11,Paramètres!$A$1:$I$89,5,0)</f>
        <v>1.0049916454590858E-13</v>
      </c>
      <c r="BF188" s="13">
        <f t="shared" si="167"/>
        <v>1.5089081593838289E-12</v>
      </c>
      <c r="BG188" s="20">
        <f t="shared" si="168"/>
        <v>2.8030510891776262E-12</v>
      </c>
      <c r="BH188" s="59">
        <f t="shared" si="116"/>
        <v>291.74976893118912</v>
      </c>
      <c r="BI188" s="59">
        <f ca="1">AVERAGE(OFFSET($BH$3,0,0,'Données projet'!$E$11+1,1))-AVERAGE(OFFSET($H$3,0,0,'Données projet'!$E$11+1,1))</f>
        <v>333.23043896066253</v>
      </c>
      <c r="BJ188" s="59">
        <f t="shared" si="146"/>
        <v>440.63438368668983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13.884149922518104</v>
      </c>
      <c r="BQ188" s="21">
        <f>EXP(-LN(2)/25)*BQ187+(1-EXP(-LN(2)/25))/(LN(2)/25)*Calculateur!BL188*Calculateur!BN188*VLOOKUP('Données projet'!$B$11,Paramètres!$A$1:$I$89,3,0)*0.475*44/12</f>
        <v>3.6688665682177986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17.553016490735903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69.568118799414449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1.1368683772161603E-13</v>
      </c>
      <c r="BZ188" s="13">
        <f>BY188*VLOOKUP('Données projet'!$B$12,Paramètres!$A$1:$I$89,3,0)*VLOOKUP('Données projet'!$B$12,Paramètres!$A$1:$I$89,5,0)</f>
        <v>4.5815795601811263E-14</v>
      </c>
      <c r="CA188" s="13">
        <f t="shared" si="170"/>
        <v>7.5374618042508364E-13</v>
      </c>
      <c r="CB188" s="20">
        <f t="shared" si="171"/>
        <v>1.392570441580175E-12</v>
      </c>
      <c r="CC188" s="59">
        <f t="shared" si="119"/>
        <v>291.7497689311877</v>
      </c>
      <c r="CD188" s="59">
        <f ca="1">AVERAGE(OFFSET($CC$3,0,0,'Données projet'!$E$12+1,1))-AVERAGE(OFFSET($H$3,0,0,'Données projet'!$E$12+1,1))</f>
        <v>177.34129362526608</v>
      </c>
      <c r="CE188" s="59">
        <f t="shared" si="148"/>
        <v>156.93407673501022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10.718585326315825</v>
      </c>
      <c r="CL188" s="21">
        <f>EXP(-LN(2)/25)*CL187+(1-EXP(-LN(2)/25))/(LN(2)/25)*Calculateur!CG188*Calculateur!CI188*VLOOKUP('Données projet'!$B$12,Paramètres!$A$1:$I$89,3,0)*0.475*44/12</f>
        <v>2.3072166688484899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13.025801995164315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69.568118799414449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8.5265128291212022E-14</v>
      </c>
      <c r="CU188" s="17">
        <f>CT188*VLOOKUP('Données projet'!$B$13,Paramètres!$A$1:$I$89,3,0)*VLOOKUP('Données projet'!$B$13,Paramètres!$A$1:$I$89,5,0)</f>
        <v>5.5865712056402117E-14</v>
      </c>
      <c r="CV188" s="13">
        <f t="shared" si="173"/>
        <v>8.9811031843713517E-13</v>
      </c>
      <c r="CW188" s="20">
        <f t="shared" si="174"/>
        <v>1.6615082531095774E-12</v>
      </c>
      <c r="CX188" s="59">
        <f t="shared" si="122"/>
        <v>291.74976893118799</v>
      </c>
      <c r="CY188" s="59">
        <f ca="1">AVERAGE(OFFSET($CX$3,0,0,'Données projet'!$E$13+1,1))-AVERAGE(OFFSET($H$3,0,0,'Données projet'!$E$13+1,1))</f>
        <v>267.49254683294629</v>
      </c>
      <c r="CZ188" s="59">
        <f t="shared" si="150"/>
        <v>278.02595256967254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9.6086562407418779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9.6086562407418779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69.568118799414449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4.8316906031686813E-13</v>
      </c>
      <c r="DP188" s="17">
        <f>DO188*VLOOKUP('Données projet'!$B$14,Paramètres!$A$1:$I$89,3,0)*VLOOKUP('Données projet'!$B$14,Paramètres!$A$1:$I$89,5,0)</f>
        <v>4.3717136577470225E-13</v>
      </c>
      <c r="DQ188" s="13">
        <f t="shared" si="176"/>
        <v>5.5313598682231701E-12</v>
      </c>
      <c r="DR188" s="20">
        <f t="shared" si="177"/>
        <v>1.039519189921296E-11</v>
      </c>
      <c r="DS188" s="59">
        <f t="shared" si="125"/>
        <v>291.74976893119674</v>
      </c>
      <c r="DT188" s="59">
        <f ca="1">AVERAGE(OFFSET($DS$3,0,0,'Données projet'!$E$14+1,1))-AVERAGE(OFFSET($H$3,0,0,'Données projet'!$E$14+1,1))</f>
        <v>602.02351907077332</v>
      </c>
      <c r="DU188" s="59">
        <f t="shared" si="152"/>
        <v>278.08067690827272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178.83282341512952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178.83282341512952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69.568118799414449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69.568118799414449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69.568118799414449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69.568118799414449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2.2000000000000002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8.0666666666666682</v>
      </c>
      <c r="H189" s="67">
        <f t="shared" si="110"/>
        <v>224.4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69.57561097270289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360.09035401555587</v>
      </c>
      <c r="T189" s="59">
        <f t="shared" si="142"/>
        <v>266.54879627869821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21.084201536673532</v>
      </c>
      <c r="AA189" s="21">
        <f>EXP(-LN(2)/25)*AA188+(1-EXP(-LN(2)/25))/(LN(2)/25)*Calculateur!V189*Calculateur!X189*VLOOKUP('Données projet'!$B$9,Paramètres!$A$1:$I$89,3,0)*0.475*44/12</f>
        <v>4.2729887508145437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25.357190287488077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69.57561097270289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-2.8421709430404007E-14</v>
      </c>
      <c r="AJ189" s="13">
        <f>AI189*VLOOKUP('Données projet'!$B$10,Paramètres!$A$1:$I$89,3,0)*VLOOKUP('Données projet'!$B$10,Paramètres!$A$1:$I$89,5,0)</f>
        <v>-2.3942448024172337E-14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377.26246345103175</v>
      </c>
      <c r="AO189" s="59">
        <f t="shared" si="144"/>
        <v>258.25890564000258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39.719071770967943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39.719071770967943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69.57561097270289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2.2737367544323206E-13</v>
      </c>
      <c r="BE189" s="13">
        <f>BD189*VLOOKUP('Données projet'!$B$11,Paramètres!$A$1:$I$89,3,0)*VLOOKUP('Données projet'!$B$11,Paramètres!$A$1:$I$89,5,0)</f>
        <v>1.0049916454590858E-13</v>
      </c>
      <c r="BF189" s="13">
        <f t="shared" si="167"/>
        <v>1.5089081593838289E-12</v>
      </c>
      <c r="BG189" s="20">
        <f t="shared" si="168"/>
        <v>2.8030510891776262E-12</v>
      </c>
      <c r="BH189" s="59">
        <f t="shared" si="116"/>
        <v>291.77724023324674</v>
      </c>
      <c r="BI189" s="59">
        <f ca="1">AVERAGE(OFFSET($BH$3,0,0,'Données projet'!$E$11+1,1))-AVERAGE(OFFSET($H$3,0,0,'Données projet'!$E$11+1,1))</f>
        <v>333.23043896066253</v>
      </c>
      <c r="BJ189" s="59">
        <f t="shared" si="146"/>
        <v>440.63438368668983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13.611890211032781</v>
      </c>
      <c r="BQ189" s="21">
        <f>EXP(-LN(2)/25)*BQ188+(1-EXP(-LN(2)/25))/(LN(2)/25)*Calculateur!BL189*Calculateur!BN189*VLOOKUP('Données projet'!$B$11,Paramètres!$A$1:$I$89,3,0)*0.475*44/12</f>
        <v>3.5685412189725754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17.180431430005356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69.57561097270289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1.1368683772161603E-13</v>
      </c>
      <c r="BZ189" s="13">
        <f>BY189*VLOOKUP('Données projet'!$B$12,Paramètres!$A$1:$I$89,3,0)*VLOOKUP('Données projet'!$B$12,Paramètres!$A$1:$I$89,5,0)</f>
        <v>4.5815795601811263E-14</v>
      </c>
      <c r="CA189" s="13">
        <f t="shared" si="170"/>
        <v>7.5374618042508364E-13</v>
      </c>
      <c r="CB189" s="20">
        <f t="shared" si="171"/>
        <v>1.392570441580175E-12</v>
      </c>
      <c r="CC189" s="59">
        <f t="shared" si="119"/>
        <v>291.77724023324532</v>
      </c>
      <c r="CD189" s="59">
        <f ca="1">AVERAGE(OFFSET($CC$3,0,0,'Données projet'!$E$12+1,1))-AVERAGE(OFFSET($H$3,0,0,'Données projet'!$E$12+1,1))</f>
        <v>177.34129362526608</v>
      </c>
      <c r="CE189" s="59">
        <f t="shared" si="148"/>
        <v>156.93407673501022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10.508400405758277</v>
      </c>
      <c r="CL189" s="21">
        <f>EXP(-LN(2)/25)*CL188+(1-EXP(-LN(2)/25))/(LN(2)/25)*Calculateur!CG189*Calculateur!CI189*VLOOKUP('Données projet'!$B$12,Paramètres!$A$1:$I$89,3,0)*0.475*44/12</f>
        <v>2.2441257077075765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12.752526113465853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69.57561097270289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8.5265128291212022E-14</v>
      </c>
      <c r="CU189" s="17">
        <f>CT189*VLOOKUP('Données projet'!$B$13,Paramètres!$A$1:$I$89,3,0)*VLOOKUP('Données projet'!$B$13,Paramètres!$A$1:$I$89,5,0)</f>
        <v>5.5865712056402117E-14</v>
      </c>
      <c r="CV189" s="13">
        <f t="shared" si="173"/>
        <v>8.9811031843713517E-13</v>
      </c>
      <c r="CW189" s="20">
        <f t="shared" si="174"/>
        <v>1.6615082531095774E-12</v>
      </c>
      <c r="CX189" s="59">
        <f t="shared" si="122"/>
        <v>291.77724023324561</v>
      </c>
      <c r="CY189" s="59">
        <f ca="1">AVERAGE(OFFSET($CX$3,0,0,'Données projet'!$E$13+1,1))-AVERAGE(OFFSET($H$3,0,0,'Données projet'!$E$13+1,1))</f>
        <v>267.49254683294629</v>
      </c>
      <c r="CZ189" s="59">
        <f t="shared" si="150"/>
        <v>278.02595256967254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9.4202363525625401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9.4202363525625401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69.57561097270289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4.8316906031686813E-13</v>
      </c>
      <c r="DP189" s="17">
        <f>DO189*VLOOKUP('Données projet'!$B$14,Paramètres!$A$1:$I$89,3,0)*VLOOKUP('Données projet'!$B$14,Paramètres!$A$1:$I$89,5,0)</f>
        <v>4.3717136577470225E-13</v>
      </c>
      <c r="DQ189" s="13">
        <f t="shared" si="176"/>
        <v>5.5313598682231701E-12</v>
      </c>
      <c r="DR189" s="20">
        <f t="shared" si="177"/>
        <v>1.039519189921296E-11</v>
      </c>
      <c r="DS189" s="59">
        <f t="shared" si="125"/>
        <v>291.77724023325436</v>
      </c>
      <c r="DT189" s="59">
        <f ca="1">AVERAGE(OFFSET($DS$3,0,0,'Données projet'!$E$14+1,1))-AVERAGE(OFFSET($H$3,0,0,'Données projet'!$E$14+1,1))</f>
        <v>602.02351907077332</v>
      </c>
      <c r="DU189" s="59">
        <f t="shared" si="152"/>
        <v>278.08067690827272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175.32602082521063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175.32602082521063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69.57561097270289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69.57561097270289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69.57561097270289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69.57561097270289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2.2000000000000002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8.0666666666666682</v>
      </c>
      <c r="H190" s="67">
        <f t="shared" si="110"/>
        <v>224.4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69.582973173534768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360.09035401555587</v>
      </c>
      <c r="T190" s="59">
        <f t="shared" si="142"/>
        <v>266.54879627869821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20.670753204632472</v>
      </c>
      <c r="AA190" s="21">
        <f>EXP(-LN(2)/25)*AA189+(1-EXP(-LN(2)/25))/(LN(2)/25)*Calculateur!V190*Calculateur!X190*VLOOKUP('Données projet'!$B$9,Paramètres!$A$1:$I$89,3,0)*0.475*44/12</f>
        <v>4.1561436487168075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24.826896853349279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69.582973173534768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-2.8421709430404007E-14</v>
      </c>
      <c r="AJ190" s="13">
        <f>AI190*VLOOKUP('Données projet'!$B$10,Paramètres!$A$1:$I$89,3,0)*VLOOKUP('Données projet'!$B$10,Paramètres!$A$1:$I$89,5,0)</f>
        <v>-2.3942448024172337E-14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377.26246345103175</v>
      </c>
      <c r="AO190" s="59">
        <f t="shared" si="144"/>
        <v>258.25890564000258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38.940204999780903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38.940204999780903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69.582973173534768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2.2737367544323206E-13</v>
      </c>
      <c r="BE190" s="13">
        <f>BD190*VLOOKUP('Données projet'!$B$11,Paramètres!$A$1:$I$89,3,0)*VLOOKUP('Données projet'!$B$11,Paramètres!$A$1:$I$89,5,0)</f>
        <v>1.0049916454590858E-13</v>
      </c>
      <c r="BF190" s="13">
        <f t="shared" si="167"/>
        <v>1.5089081593838289E-12</v>
      </c>
      <c r="BG190" s="20">
        <f t="shared" si="168"/>
        <v>2.8030510891776262E-12</v>
      </c>
      <c r="BH190" s="59">
        <f t="shared" si="116"/>
        <v>291.80423496963027</v>
      </c>
      <c r="BI190" s="59">
        <f ca="1">AVERAGE(OFFSET($BH$3,0,0,'Données projet'!$E$11+1,1))-AVERAGE(OFFSET($H$3,0,0,'Données projet'!$E$11+1,1))</f>
        <v>333.23043896066253</v>
      </c>
      <c r="BJ190" s="59">
        <f t="shared" si="146"/>
        <v>440.63438368668983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13.344969346427661</v>
      </c>
      <c r="BQ190" s="21">
        <f>EXP(-LN(2)/25)*BQ189+(1-EXP(-LN(2)/25))/(LN(2)/25)*Calculateur!BL190*Calculateur!BN190*VLOOKUP('Données projet'!$B$11,Paramètres!$A$1:$I$89,3,0)*0.475*44/12</f>
        <v>3.4709592716783435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16.815928618106003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69.582973173534768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1.1368683772161603E-13</v>
      </c>
      <c r="BZ190" s="13">
        <f>BY190*VLOOKUP('Données projet'!$B$12,Paramètres!$A$1:$I$89,3,0)*VLOOKUP('Données projet'!$B$12,Paramètres!$A$1:$I$89,5,0)</f>
        <v>4.5815795601811263E-14</v>
      </c>
      <c r="CA190" s="13">
        <f t="shared" si="170"/>
        <v>7.5374618042508364E-13</v>
      </c>
      <c r="CB190" s="20">
        <f t="shared" si="171"/>
        <v>1.392570441580175E-12</v>
      </c>
      <c r="CC190" s="59">
        <f t="shared" si="119"/>
        <v>291.80423496962885</v>
      </c>
      <c r="CD190" s="59">
        <f ca="1">AVERAGE(OFFSET($CC$3,0,0,'Données projet'!$E$12+1,1))-AVERAGE(OFFSET($H$3,0,0,'Données projet'!$E$12+1,1))</f>
        <v>177.34129362526608</v>
      </c>
      <c r="CE190" s="59">
        <f t="shared" si="148"/>
        <v>156.93407673501022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10.30233708329272</v>
      </c>
      <c r="CL190" s="21">
        <f>EXP(-LN(2)/25)*CL189+(1-EXP(-LN(2)/25))/(LN(2)/25)*Calculateur!CG190*Calculateur!CI190*VLOOKUP('Données projet'!$B$12,Paramètres!$A$1:$I$89,3,0)*0.475*44/12</f>
        <v>2.1827599722168709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12.485097055509591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69.582973173534768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8.5265128291212022E-14</v>
      </c>
      <c r="CU190" s="17">
        <f>CT190*VLOOKUP('Données projet'!$B$13,Paramètres!$A$1:$I$89,3,0)*VLOOKUP('Données projet'!$B$13,Paramètres!$A$1:$I$89,5,0)</f>
        <v>5.5865712056402117E-14</v>
      </c>
      <c r="CV190" s="13">
        <f t="shared" si="173"/>
        <v>8.9811031843713517E-13</v>
      </c>
      <c r="CW190" s="20">
        <f t="shared" si="174"/>
        <v>1.6615082531095774E-12</v>
      </c>
      <c r="CX190" s="59">
        <f t="shared" si="122"/>
        <v>291.80423496962914</v>
      </c>
      <c r="CY190" s="59">
        <f ca="1">AVERAGE(OFFSET($CX$3,0,0,'Données projet'!$E$13+1,1))-AVERAGE(OFFSET($H$3,0,0,'Données projet'!$E$13+1,1))</f>
        <v>267.49254683294629</v>
      </c>
      <c r="CZ190" s="59">
        <f t="shared" si="150"/>
        <v>278.02595256967254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9.2355112634656162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9.2355112634656162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69.582973173534768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4.8316906031686813E-13</v>
      </c>
      <c r="DP190" s="17">
        <f>DO190*VLOOKUP('Données projet'!$B$14,Paramètres!$A$1:$I$89,3,0)*VLOOKUP('Données projet'!$B$14,Paramètres!$A$1:$I$89,5,0)</f>
        <v>4.3717136577470225E-13</v>
      </c>
      <c r="DQ190" s="13">
        <f t="shared" si="176"/>
        <v>5.5313598682231701E-12</v>
      </c>
      <c r="DR190" s="20">
        <f t="shared" si="177"/>
        <v>1.039519189921296E-11</v>
      </c>
      <c r="DS190" s="59">
        <f t="shared" si="125"/>
        <v>291.80423496963789</v>
      </c>
      <c r="DT190" s="59">
        <f ca="1">AVERAGE(OFFSET($DS$3,0,0,'Données projet'!$E$14+1,1))-AVERAGE(OFFSET($H$3,0,0,'Données projet'!$E$14+1,1))</f>
        <v>602.02351907077332</v>
      </c>
      <c r="DU190" s="59">
        <f t="shared" si="152"/>
        <v>278.08067690827272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171.88798449514167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171.88798449514167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69.582973173534768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69.582973173534768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69.582973173534768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69.582973173534768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2.2000000000000002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8.0666666666666682</v>
      </c>
      <c r="H191" s="67">
        <f t="shared" si="110"/>
        <v>224.4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69.590207656641638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360.09035401555587</v>
      </c>
      <c r="T191" s="59">
        <f t="shared" si="142"/>
        <v>266.54879627869821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20.265412342204158</v>
      </c>
      <c r="AA191" s="21">
        <f>EXP(-LN(2)/25)*AA190+(1-EXP(-LN(2)/25))/(LN(2)/25)*Calculateur!V191*Calculateur!X191*VLOOKUP('Données projet'!$B$9,Paramètres!$A$1:$I$89,3,0)*0.475*44/12</f>
        <v>4.0424936820805506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24.307906024284708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69.590207656641638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-2.8421709430404007E-14</v>
      </c>
      <c r="AJ191" s="13">
        <f>AI191*VLOOKUP('Données projet'!$B$10,Paramètres!$A$1:$I$89,3,0)*VLOOKUP('Données projet'!$B$10,Paramètres!$A$1:$I$89,5,0)</f>
        <v>-2.3942448024172337E-14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377.26246345103175</v>
      </c>
      <c r="AO191" s="59">
        <f t="shared" si="144"/>
        <v>258.25890564000258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38.176611330915016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38.176611330915016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69.590207656641638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2.2737367544323206E-13</v>
      </c>
      <c r="BE191" s="13">
        <f>BD191*VLOOKUP('Données projet'!$B$11,Paramètres!$A$1:$I$89,3,0)*VLOOKUP('Données projet'!$B$11,Paramètres!$A$1:$I$89,5,0)</f>
        <v>1.0049916454590858E-13</v>
      </c>
      <c r="BF191" s="13">
        <f t="shared" si="167"/>
        <v>1.5089081593838289E-12</v>
      </c>
      <c r="BG191" s="20">
        <f t="shared" si="168"/>
        <v>2.8030510891776262E-12</v>
      </c>
      <c r="BH191" s="59">
        <f t="shared" si="116"/>
        <v>291.83076140768878</v>
      </c>
      <c r="BI191" s="59">
        <f ca="1">AVERAGE(OFFSET($BH$3,0,0,'Données projet'!$E$11+1,1))-AVERAGE(OFFSET($H$3,0,0,'Données projet'!$E$11+1,1))</f>
        <v>333.23043896066253</v>
      </c>
      <c r="BJ191" s="59">
        <f t="shared" si="146"/>
        <v>440.63438368668983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13.083282637171793</v>
      </c>
      <c r="BQ191" s="21">
        <f>EXP(-LN(2)/25)*BQ190+(1-EXP(-LN(2)/25))/(LN(2)/25)*Calculateur!BL191*Calculateur!BN191*VLOOKUP('Données projet'!$B$11,Paramètres!$A$1:$I$89,3,0)*0.475*44/12</f>
        <v>3.3760457078644839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16.459328345036276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69.590207656641638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1.1368683772161603E-13</v>
      </c>
      <c r="BZ191" s="13">
        <f>BY191*VLOOKUP('Données projet'!$B$12,Paramètres!$A$1:$I$89,3,0)*VLOOKUP('Données projet'!$B$12,Paramètres!$A$1:$I$89,5,0)</f>
        <v>4.5815795601811263E-14</v>
      </c>
      <c r="CA191" s="13">
        <f t="shared" si="170"/>
        <v>7.5374618042508364E-13</v>
      </c>
      <c r="CB191" s="20">
        <f t="shared" si="171"/>
        <v>1.392570441580175E-12</v>
      </c>
      <c r="CC191" s="59">
        <f t="shared" si="119"/>
        <v>291.83076140768736</v>
      </c>
      <c r="CD191" s="59">
        <f ca="1">AVERAGE(OFFSET($CC$3,0,0,'Données projet'!$E$12+1,1))-AVERAGE(OFFSET($H$3,0,0,'Données projet'!$E$12+1,1))</f>
        <v>177.34129362526608</v>
      </c>
      <c r="CE191" s="59">
        <f t="shared" si="148"/>
        <v>156.93407673501022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10.100314536894496</v>
      </c>
      <c r="CL191" s="21">
        <f>EXP(-LN(2)/25)*CL190+(1-EXP(-LN(2)/25))/(LN(2)/25)*Calculateur!CG191*Calculateur!CI191*VLOOKUP('Données projet'!$B$12,Paramètres!$A$1:$I$89,3,0)*0.475*44/12</f>
        <v>2.1230722859902422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12.223386822884738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69.590207656641638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8.5265128291212022E-14</v>
      </c>
      <c r="CU191" s="17">
        <f>CT191*VLOOKUP('Données projet'!$B$13,Paramètres!$A$1:$I$89,3,0)*VLOOKUP('Données projet'!$B$13,Paramètres!$A$1:$I$89,5,0)</f>
        <v>5.5865712056402117E-14</v>
      </c>
      <c r="CV191" s="13">
        <f t="shared" si="173"/>
        <v>8.9811031843713517E-13</v>
      </c>
      <c r="CW191" s="20">
        <f t="shared" si="174"/>
        <v>1.6615082531095774E-12</v>
      </c>
      <c r="CX191" s="59">
        <f t="shared" si="122"/>
        <v>291.83076140768765</v>
      </c>
      <c r="CY191" s="59">
        <f ca="1">AVERAGE(OFFSET($CX$3,0,0,'Données projet'!$E$13+1,1))-AVERAGE(OFFSET($H$3,0,0,'Données projet'!$E$13+1,1))</f>
        <v>267.49254683294629</v>
      </c>
      <c r="CZ191" s="59">
        <f t="shared" si="150"/>
        <v>278.02595256967254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9.0544085206947038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9.0544085206947038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69.590207656641638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4.8316906031686813E-13</v>
      </c>
      <c r="DP191" s="17">
        <f>DO191*VLOOKUP('Données projet'!$B$14,Paramètres!$A$1:$I$89,3,0)*VLOOKUP('Données projet'!$B$14,Paramètres!$A$1:$I$89,5,0)</f>
        <v>4.3717136577470225E-13</v>
      </c>
      <c r="DQ191" s="13">
        <f t="shared" si="176"/>
        <v>5.5313598682231701E-12</v>
      </c>
      <c r="DR191" s="20">
        <f t="shared" si="177"/>
        <v>1.039519189921296E-11</v>
      </c>
      <c r="DS191" s="59">
        <f t="shared" si="125"/>
        <v>291.8307614076964</v>
      </c>
      <c r="DT191" s="59">
        <f ca="1">AVERAGE(OFFSET($DS$3,0,0,'Données projet'!$E$14+1,1))-AVERAGE(OFFSET($H$3,0,0,'Données projet'!$E$14+1,1))</f>
        <v>602.02351907077332</v>
      </c>
      <c r="DU191" s="59">
        <f t="shared" si="152"/>
        <v>278.08067690827272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168.51736596051026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168.51736596051026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69.590207656641638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69.590207656641638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69.590207656641638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69.590207656641638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2.2000000000000002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8.0666666666666682</v>
      </c>
      <c r="H192" s="67">
        <f t="shared" si="110"/>
        <v>224.4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69.597316637640461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360.09035401555587</v>
      </c>
      <c r="T192" s="59">
        <f t="shared" si="142"/>
        <v>266.54879627869821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19.868019966854547</v>
      </c>
      <c r="AA192" s="21">
        <f>EXP(-LN(2)/25)*AA191+(1-EXP(-LN(2)/25))/(LN(2)/25)*Calculateur!V192*Calculateur!X192*VLOOKUP('Données projet'!$B$9,Paramètres!$A$1:$I$89,3,0)*0.475*44/12</f>
        <v>3.9319514797585544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23.7999714466131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69.597316637640461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-2.8421709430404007E-14</v>
      </c>
      <c r="AJ192" s="13">
        <f>AI192*VLOOKUP('Données projet'!$B$10,Paramètres!$A$1:$I$89,3,0)*VLOOKUP('Données projet'!$B$10,Paramètres!$A$1:$I$89,5,0)</f>
        <v>-2.3942448024172337E-14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377.26246345103175</v>
      </c>
      <c r="AO192" s="59">
        <f t="shared" si="144"/>
        <v>258.25890564000258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37.427991268149441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37.427991268149441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69.597316637640461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2.2737367544323206E-13</v>
      </c>
      <c r="BE192" s="13">
        <f>BD192*VLOOKUP('Données projet'!$B$11,Paramètres!$A$1:$I$89,3,0)*VLOOKUP('Données projet'!$B$11,Paramètres!$A$1:$I$89,5,0)</f>
        <v>1.0049916454590858E-13</v>
      </c>
      <c r="BF192" s="13">
        <f t="shared" si="167"/>
        <v>1.5089081593838289E-12</v>
      </c>
      <c r="BG192" s="20">
        <f t="shared" si="168"/>
        <v>2.8030510891776262E-12</v>
      </c>
      <c r="BH192" s="59">
        <f t="shared" si="116"/>
        <v>291.85682767135114</v>
      </c>
      <c r="BI192" s="59">
        <f ca="1">AVERAGE(OFFSET($BH$3,0,0,'Données projet'!$E$11+1,1))-AVERAGE(OFFSET($H$3,0,0,'Données projet'!$E$11+1,1))</f>
        <v>333.23043896066253</v>
      </c>
      <c r="BJ192" s="59">
        <f t="shared" si="146"/>
        <v>440.63438368668983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12.826727444671302</v>
      </c>
      <c r="BQ192" s="21">
        <f>EXP(-LN(2)/25)*BQ191+(1-EXP(-LN(2)/25))/(LN(2)/25)*Calculateur!BL192*Calculateur!BN192*VLOOKUP('Données projet'!$B$11,Paramètres!$A$1:$I$89,3,0)*0.475*44/12</f>
        <v>3.2837275604444018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16.110455005115703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69.597316637640461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1.1368683772161603E-13</v>
      </c>
      <c r="BZ192" s="13">
        <f>BY192*VLOOKUP('Données projet'!$B$12,Paramètres!$A$1:$I$89,3,0)*VLOOKUP('Données projet'!$B$12,Paramètres!$A$1:$I$89,5,0)</f>
        <v>4.5815795601811263E-14</v>
      </c>
      <c r="CA192" s="13">
        <f t="shared" si="170"/>
        <v>7.5374618042508364E-13</v>
      </c>
      <c r="CB192" s="20">
        <f t="shared" si="171"/>
        <v>1.392570441580175E-12</v>
      </c>
      <c r="CC192" s="59">
        <f t="shared" si="119"/>
        <v>291.85682767134972</v>
      </c>
      <c r="CD192" s="59">
        <f ca="1">AVERAGE(OFFSET($CC$3,0,0,'Données projet'!$E$12+1,1))-AVERAGE(OFFSET($H$3,0,0,'Données projet'!$E$12+1,1))</f>
        <v>177.34129362526608</v>
      </c>
      <c r="CE192" s="59">
        <f t="shared" si="148"/>
        <v>156.93407673501022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9.9022535294095562</v>
      </c>
      <c r="CL192" s="21">
        <f>EXP(-LN(2)/25)*CL191+(1-EXP(-LN(2)/25))/(LN(2)/25)*Calculateur!CG192*Calculateur!CI192*VLOOKUP('Données projet'!$B$12,Paramètres!$A$1:$I$89,3,0)*0.475*44/12</f>
        <v>2.0650167626823199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11.967270292091875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69.597316637640461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8.5265128291212022E-14</v>
      </c>
      <c r="CU192" s="17">
        <f>CT192*VLOOKUP('Données projet'!$B$13,Paramètres!$A$1:$I$89,3,0)*VLOOKUP('Données projet'!$B$13,Paramètres!$A$1:$I$89,5,0)</f>
        <v>5.5865712056402117E-14</v>
      </c>
      <c r="CV192" s="13">
        <f t="shared" si="173"/>
        <v>8.9811031843713517E-13</v>
      </c>
      <c r="CW192" s="20">
        <f t="shared" si="174"/>
        <v>1.6615082531095774E-12</v>
      </c>
      <c r="CX192" s="59">
        <f t="shared" si="122"/>
        <v>291.85682767135</v>
      </c>
      <c r="CY192" s="59">
        <f ca="1">AVERAGE(OFFSET($CX$3,0,0,'Données projet'!$E$13+1,1))-AVERAGE(OFFSET($H$3,0,0,'Données projet'!$E$13+1,1))</f>
        <v>267.49254683294629</v>
      </c>
      <c r="CZ192" s="59">
        <f t="shared" si="150"/>
        <v>278.02595256967254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8.8768570922477625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8.8768570922477625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69.597316637640461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4.8316906031686813E-13</v>
      </c>
      <c r="DP192" s="17">
        <f>DO192*VLOOKUP('Données projet'!$B$14,Paramètres!$A$1:$I$89,3,0)*VLOOKUP('Données projet'!$B$14,Paramètres!$A$1:$I$89,5,0)</f>
        <v>4.3717136577470225E-13</v>
      </c>
      <c r="DQ192" s="13">
        <f t="shared" si="176"/>
        <v>5.5313598682231701E-12</v>
      </c>
      <c r="DR192" s="20">
        <f t="shared" si="177"/>
        <v>1.039519189921296E-11</v>
      </c>
      <c r="DS192" s="59">
        <f t="shared" si="125"/>
        <v>291.85682767135876</v>
      </c>
      <c r="DT192" s="59">
        <f ca="1">AVERAGE(OFFSET($DS$3,0,0,'Données projet'!$E$14+1,1))-AVERAGE(OFFSET($H$3,0,0,'Données projet'!$E$14+1,1))</f>
        <v>602.02351907077332</v>
      </c>
      <c r="DU192" s="59">
        <f t="shared" si="152"/>
        <v>278.08067690827272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165.21284319946867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165.21284319946867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69.597316637640461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69.597316637640461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69.597316637640461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69.597316637640461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2.2000000000000002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8.0666666666666682</v>
      </c>
      <c r="H193" s="67">
        <f t="shared" si="110"/>
        <v>224.4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69.60430229371228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360.09035401555587</v>
      </c>
      <c r="T193" s="59">
        <f t="shared" si="142"/>
        <v>266.54879627869821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19.478420213600128</v>
      </c>
      <c r="AA193" s="21">
        <f>EXP(-LN(2)/25)*AA192+(1-EXP(-LN(2)/25))/(LN(2)/25)*Calculateur!V193*Calculateur!X193*VLOOKUP('Données projet'!$B$9,Paramètres!$A$1:$I$89,3,0)*0.475*44/12</f>
        <v>3.824432059772215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23.302852273372341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69.60430229371228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-2.8421709430404007E-14</v>
      </c>
      <c r="AJ193" s="13">
        <f>AI193*VLOOKUP('Données projet'!$B$10,Paramètres!$A$1:$I$89,3,0)*VLOOKUP('Données projet'!$B$10,Paramètres!$A$1:$I$89,5,0)</f>
        <v>-2.3942448024172337E-14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377.26246345103175</v>
      </c>
      <c r="AO193" s="59">
        <f t="shared" si="144"/>
        <v>258.25890564000258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36.694051188201549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36.694051188201549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69.60430229371228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2.2737367544323206E-13</v>
      </c>
      <c r="BE193" s="13">
        <f>BD193*VLOOKUP('Données projet'!$B$11,Paramètres!$A$1:$I$89,3,0)*VLOOKUP('Données projet'!$B$11,Paramètres!$A$1:$I$89,5,0)</f>
        <v>1.0049916454590858E-13</v>
      </c>
      <c r="BF193" s="13">
        <f t="shared" si="167"/>
        <v>1.5089081593838289E-12</v>
      </c>
      <c r="BG193" s="20">
        <f t="shared" si="168"/>
        <v>2.8030510891776262E-12</v>
      </c>
      <c r="BH193" s="59">
        <f t="shared" si="116"/>
        <v>291.88244174361449</v>
      </c>
      <c r="BI193" s="59">
        <f ca="1">AVERAGE(OFFSET($BH$3,0,0,'Données projet'!$E$11+1,1))-AVERAGE(OFFSET($H$3,0,0,'Données projet'!$E$11+1,1))</f>
        <v>333.23043896066253</v>
      </c>
      <c r="BJ193" s="59">
        <f t="shared" si="146"/>
        <v>440.63438368668983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12.57520314301253</v>
      </c>
      <c r="BQ193" s="21">
        <f>EXP(-LN(2)/25)*BQ192+(1-EXP(-LN(2)/25))/(LN(2)/25)*Calculateur!BL193*Calculateur!BN193*VLOOKUP('Données projet'!$B$11,Paramètres!$A$1:$I$89,3,0)*0.475*44/12</f>
        <v>3.1939338576203222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15.769137000632853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69.60430229371228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1.1368683772161603E-13</v>
      </c>
      <c r="BZ193" s="13">
        <f>BY193*VLOOKUP('Données projet'!$B$12,Paramètres!$A$1:$I$89,3,0)*VLOOKUP('Données projet'!$B$12,Paramètres!$A$1:$I$89,5,0)</f>
        <v>4.5815795601811263E-14</v>
      </c>
      <c r="CA193" s="13">
        <f t="shared" si="170"/>
        <v>7.5374618042508364E-13</v>
      </c>
      <c r="CB193" s="20">
        <f t="shared" si="171"/>
        <v>1.392570441580175E-12</v>
      </c>
      <c r="CC193" s="59">
        <f t="shared" si="119"/>
        <v>291.88244174361307</v>
      </c>
      <c r="CD193" s="59">
        <f ca="1">AVERAGE(OFFSET($CC$3,0,0,'Données projet'!$E$12+1,1))-AVERAGE(OFFSET($H$3,0,0,'Données projet'!$E$12+1,1))</f>
        <v>177.34129362526608</v>
      </c>
      <c r="CE193" s="59">
        <f t="shared" si="148"/>
        <v>156.93407673501022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9.7080763774761092</v>
      </c>
      <c r="CL193" s="21">
        <f>EXP(-LN(2)/25)*CL192+(1-EXP(-LN(2)/25))/(LN(2)/25)*Calculateur!CG193*Calculateur!CI193*VLOOKUP('Données projet'!$B$12,Paramètres!$A$1:$I$89,3,0)*0.475*44/12</f>
        <v>2.00854877071226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11.716625148188369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69.60430229371228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8.5265128291212022E-14</v>
      </c>
      <c r="CU193" s="17">
        <f>CT193*VLOOKUP('Données projet'!$B$13,Paramètres!$A$1:$I$89,3,0)*VLOOKUP('Données projet'!$B$13,Paramètres!$A$1:$I$89,5,0)</f>
        <v>5.5865712056402117E-14</v>
      </c>
      <c r="CV193" s="13">
        <f t="shared" si="173"/>
        <v>8.9811031843713517E-13</v>
      </c>
      <c r="CW193" s="20">
        <f t="shared" si="174"/>
        <v>1.6615082531095774E-12</v>
      </c>
      <c r="CX193" s="59">
        <f t="shared" si="122"/>
        <v>291.88244174361336</v>
      </c>
      <c r="CY193" s="59">
        <f ca="1">AVERAGE(OFFSET($CX$3,0,0,'Données projet'!$E$13+1,1))-AVERAGE(OFFSET($H$3,0,0,'Données projet'!$E$13+1,1))</f>
        <v>267.49254683294629</v>
      </c>
      <c r="CZ193" s="59">
        <f t="shared" si="150"/>
        <v>278.02595256967254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8.7027873390169876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8.7027873390169876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69.60430229371228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4.8316906031686813E-13</v>
      </c>
      <c r="DP193" s="17">
        <f>DO193*VLOOKUP('Données projet'!$B$14,Paramètres!$A$1:$I$89,3,0)*VLOOKUP('Données projet'!$B$14,Paramètres!$A$1:$I$89,5,0)</f>
        <v>4.3717136577470225E-13</v>
      </c>
      <c r="DQ193" s="13">
        <f t="shared" si="176"/>
        <v>5.5313598682231701E-12</v>
      </c>
      <c r="DR193" s="20">
        <f t="shared" si="177"/>
        <v>1.039519189921296E-11</v>
      </c>
      <c r="DS193" s="59">
        <f t="shared" si="125"/>
        <v>291.88244174362211</v>
      </c>
      <c r="DT193" s="59">
        <f ca="1">AVERAGE(OFFSET($DS$3,0,0,'Données projet'!$E$14+1,1))-AVERAGE(OFFSET($H$3,0,0,'Données projet'!$E$14+1,1))</f>
        <v>602.02351907077332</v>
      </c>
      <c r="DU193" s="59">
        <f t="shared" si="152"/>
        <v>278.08067690827272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161.97312011421124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161.97312011421124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69.60430229371228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69.60430229371228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69.60430229371228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69.60430229371228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2.2000000000000002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8.0666666666666682</v>
      </c>
      <c r="H194" s="67">
        <f t="shared" si="110"/>
        <v>224.4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69.61116676426883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360.09035401555587</v>
      </c>
      <c r="T194" s="59">
        <f t="shared" si="142"/>
        <v>266.54879627869821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19.096460273874641</v>
      </c>
      <c r="AA194" s="21">
        <f>EXP(-LN(2)/25)*AA193+(1-EXP(-LN(2)/25))/(LN(2)/25)*Calculateur!V194*Calculateur!X194*VLOOKUP('Données projet'!$B$9,Paramètres!$A$1:$I$89,3,0)*0.475*44/12</f>
        <v>3.7198527639796026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22.816313037854243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69.61116676426883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-2.8421709430404007E-14</v>
      </c>
      <c r="AJ194" s="13">
        <f>AI194*VLOOKUP('Données projet'!$B$10,Paramètres!$A$1:$I$89,3,0)*VLOOKUP('Données projet'!$B$10,Paramètres!$A$1:$I$89,5,0)</f>
        <v>-2.3942448024172337E-14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377.26246345103175</v>
      </c>
      <c r="AO194" s="59">
        <f t="shared" si="144"/>
        <v>258.25890564000258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35.974503225562188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35.974503225562188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69.61116676426883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2.2737367544323206E-13</v>
      </c>
      <c r="BE194" s="13">
        <f>BD194*VLOOKUP('Données projet'!$B$11,Paramètres!$A$1:$I$89,3,0)*VLOOKUP('Données projet'!$B$11,Paramètres!$A$1:$I$89,5,0)</f>
        <v>1.0049916454590858E-13</v>
      </c>
      <c r="BF194" s="13">
        <f t="shared" si="167"/>
        <v>1.5089081593838289E-12</v>
      </c>
      <c r="BG194" s="20">
        <f t="shared" si="168"/>
        <v>2.8030510891776262E-12</v>
      </c>
      <c r="BH194" s="59">
        <f t="shared" si="116"/>
        <v>291.90761146898853</v>
      </c>
      <c r="BI194" s="59">
        <f ca="1">AVERAGE(OFFSET($BH$3,0,0,'Données projet'!$E$11+1,1))-AVERAGE(OFFSET($H$3,0,0,'Données projet'!$E$11+1,1))</f>
        <v>333.23043896066253</v>
      </c>
      <c r="BJ194" s="59">
        <f t="shared" si="146"/>
        <v>440.63438368668983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12.32861107949461</v>
      </c>
      <c r="BQ194" s="21">
        <f>EXP(-LN(2)/25)*BQ193+(1-EXP(-LN(2)/25))/(LN(2)/25)*Calculateur!BL194*Calculateur!BN194*VLOOKUP('Données projet'!$B$11,Paramètres!$A$1:$I$89,3,0)*0.475*44/12</f>
        <v>3.1065955683220126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15.435206647816623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69.61116676426883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1.1368683772161603E-13</v>
      </c>
      <c r="BZ194" s="13">
        <f>BY194*VLOOKUP('Données projet'!$B$12,Paramètres!$A$1:$I$89,3,0)*VLOOKUP('Données projet'!$B$12,Paramètres!$A$1:$I$89,5,0)</f>
        <v>4.5815795601811263E-14</v>
      </c>
      <c r="CA194" s="13">
        <f t="shared" si="170"/>
        <v>7.5374618042508364E-13</v>
      </c>
      <c r="CB194" s="20">
        <f t="shared" si="171"/>
        <v>1.392570441580175E-12</v>
      </c>
      <c r="CC194" s="59">
        <f t="shared" si="119"/>
        <v>291.90761146898711</v>
      </c>
      <c r="CD194" s="59">
        <f ca="1">AVERAGE(OFFSET($CC$3,0,0,'Données projet'!$E$12+1,1))-AVERAGE(OFFSET($H$3,0,0,'Données projet'!$E$12+1,1))</f>
        <v>177.34129362526608</v>
      </c>
      <c r="CE194" s="59">
        <f t="shared" si="148"/>
        <v>156.93407673501022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9.5177069210557086</v>
      </c>
      <c r="CL194" s="21">
        <f>EXP(-LN(2)/25)*CL193+(1-EXP(-LN(2)/25))/(LN(2)/25)*Calculateur!CG194*Calculateur!CI194*VLOOKUP('Données projet'!$B$12,Paramètres!$A$1:$I$89,3,0)*0.475*44/12</f>
        <v>1.9536248989521441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11.471331820007853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69.61116676426883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8.5265128291212022E-14</v>
      </c>
      <c r="CU194" s="17">
        <f>CT194*VLOOKUP('Données projet'!$B$13,Paramètres!$A$1:$I$89,3,0)*VLOOKUP('Données projet'!$B$13,Paramètres!$A$1:$I$89,5,0)</f>
        <v>5.5865712056402117E-14</v>
      </c>
      <c r="CV194" s="13">
        <f t="shared" si="173"/>
        <v>8.9811031843713517E-13</v>
      </c>
      <c r="CW194" s="20">
        <f t="shared" si="174"/>
        <v>1.6615082531095774E-12</v>
      </c>
      <c r="CX194" s="59">
        <f t="shared" si="122"/>
        <v>291.9076114689874</v>
      </c>
      <c r="CY194" s="59">
        <f ca="1">AVERAGE(OFFSET($CX$3,0,0,'Données projet'!$E$13+1,1))-AVERAGE(OFFSET($H$3,0,0,'Données projet'!$E$13+1,1))</f>
        <v>267.49254683294629</v>
      </c>
      <c r="CZ194" s="59">
        <f t="shared" si="150"/>
        <v>278.02595256967254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8.5321309874750018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8.5321309874750018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69.61116676426883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4.8316906031686813E-13</v>
      </c>
      <c r="DP194" s="17">
        <f>DO194*VLOOKUP('Données projet'!$B$14,Paramètres!$A$1:$I$89,3,0)*VLOOKUP('Données projet'!$B$14,Paramètres!$A$1:$I$89,5,0)</f>
        <v>4.3717136577470225E-13</v>
      </c>
      <c r="DQ194" s="13">
        <f t="shared" si="176"/>
        <v>5.5313598682231701E-12</v>
      </c>
      <c r="DR194" s="20">
        <f t="shared" si="177"/>
        <v>1.039519189921296E-11</v>
      </c>
      <c r="DS194" s="59">
        <f t="shared" si="125"/>
        <v>291.90761146899615</v>
      </c>
      <c r="DT194" s="59">
        <f ca="1">AVERAGE(OFFSET($DS$3,0,0,'Données projet'!$E$14+1,1))-AVERAGE(OFFSET($H$3,0,0,'Données projet'!$E$14+1,1))</f>
        <v>602.02351907077332</v>
      </c>
      <c r="DU194" s="59">
        <f t="shared" si="152"/>
        <v>278.08067690827272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158.79692602261974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158.79692602261974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69.61116676426883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69.61116676426883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69.61116676426883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69.61116676426883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2.2000000000000002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8.0666666666666682</v>
      </c>
      <c r="H195" s="67">
        <f t="shared" si="110"/>
        <v>224.4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69.617912151607882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360.09035401555587</v>
      </c>
      <c r="T195" s="59">
        <f t="shared" si="142"/>
        <v>266.54879627869821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18.721990335594612</v>
      </c>
      <c r="AA195" s="21">
        <f>EXP(-LN(2)/25)*AA194+(1-EXP(-LN(2)/25))/(LN(2)/25)*Calculateur!V195*Calculateur!X195*VLOOKUP('Données projet'!$B$9,Paramètres!$A$1:$I$89,3,0)*0.475*44/12</f>
        <v>3.6181331945300252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22.340123530124636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69.617912151607882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-2.8421709430404007E-14</v>
      </c>
      <c r="AJ195" s="13">
        <f>AI195*VLOOKUP('Données projet'!$B$10,Paramètres!$A$1:$I$89,3,0)*VLOOKUP('Données projet'!$B$10,Paramètres!$A$1:$I$89,5,0)</f>
        <v>-2.3942448024172337E-14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377.26246345103175</v>
      </c>
      <c r="AO195" s="59">
        <f t="shared" si="144"/>
        <v>258.25890564000258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35.26906515958926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35.26906515958926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69.617912151607882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2.2737367544323206E-13</v>
      </c>
      <c r="BE195" s="13">
        <f>BD195*VLOOKUP('Données projet'!$B$11,Paramètres!$A$1:$I$89,3,0)*VLOOKUP('Données projet'!$B$11,Paramètres!$A$1:$I$89,5,0)</f>
        <v>1.0049916454590858E-13</v>
      </c>
      <c r="BF195" s="13">
        <f t="shared" si="167"/>
        <v>1.5089081593838289E-12</v>
      </c>
      <c r="BG195" s="20">
        <f t="shared" si="168"/>
        <v>2.8030510891776262E-12</v>
      </c>
      <c r="BH195" s="59">
        <f t="shared" si="116"/>
        <v>291.93234455589834</v>
      </c>
      <c r="BI195" s="59">
        <f ca="1">AVERAGE(OFFSET($BH$3,0,0,'Données projet'!$E$11+1,1))-AVERAGE(OFFSET($H$3,0,0,'Données projet'!$E$11+1,1))</f>
        <v>333.23043896066253</v>
      </c>
      <c r="BJ195" s="59">
        <f t="shared" si="146"/>
        <v>440.63438368668983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12.08685453593597</v>
      </c>
      <c r="BQ195" s="21">
        <f>EXP(-LN(2)/25)*BQ194+(1-EXP(-LN(2)/25))/(LN(2)/25)*Calculateur!BL195*Calculateur!BN195*VLOOKUP('Données projet'!$B$11,Paramètres!$A$1:$I$89,3,0)*0.475*44/12</f>
        <v>3.0216455491374865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15.108500085073457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69.617912151607882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1.1368683772161603E-13</v>
      </c>
      <c r="BZ195" s="13">
        <f>BY195*VLOOKUP('Données projet'!$B$12,Paramètres!$A$1:$I$89,3,0)*VLOOKUP('Données projet'!$B$12,Paramètres!$A$1:$I$89,5,0)</f>
        <v>4.5815795601811263E-14</v>
      </c>
      <c r="CA195" s="13">
        <f t="shared" si="170"/>
        <v>7.5374618042508364E-13</v>
      </c>
      <c r="CB195" s="20">
        <f t="shared" si="171"/>
        <v>1.392570441580175E-12</v>
      </c>
      <c r="CC195" s="59">
        <f t="shared" si="119"/>
        <v>291.93234455589692</v>
      </c>
      <c r="CD195" s="59">
        <f ca="1">AVERAGE(OFFSET($CC$3,0,0,'Données projet'!$E$12+1,1))-AVERAGE(OFFSET($H$3,0,0,'Données projet'!$E$12+1,1))</f>
        <v>177.34129362526608</v>
      </c>
      <c r="CE195" s="59">
        <f t="shared" si="148"/>
        <v>156.93407673501022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9.3310704935618087</v>
      </c>
      <c r="CL195" s="21">
        <f>EXP(-LN(2)/25)*CL194+(1-EXP(-LN(2)/25))/(LN(2)/25)*Calculateur!CG195*Calculateur!CI195*VLOOKUP('Données projet'!$B$12,Paramètres!$A$1:$I$89,3,0)*0.475*44/12</f>
        <v>1.9002029233536293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11.231273416915439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69.617912151607882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8.5265128291212022E-14</v>
      </c>
      <c r="CU195" s="17">
        <f>CT195*VLOOKUP('Données projet'!$B$13,Paramètres!$A$1:$I$89,3,0)*VLOOKUP('Données projet'!$B$13,Paramètres!$A$1:$I$89,5,0)</f>
        <v>5.5865712056402117E-14</v>
      </c>
      <c r="CV195" s="13">
        <f t="shared" si="173"/>
        <v>8.9811031843713517E-13</v>
      </c>
      <c r="CW195" s="20">
        <f t="shared" si="174"/>
        <v>1.6615082531095774E-12</v>
      </c>
      <c r="CX195" s="59">
        <f t="shared" si="122"/>
        <v>291.9323445558972</v>
      </c>
      <c r="CY195" s="59">
        <f ca="1">AVERAGE(OFFSET($CX$3,0,0,'Données projet'!$E$13+1,1))-AVERAGE(OFFSET($H$3,0,0,'Données projet'!$E$13+1,1))</f>
        <v>267.49254683294629</v>
      </c>
      <c r="CZ195" s="59">
        <f t="shared" si="150"/>
        <v>278.02595256967254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8.3648211028966593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8.3648211028966593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69.617912151607882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4.8316906031686813E-13</v>
      </c>
      <c r="DP195" s="17">
        <f>DO195*VLOOKUP('Données projet'!$B$14,Paramètres!$A$1:$I$89,3,0)*VLOOKUP('Données projet'!$B$14,Paramètres!$A$1:$I$89,5,0)</f>
        <v>4.3717136577470225E-13</v>
      </c>
      <c r="DQ195" s="13">
        <f t="shared" si="176"/>
        <v>5.5313598682231701E-12</v>
      </c>
      <c r="DR195" s="20">
        <f t="shared" si="177"/>
        <v>1.039519189921296E-11</v>
      </c>
      <c r="DS195" s="59">
        <f t="shared" si="125"/>
        <v>291.93234455590596</v>
      </c>
      <c r="DT195" s="59">
        <f ca="1">AVERAGE(OFFSET($DS$3,0,0,'Données projet'!$E$14+1,1))-AVERAGE(OFFSET($H$3,0,0,'Données projet'!$E$14+1,1))</f>
        <v>602.02351907077332</v>
      </c>
      <c r="DU195" s="59">
        <f t="shared" si="152"/>
        <v>278.08067690827272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155.68301515987724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155.68301515987724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69.617912151607882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69.617912151607882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69.617912151607882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69.617912151607882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2.2000000000000002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8.0666666666666682</v>
      </c>
      <c r="H196" s="67">
        <f t="shared" ref="H196:H203" si="192">(B196+E196+F196)*44/12+(C196+D196)*0.475*44/12</f>
        <v>224.4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69.624540521557023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360.09035401555587</v>
      </c>
      <c r="T196" s="59">
        <f t="shared" si="142"/>
        <v>266.54879627869821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18.354863524400145</v>
      </c>
      <c r="AA196" s="21">
        <f>EXP(-LN(2)/25)*AA195+(1-EXP(-LN(2)/25))/(LN(2)/25)*Calculateur!V196*Calculateur!X196*VLOOKUP('Données projet'!$B$9,Paramètres!$A$1:$I$89,3,0)*0.475*44/12</f>
        <v>3.5191951520562466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21.874058676456393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69.624540521557023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-2.8421709430404007E-14</v>
      </c>
      <c r="AJ196" s="13">
        <f>AI196*VLOOKUP('Données projet'!$B$10,Paramètres!$A$1:$I$89,3,0)*VLOOKUP('Données projet'!$B$10,Paramètres!$A$1:$I$89,5,0)</f>
        <v>-2.3942448024172337E-14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377.26246345103175</v>
      </c>
      <c r="AO196" s="59">
        <f t="shared" si="144"/>
        <v>258.25890564000258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34.577460303815329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34.577460303815329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69.624540521557023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2.2737367544323206E-13</v>
      </c>
      <c r="BE196" s="13">
        <f>BD196*VLOOKUP('Données projet'!$B$11,Paramètres!$A$1:$I$89,3,0)*VLOOKUP('Données projet'!$B$11,Paramètres!$A$1:$I$89,5,0)</f>
        <v>1.0049916454590858E-13</v>
      </c>
      <c r="BF196" s="13">
        <f t="shared" si="167"/>
        <v>1.5089081593838289E-12</v>
      </c>
      <c r="BG196" s="20">
        <f t="shared" si="168"/>
        <v>2.8030510891776262E-12</v>
      </c>
      <c r="BH196" s="59">
        <f t="shared" ref="BH196:BH203" si="194">BG196+(AY196+AZ196)*44/12</f>
        <v>291.95664857904524</v>
      </c>
      <c r="BI196" s="59">
        <f ca="1">AVERAGE(OFFSET($BH$3,0,0,'Données projet'!$E$11+1,1))-AVERAGE(OFFSET($H$3,0,0,'Données projet'!$E$11+1,1))</f>
        <v>333.23043896066253</v>
      </c>
      <c r="BJ196" s="59">
        <f t="shared" si="146"/>
        <v>440.63438368668983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11.849838690739583</v>
      </c>
      <c r="BQ196" s="21">
        <f>EXP(-LN(2)/25)*BQ195+(1-EXP(-LN(2)/25))/(LN(2)/25)*Calculateur!BL196*Calculateur!BN196*VLOOKUP('Données projet'!$B$11,Paramètres!$A$1:$I$89,3,0)*0.475*44/12</f>
        <v>2.9390184926948888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14.788857183434471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69.624540521557023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1.1368683772161603E-13</v>
      </c>
      <c r="BZ196" s="13">
        <f>BY196*VLOOKUP('Données projet'!$B$12,Paramètres!$A$1:$I$89,3,0)*VLOOKUP('Données projet'!$B$12,Paramètres!$A$1:$I$89,5,0)</f>
        <v>4.5815795601811263E-14</v>
      </c>
      <c r="CA196" s="13">
        <f t="shared" si="170"/>
        <v>7.5374618042508364E-13</v>
      </c>
      <c r="CB196" s="20">
        <f t="shared" si="171"/>
        <v>1.392570441580175E-12</v>
      </c>
      <c r="CC196" s="59">
        <f t="shared" ref="CC196:CC203" si="195">CB196+(BT196+BU196)*44/12</f>
        <v>291.95664857904382</v>
      </c>
      <c r="CD196" s="59">
        <f ca="1">AVERAGE(OFFSET($CC$3,0,0,'Données projet'!$E$12+1,1))-AVERAGE(OFFSET($H$3,0,0,'Données projet'!$E$12+1,1))</f>
        <v>177.34129362526608</v>
      </c>
      <c r="CE196" s="59">
        <f t="shared" si="148"/>
        <v>156.93407673501022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9.1480938925740851</v>
      </c>
      <c r="CL196" s="21">
        <f>EXP(-LN(2)/25)*CL195+(1-EXP(-LN(2)/25))/(LN(2)/25)*Calculateur!CG196*Calculateur!CI196*VLOOKUP('Données projet'!$B$12,Paramètres!$A$1:$I$89,3,0)*0.475*44/12</f>
        <v>1.8482417744871955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10.996335667061281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69.624540521557023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8.5265128291212022E-14</v>
      </c>
      <c r="CU196" s="17">
        <f>CT196*VLOOKUP('Données projet'!$B$13,Paramètres!$A$1:$I$89,3,0)*VLOOKUP('Données projet'!$B$13,Paramètres!$A$1:$I$89,5,0)</f>
        <v>5.5865712056402117E-14</v>
      </c>
      <c r="CV196" s="13">
        <f t="shared" si="173"/>
        <v>8.9811031843713517E-13</v>
      </c>
      <c r="CW196" s="20">
        <f t="shared" si="174"/>
        <v>1.6615082531095774E-12</v>
      </c>
      <c r="CX196" s="59">
        <f t="shared" ref="CX196:CX203" si="196">CW196+(CO196+CP196)*44/12</f>
        <v>291.9566485790441</v>
      </c>
      <c r="CY196" s="59">
        <f ca="1">AVERAGE(OFFSET($CX$3,0,0,'Données projet'!$E$13+1,1))-AVERAGE(OFFSET($H$3,0,0,'Données projet'!$E$13+1,1))</f>
        <v>267.49254683294629</v>
      </c>
      <c r="CZ196" s="59">
        <f t="shared" si="150"/>
        <v>278.02595256967254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8.2007920631059434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8.2007920631059434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69.624540521557023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4.8316906031686813E-13</v>
      </c>
      <c r="DP196" s="17">
        <f>DO196*VLOOKUP('Données projet'!$B$14,Paramètres!$A$1:$I$89,3,0)*VLOOKUP('Données projet'!$B$14,Paramètres!$A$1:$I$89,5,0)</f>
        <v>4.3717136577470225E-13</v>
      </c>
      <c r="DQ196" s="13">
        <f t="shared" si="176"/>
        <v>5.5313598682231701E-12</v>
      </c>
      <c r="DR196" s="20">
        <f t="shared" si="177"/>
        <v>1.039519189921296E-11</v>
      </c>
      <c r="DS196" s="59">
        <f t="shared" ref="DS196:DS203" si="197">DR196+(DJ196+DK196)*44/12</f>
        <v>291.95664857905285</v>
      </c>
      <c r="DT196" s="59">
        <f ca="1">AVERAGE(OFFSET($DS$3,0,0,'Données projet'!$E$14+1,1))-AVERAGE(OFFSET($H$3,0,0,'Données projet'!$E$14+1,1))</f>
        <v>602.02351907077332</v>
      </c>
      <c r="DU196" s="59">
        <f t="shared" si="152"/>
        <v>278.08067690827272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152.63016618985506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152.63016618985506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69.624540521557023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69.624540521557023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69.624540521557023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69.624540521557023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2.2000000000000002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8.0666666666666682</v>
      </c>
      <c r="H197" s="67">
        <f t="shared" si="192"/>
        <v>224.4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69.631053904106366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360.09035401555587</v>
      </c>
      <c r="T197" s="59">
        <f t="shared" ref="T197:T203" si="204">$T$3</f>
        <v>266.54879627869821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17.994935846047959</v>
      </c>
      <c r="AA197" s="21">
        <f>EXP(-LN(2)/25)*AA196+(1-EXP(-LN(2)/25))/(LN(2)/25)*Calculateur!V197*Calculateur!X197*VLOOKUP('Données projet'!$B$9,Paramètres!$A$1:$I$89,3,0)*0.475*44/12</f>
        <v>3.4229625755568387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21.417898421604797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69.631053904106366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-2.8421709430404007E-14</v>
      </c>
      <c r="AJ197" s="13">
        <f>AI197*VLOOKUP('Données projet'!$B$10,Paramètres!$A$1:$I$89,3,0)*VLOOKUP('Données projet'!$B$10,Paramètres!$A$1:$I$89,5,0)</f>
        <v>-2.3942448024172337E-14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377.26246345103175</v>
      </c>
      <c r="AO197" s="59">
        <f t="shared" ref="AO197:AO203" si="205">$AO$3</f>
        <v>258.25890564000258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33.899417397425815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33.899417397425815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69.631053904106366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2.2737367544323206E-13</v>
      </c>
      <c r="BE197" s="13">
        <f>BD197*VLOOKUP('Données projet'!$B$11,Paramètres!$A$1:$I$89,3,0)*VLOOKUP('Données projet'!$B$11,Paramètres!$A$1:$I$89,5,0)</f>
        <v>1.0049916454590858E-13</v>
      </c>
      <c r="BF197" s="13">
        <f t="shared" si="167"/>
        <v>1.5089081593838289E-12</v>
      </c>
      <c r="BG197" s="20">
        <f t="shared" si="168"/>
        <v>2.8030510891776262E-12</v>
      </c>
      <c r="BH197" s="59">
        <f t="shared" si="194"/>
        <v>291.98053098172613</v>
      </c>
      <c r="BI197" s="59">
        <f ca="1">AVERAGE(OFFSET($BH$3,0,0,'Données projet'!$E$11+1,1))-AVERAGE(OFFSET($H$3,0,0,'Données projet'!$E$11+1,1))</f>
        <v>333.23043896066253</v>
      </c>
      <c r="BJ197" s="59">
        <f t="shared" ref="BJ197:BJ203" si="206">$BJ$3</f>
        <v>440.63438368668983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11.617470581702106</v>
      </c>
      <c r="BQ197" s="21">
        <f>EXP(-LN(2)/25)*BQ196+(1-EXP(-LN(2)/25))/(LN(2)/25)*Calculateur!BL197*Calculateur!BN197*VLOOKUP('Données projet'!$B$11,Paramètres!$A$1:$I$89,3,0)*0.475*44/12</f>
        <v>2.8586508774558816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14.476121459157987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69.631053904106366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1.1368683772161603E-13</v>
      </c>
      <c r="BZ197" s="13">
        <f>BY197*VLOOKUP('Données projet'!$B$12,Paramètres!$A$1:$I$89,3,0)*VLOOKUP('Données projet'!$B$12,Paramètres!$A$1:$I$89,5,0)</f>
        <v>4.5815795601811263E-14</v>
      </c>
      <c r="CA197" s="13">
        <f t="shared" si="170"/>
        <v>7.5374618042508364E-13</v>
      </c>
      <c r="CB197" s="20">
        <f t="shared" si="171"/>
        <v>1.392570441580175E-12</v>
      </c>
      <c r="CC197" s="59">
        <f t="shared" si="195"/>
        <v>291.98053098172471</v>
      </c>
      <c r="CD197" s="59">
        <f ca="1">AVERAGE(OFFSET($CC$3,0,0,'Données projet'!$E$12+1,1))-AVERAGE(OFFSET($H$3,0,0,'Données projet'!$E$12+1,1))</f>
        <v>177.34129362526608</v>
      </c>
      <c r="CE197" s="59">
        <f t="shared" ref="CE197:CE203" si="207">$CE$3</f>
        <v>156.93407673501022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8.9687053511270243</v>
      </c>
      <c r="CL197" s="21">
        <f>EXP(-LN(2)/25)*CL196+(1-EXP(-LN(2)/25))/(LN(2)/25)*Calculateur!CG197*Calculateur!CI197*VLOOKUP('Données projet'!$B$12,Paramètres!$A$1:$I$89,3,0)*0.475*44/12</f>
        <v>1.7977015059690324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10.766406857096056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69.631053904106366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8.5265128291212022E-14</v>
      </c>
      <c r="CU197" s="17">
        <f>CT197*VLOOKUP('Données projet'!$B$13,Paramètres!$A$1:$I$89,3,0)*VLOOKUP('Données projet'!$B$13,Paramètres!$A$1:$I$89,5,0)</f>
        <v>5.5865712056402117E-14</v>
      </c>
      <c r="CV197" s="13">
        <f t="shared" si="173"/>
        <v>8.9811031843713517E-13</v>
      </c>
      <c r="CW197" s="20">
        <f t="shared" si="174"/>
        <v>1.6615082531095774E-12</v>
      </c>
      <c r="CX197" s="59">
        <f t="shared" si="196"/>
        <v>291.980530981725</v>
      </c>
      <c r="CY197" s="59">
        <f ca="1">AVERAGE(OFFSET($CX$3,0,0,'Données projet'!$E$13+1,1))-AVERAGE(OFFSET($H$3,0,0,'Données projet'!$E$13+1,1))</f>
        <v>267.49254683294629</v>
      </c>
      <c r="CZ197" s="59">
        <f t="shared" ref="CZ197:CZ203" si="208">$CZ$3</f>
        <v>278.02595256967254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8.0399795327376893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8.0399795327376893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69.631053904106366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4.8316906031686813E-13</v>
      </c>
      <c r="DP197" s="17">
        <f>DO197*VLOOKUP('Données projet'!$B$14,Paramètres!$A$1:$I$89,3,0)*VLOOKUP('Données projet'!$B$14,Paramètres!$A$1:$I$89,5,0)</f>
        <v>4.3717136577470225E-13</v>
      </c>
      <c r="DQ197" s="13">
        <f t="shared" si="176"/>
        <v>5.5313598682231701E-12</v>
      </c>
      <c r="DR197" s="20">
        <f t="shared" si="177"/>
        <v>1.039519189921296E-11</v>
      </c>
      <c r="DS197" s="59">
        <f t="shared" si="197"/>
        <v>291.98053098173375</v>
      </c>
      <c r="DT197" s="59">
        <f ca="1">AVERAGE(OFFSET($DS$3,0,0,'Données projet'!$E$14+1,1))-AVERAGE(OFFSET($H$3,0,0,'Données projet'!$E$14+1,1))</f>
        <v>602.02351907077332</v>
      </c>
      <c r="DU197" s="59">
        <f t="shared" ref="DU197:DU203" si="209">$DU$3</f>
        <v>278.08067690827272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149.637181726081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149.637181726081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69.631053904106366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69.631053904106366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69.631053904106366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69.631053904106366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2.2000000000000002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8.0666666666666682</v>
      </c>
      <c r="H198" s="67">
        <f t="shared" si="192"/>
        <v>224.4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69.637454294030221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360.09035401555587</v>
      </c>
      <c r="T198" s="59">
        <f t="shared" si="204"/>
        <v>266.54879627869821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17.642066129934051</v>
      </c>
      <c r="AA198" s="21">
        <f>EXP(-LN(2)/25)*AA197+(1-EXP(-LN(2)/25))/(LN(2)/25)*Calculateur!V198*Calculateur!X198*VLOOKUP('Données projet'!$B$9,Paramètres!$A$1:$I$89,3,0)*0.475*44/12</f>
        <v>3.3293614839224586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20.971427613856509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69.637454294030221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-2.8421709430404007E-14</v>
      </c>
      <c r="AJ198" s="13">
        <f>AI198*VLOOKUP('Données projet'!$B$10,Paramètres!$A$1:$I$89,3,0)*VLOOKUP('Données projet'!$B$10,Paramètres!$A$1:$I$89,5,0)</f>
        <v>-2.3942448024172337E-14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377.26246345103175</v>
      </c>
      <c r="AO198" s="59">
        <f t="shared" si="205"/>
        <v>258.25890564000258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33.234670498865263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33.234670498865263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69.637454294030221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2.2737367544323206E-13</v>
      </c>
      <c r="BE198" s="13">
        <f>BD198*VLOOKUP('Données projet'!$B$11,Paramètres!$A$1:$I$89,3,0)*VLOOKUP('Données projet'!$B$11,Paramètres!$A$1:$I$89,5,0)</f>
        <v>1.0049916454590858E-13</v>
      </c>
      <c r="BF198" s="13">
        <f t="shared" si="167"/>
        <v>1.5089081593838289E-12</v>
      </c>
      <c r="BG198" s="20">
        <f t="shared" si="168"/>
        <v>2.8030510891776262E-12</v>
      </c>
      <c r="BH198" s="59">
        <f t="shared" si="194"/>
        <v>292.00399907811357</v>
      </c>
      <c r="BI198" s="59">
        <f ca="1">AVERAGE(OFFSET($BH$3,0,0,'Données projet'!$E$11+1,1))-AVERAGE(OFFSET($H$3,0,0,'Données projet'!$E$11+1,1))</f>
        <v>333.23043896066253</v>
      </c>
      <c r="BJ198" s="59">
        <f t="shared" si="206"/>
        <v>440.63438368668983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11.389659069552302</v>
      </c>
      <c r="BQ198" s="21">
        <f>EXP(-LN(2)/25)*BQ197+(1-EXP(-LN(2)/25))/(LN(2)/25)*Calculateur!BL198*Calculateur!BN198*VLOOKUP('Données projet'!$B$11,Paramètres!$A$1:$I$89,3,0)*0.475*44/12</f>
        <v>2.7804809188819344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14.170139988434236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69.637454294030221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1.1368683772161603E-13</v>
      </c>
      <c r="BZ198" s="13">
        <f>BY198*VLOOKUP('Données projet'!$B$12,Paramètres!$A$1:$I$89,3,0)*VLOOKUP('Données projet'!$B$12,Paramètres!$A$1:$I$89,5,0)</f>
        <v>4.5815795601811263E-14</v>
      </c>
      <c r="CA198" s="13">
        <f t="shared" si="170"/>
        <v>7.5374618042508364E-13</v>
      </c>
      <c r="CB198" s="20">
        <f t="shared" si="171"/>
        <v>1.392570441580175E-12</v>
      </c>
      <c r="CC198" s="59">
        <f t="shared" si="195"/>
        <v>292.00399907811214</v>
      </c>
      <c r="CD198" s="59">
        <f ca="1">AVERAGE(OFFSET($CC$3,0,0,'Données projet'!$E$12+1,1))-AVERAGE(OFFSET($H$3,0,0,'Données projet'!$E$12+1,1))</f>
        <v>177.34129362526608</v>
      </c>
      <c r="CE198" s="59">
        <f t="shared" si="207"/>
        <v>156.93407673501022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8.7928345095615335</v>
      </c>
      <c r="CL198" s="21">
        <f>EXP(-LN(2)/25)*CL197+(1-EXP(-LN(2)/25))/(LN(2)/25)*Calculateur!CG198*Calculateur!CI198*VLOOKUP('Données projet'!$B$12,Paramètres!$A$1:$I$89,3,0)*0.475*44/12</f>
        <v>1.7485432637512957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10.54137777331283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69.637454294030221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8.5265128291212022E-14</v>
      </c>
      <c r="CU198" s="17">
        <f>CT198*VLOOKUP('Données projet'!$B$13,Paramètres!$A$1:$I$89,3,0)*VLOOKUP('Données projet'!$B$13,Paramètres!$A$1:$I$89,5,0)</f>
        <v>5.5865712056402117E-14</v>
      </c>
      <c r="CV198" s="13">
        <f t="shared" si="173"/>
        <v>8.9811031843713517E-13</v>
      </c>
      <c r="CW198" s="20">
        <f t="shared" si="174"/>
        <v>1.6615082531095774E-12</v>
      </c>
      <c r="CX198" s="59">
        <f t="shared" si="196"/>
        <v>292.00399907811243</v>
      </c>
      <c r="CY198" s="59">
        <f ca="1">AVERAGE(OFFSET($CX$3,0,0,'Données projet'!$E$13+1,1))-AVERAGE(OFFSET($H$3,0,0,'Données projet'!$E$13+1,1))</f>
        <v>267.49254683294629</v>
      </c>
      <c r="CZ198" s="59">
        <f t="shared" si="208"/>
        <v>278.02595256967254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7.8823204380039975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7.8823204380039975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69.637454294030221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4.8316906031686813E-13</v>
      </c>
      <c r="DP198" s="17">
        <f>DO198*VLOOKUP('Données projet'!$B$14,Paramètres!$A$1:$I$89,3,0)*VLOOKUP('Données projet'!$B$14,Paramètres!$A$1:$I$89,5,0)</f>
        <v>4.3717136577470225E-13</v>
      </c>
      <c r="DQ198" s="13">
        <f t="shared" si="176"/>
        <v>5.5313598682231701E-12</v>
      </c>
      <c r="DR198" s="20">
        <f t="shared" si="177"/>
        <v>1.039519189921296E-11</v>
      </c>
      <c r="DS198" s="59">
        <f t="shared" si="197"/>
        <v>292.00399907812118</v>
      </c>
      <c r="DT198" s="59">
        <f ca="1">AVERAGE(OFFSET($DS$3,0,0,'Données projet'!$E$14+1,1))-AVERAGE(OFFSET($H$3,0,0,'Données projet'!$E$14+1,1))</f>
        <v>602.02351907077332</v>
      </c>
      <c r="DU198" s="59">
        <f t="shared" si="209"/>
        <v>278.08067690827272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146.70288786210128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146.70288786210128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69.637454294030221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69.637454294030221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69.637454294030221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69.637454294030221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2.2000000000000002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8.0666666666666682</v>
      </c>
      <c r="H199" s="67">
        <f t="shared" si="192"/>
        <v>224.4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69.643743651498028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360.09035401555587</v>
      </c>
      <c r="T199" s="59">
        <f t="shared" si="204"/>
        <v>266.54879627869821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17.296115973723861</v>
      </c>
      <c r="AA199" s="21">
        <f>EXP(-LN(2)/25)*AA198+(1-EXP(-LN(2)/25))/(LN(2)/25)*Calculateur!V199*Calculateur!X199*VLOOKUP('Données projet'!$B$9,Paramètres!$A$1:$I$89,3,0)*0.475*44/12</f>
        <v>3.2383199190610878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20.534435892784948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69.643743651498028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-2.8421709430404007E-14</v>
      </c>
      <c r="AJ199" s="13">
        <f>AI199*VLOOKUP('Données projet'!$B$10,Paramètres!$A$1:$I$89,3,0)*VLOOKUP('Données projet'!$B$10,Paramètres!$A$1:$I$89,5,0)</f>
        <v>-2.3942448024172337E-14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377.26246345103175</v>
      </c>
      <c r="AO199" s="59">
        <f t="shared" si="205"/>
        <v>258.25890564000258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32.582958881529912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32.582958881529912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69.643743651498028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2.2737367544323206E-13</v>
      </c>
      <c r="BE199" s="13">
        <f>BD199*VLOOKUP('Données projet'!$B$11,Paramètres!$A$1:$I$89,3,0)*VLOOKUP('Données projet'!$B$11,Paramètres!$A$1:$I$89,5,0)</f>
        <v>1.0049916454590858E-13</v>
      </c>
      <c r="BF199" s="13">
        <f t="shared" si="167"/>
        <v>1.5089081593838289E-12</v>
      </c>
      <c r="BG199" s="20">
        <f t="shared" si="168"/>
        <v>2.8030510891776262E-12</v>
      </c>
      <c r="BH199" s="59">
        <f t="shared" si="194"/>
        <v>292.02706005549555</v>
      </c>
      <c r="BI199" s="59">
        <f ca="1">AVERAGE(OFFSET($BH$3,0,0,'Données projet'!$E$11+1,1))-AVERAGE(OFFSET($H$3,0,0,'Données projet'!$E$11+1,1))</f>
        <v>333.23043896066253</v>
      </c>
      <c r="BJ199" s="59">
        <f t="shared" si="206"/>
        <v>440.63438368668983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11.166314802204454</v>
      </c>
      <c r="BQ199" s="21">
        <f>EXP(-LN(2)/25)*BQ198+(1-EXP(-LN(2)/25))/(LN(2)/25)*Calculateur!BL199*Calculateur!BN199*VLOOKUP('Données projet'!$B$11,Paramètres!$A$1:$I$89,3,0)*0.475*44/12</f>
        <v>2.7044485219359711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13.870763324140425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69.643743651498028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1.1368683772161603E-13</v>
      </c>
      <c r="BZ199" s="13">
        <f>BY199*VLOOKUP('Données projet'!$B$12,Paramètres!$A$1:$I$89,3,0)*VLOOKUP('Données projet'!$B$12,Paramètres!$A$1:$I$89,5,0)</f>
        <v>4.5815795601811263E-14</v>
      </c>
      <c r="CA199" s="13">
        <f t="shared" si="170"/>
        <v>7.5374618042508364E-13</v>
      </c>
      <c r="CB199" s="20">
        <f t="shared" si="171"/>
        <v>1.392570441580175E-12</v>
      </c>
      <c r="CC199" s="59">
        <f t="shared" si="195"/>
        <v>292.02706005549413</v>
      </c>
      <c r="CD199" s="59">
        <f ca="1">AVERAGE(OFFSET($CC$3,0,0,'Données projet'!$E$12+1,1))-AVERAGE(OFFSET($H$3,0,0,'Données projet'!$E$12+1,1))</f>
        <v>177.34129362526608</v>
      </c>
      <c r="CE199" s="59">
        <f t="shared" si="207"/>
        <v>156.93407673501022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8.6204123879285213</v>
      </c>
      <c r="CL199" s="21">
        <f>EXP(-LN(2)/25)*CL198+(1-EXP(-LN(2)/25))/(LN(2)/25)*Calculateur!CG199*Calculateur!CI199*VLOOKUP('Données projet'!$B$12,Paramètres!$A$1:$I$89,3,0)*0.475*44/12</f>
        <v>1.7007292562521226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10.321141644180644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69.643743651498028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8.5265128291212022E-14</v>
      </c>
      <c r="CU199" s="17">
        <f>CT199*VLOOKUP('Données projet'!$B$13,Paramètres!$A$1:$I$89,3,0)*VLOOKUP('Données projet'!$B$13,Paramètres!$A$1:$I$89,5,0)</f>
        <v>5.5865712056402117E-14</v>
      </c>
      <c r="CV199" s="13">
        <f t="shared" si="173"/>
        <v>8.9811031843713517E-13</v>
      </c>
      <c r="CW199" s="20">
        <f t="shared" si="174"/>
        <v>1.6615082531095774E-12</v>
      </c>
      <c r="CX199" s="59">
        <f t="shared" si="196"/>
        <v>292.02706005549442</v>
      </c>
      <c r="CY199" s="59">
        <f ca="1">AVERAGE(OFFSET($CX$3,0,0,'Données projet'!$E$13+1,1))-AVERAGE(OFFSET($H$3,0,0,'Données projet'!$E$13+1,1))</f>
        <v>267.49254683294629</v>
      </c>
      <c r="CZ199" s="59">
        <f t="shared" si="208"/>
        <v>278.02595256967254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7.7277529419554813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7.7277529419554813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69.643743651498028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4.8316906031686813E-13</v>
      </c>
      <c r="DP199" s="17">
        <f>DO199*VLOOKUP('Données projet'!$B$14,Paramètres!$A$1:$I$89,3,0)*VLOOKUP('Données projet'!$B$14,Paramètres!$A$1:$I$89,5,0)</f>
        <v>4.3717136577470225E-13</v>
      </c>
      <c r="DQ199" s="13">
        <f t="shared" si="176"/>
        <v>5.5313598682231701E-12</v>
      </c>
      <c r="DR199" s="20">
        <f t="shared" si="177"/>
        <v>1.039519189921296E-11</v>
      </c>
      <c r="DS199" s="59">
        <f t="shared" si="197"/>
        <v>292.02706005550317</v>
      </c>
      <c r="DT199" s="59">
        <f ca="1">AVERAGE(OFFSET($DS$3,0,0,'Données projet'!$E$14+1,1))-AVERAGE(OFFSET($H$3,0,0,'Données projet'!$E$14+1,1))</f>
        <v>602.02351907077332</v>
      </c>
      <c r="DU199" s="59">
        <f t="shared" si="209"/>
        <v>278.08067690827272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143.82613371105165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143.82613371105165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69.643743651498028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69.643743651498028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69.643743651498028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69.643743651498028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2.2000000000000002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8.0666666666666682</v>
      </c>
      <c r="H200" s="67">
        <f t="shared" si="192"/>
        <v>224.4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69.649923902674658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360.09035401555587</v>
      </c>
      <c r="T200" s="59">
        <f t="shared" si="204"/>
        <v>266.54879627869821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16.956949689068196</v>
      </c>
      <c r="AA200" s="21">
        <f>EXP(-LN(2)/25)*AA199+(1-EXP(-LN(2)/25))/(LN(2)/25)*Calculateur!V200*Calculateur!X200*VLOOKUP('Données projet'!$B$9,Paramètres!$A$1:$I$89,3,0)*0.475*44/12</f>
        <v>3.1497678905785191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20.106717579646716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69.649923902674658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-2.8421709430404007E-14</v>
      </c>
      <c r="AJ200" s="13">
        <f>AI200*VLOOKUP('Données projet'!$B$10,Paramètres!$A$1:$I$89,3,0)*VLOOKUP('Données projet'!$B$10,Paramètres!$A$1:$I$89,5,0)</f>
        <v>-2.3942448024172337E-14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377.26246345103175</v>
      </c>
      <c r="AO200" s="59">
        <f t="shared" si="205"/>
        <v>258.25890564000258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31.944026931505668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31.944026931505668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69.649923902674658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2.2737367544323206E-13</v>
      </c>
      <c r="BE200" s="13">
        <f>BD200*VLOOKUP('Données projet'!$B$11,Paramètres!$A$1:$I$89,3,0)*VLOOKUP('Données projet'!$B$11,Paramètres!$A$1:$I$89,5,0)</f>
        <v>1.0049916454590858E-13</v>
      </c>
      <c r="BF200" s="13">
        <f t="shared" si="167"/>
        <v>1.5089081593838289E-12</v>
      </c>
      <c r="BG200" s="20">
        <f t="shared" si="168"/>
        <v>2.8030510891776262E-12</v>
      </c>
      <c r="BH200" s="59">
        <f t="shared" si="194"/>
        <v>292.04972097647652</v>
      </c>
      <c r="BI200" s="59">
        <f ca="1">AVERAGE(OFFSET($BH$3,0,0,'Données projet'!$E$11+1,1))-AVERAGE(OFFSET($H$3,0,0,'Données projet'!$E$11+1,1))</f>
        <v>333.23043896066253</v>
      </c>
      <c r="BJ200" s="59">
        <f t="shared" si="206"/>
        <v>440.63438368668983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10.947350179712744</v>
      </c>
      <c r="BQ200" s="21">
        <f>EXP(-LN(2)/25)*BQ199+(1-EXP(-LN(2)/25))/(LN(2)/25)*Calculateur!BL200*Calculateur!BN200*VLOOKUP('Données projet'!$B$11,Paramètres!$A$1:$I$89,3,0)*0.475*44/12</f>
        <v>2.6304952348828654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13.577845414595609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69.649923902674658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1.1368683772161603E-13</v>
      </c>
      <c r="BZ200" s="13">
        <f>BY200*VLOOKUP('Données projet'!$B$12,Paramètres!$A$1:$I$89,3,0)*VLOOKUP('Données projet'!$B$12,Paramètres!$A$1:$I$89,5,0)</f>
        <v>4.5815795601811263E-14</v>
      </c>
      <c r="CA200" s="13">
        <f t="shared" si="170"/>
        <v>7.5374618042508364E-13</v>
      </c>
      <c r="CB200" s="20">
        <f t="shared" si="171"/>
        <v>1.392570441580175E-12</v>
      </c>
      <c r="CC200" s="59">
        <f t="shared" si="195"/>
        <v>292.0497209764751</v>
      </c>
      <c r="CD200" s="59">
        <f ca="1">AVERAGE(OFFSET($CC$3,0,0,'Données projet'!$E$12+1,1))-AVERAGE(OFFSET($H$3,0,0,'Données projet'!$E$12+1,1))</f>
        <v>177.34129362526608</v>
      </c>
      <c r="CE200" s="59">
        <f t="shared" si="207"/>
        <v>156.93407673501022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8.4513713589336223</v>
      </c>
      <c r="CL200" s="21">
        <f>EXP(-LN(2)/25)*CL199+(1-EXP(-LN(2)/25))/(LN(2)/25)*Calculateur!CG200*Calculateur!CI200*VLOOKUP('Données projet'!$B$12,Paramètres!$A$1:$I$89,3,0)*0.475*44/12</f>
        <v>1.6542227253024437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10.105594084236067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69.649923902674658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8.5265128291212022E-14</v>
      </c>
      <c r="CU200" s="17">
        <f>CT200*VLOOKUP('Données projet'!$B$13,Paramètres!$A$1:$I$89,3,0)*VLOOKUP('Données projet'!$B$13,Paramètres!$A$1:$I$89,5,0)</f>
        <v>5.5865712056402117E-14</v>
      </c>
      <c r="CV200" s="13">
        <f t="shared" si="173"/>
        <v>8.9811031843713517E-13</v>
      </c>
      <c r="CW200" s="20">
        <f t="shared" si="174"/>
        <v>1.6615082531095774E-12</v>
      </c>
      <c r="CX200" s="59">
        <f t="shared" si="196"/>
        <v>292.04972097647538</v>
      </c>
      <c r="CY200" s="59">
        <f ca="1">AVERAGE(OFFSET($CX$3,0,0,'Données projet'!$E$13+1,1))-AVERAGE(OFFSET($H$3,0,0,'Données projet'!$E$13+1,1))</f>
        <v>267.49254683294629</v>
      </c>
      <c r="CZ200" s="59">
        <f t="shared" si="208"/>
        <v>278.02595256967254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7.5762164202276132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7.5762164202276132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69.649923902674658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4.8316906031686813E-13</v>
      </c>
      <c r="DP200" s="17">
        <f>DO200*VLOOKUP('Données projet'!$B$14,Paramètres!$A$1:$I$89,3,0)*VLOOKUP('Données projet'!$B$14,Paramètres!$A$1:$I$89,5,0)</f>
        <v>4.3717136577470225E-13</v>
      </c>
      <c r="DQ200" s="13">
        <f t="shared" si="176"/>
        <v>5.5313598682231701E-12</v>
      </c>
      <c r="DR200" s="20">
        <f t="shared" si="177"/>
        <v>1.039519189921296E-11</v>
      </c>
      <c r="DS200" s="59">
        <f t="shared" si="197"/>
        <v>292.04972097648414</v>
      </c>
      <c r="DT200" s="59">
        <f ca="1">AVERAGE(OFFSET($DS$3,0,0,'Données projet'!$E$14+1,1))-AVERAGE(OFFSET($H$3,0,0,'Données projet'!$E$14+1,1))</f>
        <v>602.02351907077332</v>
      </c>
      <c r="DU200" s="59">
        <f t="shared" si="209"/>
        <v>278.08067690827272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141.00579095425735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141.00579095425735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69.649923902674658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69.649923902674658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69.649923902674658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69.649923902674658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2.2000000000000002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8.0666666666666682</v>
      </c>
      <c r="H201" s="67">
        <f t="shared" si="192"/>
        <v>224.4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69.655996940310359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360.09035401555587</v>
      </c>
      <c r="T201" s="59">
        <f t="shared" si="204"/>
        <v>266.54879627869821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16.624434248383622</v>
      </c>
      <c r="AA201" s="21">
        <f>EXP(-LN(2)/25)*AA200+(1-EXP(-LN(2)/25))/(LN(2)/25)*Calculateur!V201*Calculateur!X201*VLOOKUP('Données projet'!$B$9,Paramètres!$A$1:$I$89,3,0)*0.475*44/12</f>
        <v>3.0636373219715551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19.688071570355177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69.655996940310359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-2.8421709430404007E-14</v>
      </c>
      <c r="AJ201" s="13">
        <f>AI201*VLOOKUP('Données projet'!$B$10,Paramètres!$A$1:$I$89,3,0)*VLOOKUP('Données projet'!$B$10,Paramètres!$A$1:$I$89,5,0)</f>
        <v>-2.3942448024172337E-14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377.26246345103175</v>
      </c>
      <c r="AO201" s="59">
        <f t="shared" si="205"/>
        <v>258.25890564000258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31.317624047311391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31.317624047311391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69.655996940310359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2.2737367544323206E-13</v>
      </c>
      <c r="BE201" s="13">
        <f>BD201*VLOOKUP('Données projet'!$B$11,Paramètres!$A$1:$I$89,3,0)*VLOOKUP('Données projet'!$B$11,Paramètres!$A$1:$I$89,5,0)</f>
        <v>1.0049916454590858E-13</v>
      </c>
      <c r="BF201" s="13">
        <f t="shared" si="167"/>
        <v>1.5089081593838289E-12</v>
      </c>
      <c r="BG201" s="20">
        <f t="shared" si="168"/>
        <v>2.8030510891776262E-12</v>
      </c>
      <c r="BH201" s="59">
        <f t="shared" si="194"/>
        <v>292.07198878114076</v>
      </c>
      <c r="BI201" s="59">
        <f ca="1">AVERAGE(OFFSET($BH$3,0,0,'Données projet'!$E$11+1,1))-AVERAGE(OFFSET($H$3,0,0,'Données projet'!$E$11+1,1))</f>
        <v>333.23043896066253</v>
      </c>
      <c r="BJ201" s="59">
        <f t="shared" si="206"/>
        <v>440.63438368668983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10.732679319912865</v>
      </c>
      <c r="BQ201" s="21">
        <f>EXP(-LN(2)/25)*BQ200+(1-EXP(-LN(2)/25))/(LN(2)/25)*Calculateur!BL201*Calculateur!BN201*VLOOKUP('Données projet'!$B$11,Paramètres!$A$1:$I$89,3,0)*0.475*44/12</f>
        <v>2.558564204353261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13.291243524266125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69.655996940310359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1.1368683772161603E-13</v>
      </c>
      <c r="BZ201" s="13">
        <f>BY201*VLOOKUP('Données projet'!$B$12,Paramètres!$A$1:$I$89,3,0)*VLOOKUP('Données projet'!$B$12,Paramètres!$A$1:$I$89,5,0)</f>
        <v>4.5815795601811263E-14</v>
      </c>
      <c r="CA201" s="13">
        <f t="shared" si="170"/>
        <v>7.5374618042508364E-13</v>
      </c>
      <c r="CB201" s="20">
        <f t="shared" si="171"/>
        <v>1.392570441580175E-12</v>
      </c>
      <c r="CC201" s="59">
        <f t="shared" si="195"/>
        <v>292.07198878113934</v>
      </c>
      <c r="CD201" s="59">
        <f ca="1">AVERAGE(OFFSET($CC$3,0,0,'Données projet'!$E$12+1,1))-AVERAGE(OFFSET($H$3,0,0,'Données projet'!$E$12+1,1))</f>
        <v>177.34129362526608</v>
      </c>
      <c r="CE201" s="59">
        <f t="shared" si="207"/>
        <v>156.93407673501022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8.2856451214124665</v>
      </c>
      <c r="CL201" s="21">
        <f>EXP(-LN(2)/25)*CL200+(1-EXP(-LN(2)/25))/(LN(2)/25)*Calculateur!CG201*Calculateur!CI201*VLOOKUP('Données projet'!$B$12,Paramètres!$A$1:$I$89,3,0)*0.475*44/12</f>
        <v>1.6089879178872561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9.8946330392997233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69.655996940310359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8.5265128291212022E-14</v>
      </c>
      <c r="CU201" s="17">
        <f>CT201*VLOOKUP('Données projet'!$B$13,Paramètres!$A$1:$I$89,3,0)*VLOOKUP('Données projet'!$B$13,Paramètres!$A$1:$I$89,5,0)</f>
        <v>5.5865712056402117E-14</v>
      </c>
      <c r="CV201" s="13">
        <f t="shared" si="173"/>
        <v>8.9811031843713517E-13</v>
      </c>
      <c r="CW201" s="20">
        <f t="shared" si="174"/>
        <v>1.6615082531095774E-12</v>
      </c>
      <c r="CX201" s="59">
        <f t="shared" si="196"/>
        <v>292.07198878113962</v>
      </c>
      <c r="CY201" s="59">
        <f ca="1">AVERAGE(OFFSET($CX$3,0,0,'Données projet'!$E$13+1,1))-AVERAGE(OFFSET($H$3,0,0,'Données projet'!$E$13+1,1))</f>
        <v>267.49254683294629</v>
      </c>
      <c r="CZ201" s="59">
        <f t="shared" si="208"/>
        <v>278.02595256967254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7.4276514372626767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7.4276514372626767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69.655996940310359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4.8316906031686813E-13</v>
      </c>
      <c r="DP201" s="17">
        <f>DO201*VLOOKUP('Données projet'!$B$14,Paramètres!$A$1:$I$89,3,0)*VLOOKUP('Données projet'!$B$14,Paramètres!$A$1:$I$89,5,0)</f>
        <v>4.3717136577470225E-13</v>
      </c>
      <c r="DQ201" s="13">
        <f t="shared" si="176"/>
        <v>5.5313598682231701E-12</v>
      </c>
      <c r="DR201" s="20">
        <f t="shared" si="177"/>
        <v>1.039519189921296E-11</v>
      </c>
      <c r="DS201" s="59">
        <f t="shared" si="197"/>
        <v>292.07198878114838</v>
      </c>
      <c r="DT201" s="59">
        <f ca="1">AVERAGE(OFFSET($DS$3,0,0,'Données projet'!$E$14+1,1))-AVERAGE(OFFSET($H$3,0,0,'Données projet'!$E$14+1,1))</f>
        <v>602.02351907077332</v>
      </c>
      <c r="DU201" s="59">
        <f t="shared" si="209"/>
        <v>278.08067690827272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138.24075339868455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138.24075339868455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69.655996940310359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69.655996940310359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69.655996940310359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69.655996940310359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2.2000000000000002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8.0666666666666682</v>
      </c>
      <c r="H202" s="67">
        <f t="shared" si="192"/>
        <v>224.4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69.661964624320348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360.09035401555587</v>
      </c>
      <c r="T202" s="59">
        <f t="shared" si="204"/>
        <v>266.54879627869821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16.298439232676479</v>
      </c>
      <c r="AA202" s="21">
        <f>EXP(-LN(2)/25)*AA201+(1-EXP(-LN(2)/25))/(LN(2)/25)*Calculateur!V202*Calculateur!X202*VLOOKUP('Données projet'!$B$9,Paramètres!$A$1:$I$89,3,0)*0.475*44/12</f>
        <v>2.979861998292558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19.278301230969038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69.661964624320348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-2.8421709430404007E-14</v>
      </c>
      <c r="AJ202" s="13">
        <f>AI202*VLOOKUP('Données projet'!$B$10,Paramètres!$A$1:$I$89,3,0)*VLOOKUP('Données projet'!$B$10,Paramètres!$A$1:$I$89,5,0)</f>
        <v>-2.3942448024172337E-14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377.26246345103175</v>
      </c>
      <c r="AO202" s="59">
        <f t="shared" si="205"/>
        <v>258.25890564000258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30.70350454160813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30.70350454160813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69.661964624320348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2.2737367544323206E-13</v>
      </c>
      <c r="BE202" s="13">
        <f>BD202*VLOOKUP('Données projet'!$B$11,Paramètres!$A$1:$I$89,3,0)*VLOOKUP('Données projet'!$B$11,Paramètres!$A$1:$I$89,5,0)</f>
        <v>1.0049916454590858E-13</v>
      </c>
      <c r="BF202" s="13">
        <f t="shared" si="167"/>
        <v>1.5089081593838289E-12</v>
      </c>
      <c r="BG202" s="20">
        <f t="shared" si="168"/>
        <v>2.8030510891776262E-12</v>
      </c>
      <c r="BH202" s="59">
        <f t="shared" si="194"/>
        <v>292.0938702891774</v>
      </c>
      <c r="BI202" s="59">
        <f ca="1">AVERAGE(OFFSET($BH$3,0,0,'Données projet'!$E$11+1,1))-AVERAGE(OFFSET($H$3,0,0,'Données projet'!$E$11+1,1))</f>
        <v>333.23043896066253</v>
      </c>
      <c r="BJ202" s="59">
        <f t="shared" si="206"/>
        <v>440.63438368668983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10.522218024737366</v>
      </c>
      <c r="BQ202" s="21">
        <f>EXP(-LN(2)/25)*BQ201+(1-EXP(-LN(2)/25))/(LN(2)/25)*Calculateur!BL202*Calculateur!BN202*VLOOKUP('Données projet'!$B$11,Paramètres!$A$1:$I$89,3,0)*0.475*44/12</f>
        <v>2.4886001316361774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13.010818156373544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69.661964624320348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1.1368683772161603E-13</v>
      </c>
      <c r="BZ202" s="13">
        <f>BY202*VLOOKUP('Données projet'!$B$12,Paramètres!$A$1:$I$89,3,0)*VLOOKUP('Données projet'!$B$12,Paramètres!$A$1:$I$89,5,0)</f>
        <v>4.5815795601811263E-14</v>
      </c>
      <c r="CA202" s="13">
        <f t="shared" si="170"/>
        <v>7.5374618042508364E-13</v>
      </c>
      <c r="CB202" s="20">
        <f t="shared" si="171"/>
        <v>1.392570441580175E-12</v>
      </c>
      <c r="CC202" s="59">
        <f t="shared" si="195"/>
        <v>292.09387028917598</v>
      </c>
      <c r="CD202" s="59">
        <f ca="1">AVERAGE(OFFSET($CC$3,0,0,'Données projet'!$E$12+1,1))-AVERAGE(OFFSET($H$3,0,0,'Données projet'!$E$12+1,1))</f>
        <v>177.34129362526608</v>
      </c>
      <c r="CE202" s="59">
        <f t="shared" si="207"/>
        <v>156.93407673501022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8.1231686743260756</v>
      </c>
      <c r="CL202" s="21">
        <f>EXP(-LN(2)/25)*CL201+(1-EXP(-LN(2)/25))/(LN(2)/25)*Calculateur!CG202*Calculateur!CI202*VLOOKUP('Données projet'!$B$12,Paramètres!$A$1:$I$89,3,0)*0.475*44/12</f>
        <v>1.5649900586596319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9.6881587329857073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69.661964624320348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8.5265128291212022E-14</v>
      </c>
      <c r="CU202" s="17">
        <f>CT202*VLOOKUP('Données projet'!$B$13,Paramètres!$A$1:$I$89,3,0)*VLOOKUP('Données projet'!$B$13,Paramètres!$A$1:$I$89,5,0)</f>
        <v>5.5865712056402117E-14</v>
      </c>
      <c r="CV202" s="13">
        <f t="shared" si="173"/>
        <v>8.9811031843713517E-13</v>
      </c>
      <c r="CW202" s="20">
        <f t="shared" si="174"/>
        <v>1.6615082531095774E-12</v>
      </c>
      <c r="CX202" s="59">
        <f t="shared" si="196"/>
        <v>292.09387028917627</v>
      </c>
      <c r="CY202" s="59">
        <f ca="1">AVERAGE(OFFSET($CX$3,0,0,'Données projet'!$E$13+1,1))-AVERAGE(OFFSET($H$3,0,0,'Données projet'!$E$13+1,1))</f>
        <v>267.49254683294629</v>
      </c>
      <c r="CZ202" s="59">
        <f t="shared" si="208"/>
        <v>278.02595256967254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7.2819997229979903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7.2819997229979903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69.661964624320348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4.8316906031686813E-13</v>
      </c>
      <c r="DP202" s="17">
        <f>DO202*VLOOKUP('Données projet'!$B$14,Paramètres!$A$1:$I$89,3,0)*VLOOKUP('Données projet'!$B$14,Paramètres!$A$1:$I$89,5,0)</f>
        <v>4.3717136577470225E-13</v>
      </c>
      <c r="DQ202" s="13">
        <f t="shared" si="176"/>
        <v>5.5313598682231701E-12</v>
      </c>
      <c r="DR202" s="20">
        <f t="shared" si="177"/>
        <v>1.039519189921296E-11</v>
      </c>
      <c r="DS202" s="59">
        <f t="shared" si="197"/>
        <v>292.09387028918502</v>
      </c>
      <c r="DT202" s="59">
        <f ca="1">AVERAGE(OFFSET($DS$3,0,0,'Données projet'!$E$14+1,1))-AVERAGE(OFFSET($H$3,0,0,'Données projet'!$E$14+1,1))</f>
        <v>602.02351907077332</v>
      </c>
      <c r="DU202" s="59">
        <f t="shared" si="209"/>
        <v>278.08067690827272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135.52993654307016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135.52993654307016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69.661964624320348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69.661964624320348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69.661964624320348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69.661964624320348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2.2000000000000002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59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8.0666666666666682</v>
      </c>
      <c r="H203" s="67">
        <f t="shared" si="192"/>
        <v>224.4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69.667828782354505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360.09035401555587</v>
      </c>
      <c r="T203" s="59">
        <f t="shared" si="204"/>
        <v>266.54879627869821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15.978836780390026</v>
      </c>
      <c r="AA203" s="21">
        <f>EXP(-LN(2)/25)*AA202+(1-EXP(-LN(2)/25))/(LN(2)/25)*Calculateur!V203*Calculateur!X203*VLOOKUP('Données projet'!$B$9,Paramètres!$A$1:$I$89,3,0)*0.475*44/12</f>
        <v>2.8983775152451163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18.877214295635142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69.667828782354505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-2.8421709430404007E-14</v>
      </c>
      <c r="AJ203" s="13">
        <f>AI203*VLOOKUP('Données projet'!$B$10,Paramètres!$A$1:$I$89,3,0)*VLOOKUP('Données projet'!$B$10,Paramètres!$A$1:$I$89,5,0)</f>
        <v>-2.3942448024172337E-14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377.26246345103175</v>
      </c>
      <c r="AO203" s="59">
        <f t="shared" si="205"/>
        <v>258.25890564000258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30.101427544835797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30.101427544835797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69.667828782354505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2.2737367544323206E-13</v>
      </c>
      <c r="BE203" s="13">
        <f>BD203*VLOOKUP('Données projet'!$B$11,Paramètres!$A$1:$I$89,3,0)*VLOOKUP('Données projet'!$B$11,Paramètres!$A$1:$I$89,5,0)</f>
        <v>1.0049916454590858E-13</v>
      </c>
      <c r="BF203" s="13">
        <f t="shared" si="167"/>
        <v>1.5089081593838289E-12</v>
      </c>
      <c r="BG203" s="20">
        <f t="shared" si="168"/>
        <v>2.8030510891776262E-12</v>
      </c>
      <c r="BH203" s="59">
        <f t="shared" si="194"/>
        <v>292.11537220196931</v>
      </c>
      <c r="BI203" s="59">
        <f ca="1">AVERAGE(OFFSET($BH$3,0,0,'Données projet'!$E$11+1,1))-AVERAGE(OFFSET($H$3,0,0,'Données projet'!$E$11+1,1))</f>
        <v>333.23043896066253</v>
      </c>
      <c r="BJ203" s="59">
        <f t="shared" si="206"/>
        <v>440.63438368668983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10.315883747191545</v>
      </c>
      <c r="BQ203" s="21">
        <f>EXP(-LN(2)/25)*BQ202+(1-EXP(-LN(2)/25))/(LN(2)/25)*Calculateur!BL203*Calculateur!BN203*VLOOKUP('Données projet'!$B$11,Paramètres!$A$1:$I$89,3,0)*0.475*44/12</f>
        <v>2.420549230166793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12.736432977358339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69.667828782354505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1.1368683772161603E-13</v>
      </c>
      <c r="BZ203" s="13">
        <f>BY203*VLOOKUP('Données projet'!$B$12,Paramètres!$A$1:$I$89,3,0)*VLOOKUP('Données projet'!$B$12,Paramètres!$A$1:$I$89,5,0)</f>
        <v>4.5815795601811263E-14</v>
      </c>
      <c r="CA203" s="13">
        <f t="shared" si="170"/>
        <v>7.5374618042508364E-13</v>
      </c>
      <c r="CB203" s="20">
        <f t="shared" si="171"/>
        <v>1.392570441580175E-12</v>
      </c>
      <c r="CC203" s="59">
        <f t="shared" si="195"/>
        <v>292.11537220196789</v>
      </c>
      <c r="CD203" s="59">
        <f ca="1">AVERAGE(OFFSET($CC$3,0,0,'Données projet'!$E$12+1,1))-AVERAGE(OFFSET($H$3,0,0,'Données projet'!$E$12+1,1))</f>
        <v>177.34129362526608</v>
      </c>
      <c r="CE203" s="59">
        <f t="shared" si="207"/>
        <v>156.93407673501022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7.9638782912662025</v>
      </c>
      <c r="CL203" s="21">
        <f>EXP(-LN(2)/25)*CL202+(1-EXP(-LN(2)/25))/(LN(2)/25)*Calculateur!CG203*Calculateur!CI203*VLOOKUP('Données projet'!$B$12,Paramètres!$A$1:$I$89,3,0)*0.475*44/12</f>
        <v>1.5221953232063339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9.4860736144725362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69.667828782354505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8.5265128291212022E-14</v>
      </c>
      <c r="CU203" s="17">
        <f>CT203*VLOOKUP('Données projet'!$B$13,Paramètres!$A$1:$I$89,3,0)*VLOOKUP('Données projet'!$B$13,Paramètres!$A$1:$I$89,5,0)</f>
        <v>5.5865712056402117E-14</v>
      </c>
      <c r="CV203" s="13">
        <f t="shared" si="173"/>
        <v>8.9811031843713517E-13</v>
      </c>
      <c r="CW203" s="20">
        <f t="shared" si="174"/>
        <v>1.6615082531095774E-12</v>
      </c>
      <c r="CX203" s="59">
        <f t="shared" si="196"/>
        <v>292.11537220196817</v>
      </c>
      <c r="CY203" s="59">
        <f ca="1">AVERAGE(OFFSET($CX$3,0,0,'Données projet'!$E$13+1,1))-AVERAGE(OFFSET($H$3,0,0,'Données projet'!$E$13+1,1))</f>
        <v>267.49254683294629</v>
      </c>
      <c r="CZ203" s="59">
        <f t="shared" si="208"/>
        <v>278.02595256967254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7.1392041500112606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7.1392041500112606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69.667828782354505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4.8316906031686813E-13</v>
      </c>
      <c r="DP203" s="17">
        <f>DO203*VLOOKUP('Données projet'!$B$14,Paramètres!$A$1:$I$89,3,0)*VLOOKUP('Données projet'!$B$14,Paramètres!$A$1:$I$89,5,0)</f>
        <v>4.3717136577470225E-13</v>
      </c>
      <c r="DQ203" s="13">
        <f t="shared" si="176"/>
        <v>5.5313598682231701E-12</v>
      </c>
      <c r="DR203" s="20">
        <f t="shared" si="177"/>
        <v>1.039519189921296E-11</v>
      </c>
      <c r="DS203" s="59">
        <f t="shared" si="197"/>
        <v>292.11537220197692</v>
      </c>
      <c r="DT203" s="59">
        <f ca="1">AVERAGE(OFFSET($DS$3,0,0,'Données projet'!$E$14+1,1))-AVERAGE(OFFSET($H$3,0,0,'Données projet'!$E$14+1,1))</f>
        <v>602.02351907077332</v>
      </c>
      <c r="DU203" s="59">
        <f t="shared" si="209"/>
        <v>278.08067690827272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132.87227715255935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132.87227715255935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69.667828782354505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69.667828782354505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69.667828782354505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69.667828782354505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1.2472301622014093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1.1398946049533631</v>
      </c>
      <c r="BA205" s="82">
        <f>EXP(LN('Données projet'!B88)/'Données projet'!A88)</f>
        <v>1.3431115227802051</v>
      </c>
      <c r="BV205" s="82">
        <f>EXP(LN('Données projet'!B114)/'Données projet'!A114)</f>
        <v>1.2195891146753286</v>
      </c>
      <c r="CQ205" s="82">
        <f>EXP(LN('Données projet'!B140)/'Données projet'!A140)</f>
        <v>1.2709816152101407</v>
      </c>
      <c r="DL205" s="82">
        <f>EXP(LN('Données projet'!B166)/'Données projet'!A166)</f>
        <v>1.1289835501862808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19" sqref="I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laricio</v>
      </c>
      <c r="B6" s="146">
        <f>'Données projet'!D9</f>
        <v>1.3973424961935723</v>
      </c>
      <c r="C6" s="147">
        <f ca="1">IF(OR('Données projet'!B9="",'Données projet'!C9="",'Données projet'!C9=0%),0,Calculateur!S3)</f>
        <v>360.09035401555587</v>
      </c>
      <c r="D6" s="147">
        <f>IF(OR('Données projet'!B9="",'Données projet'!C9="",'Données projet'!C9=0%),0,Calculateur!T3)</f>
        <v>266.54879627869821</v>
      </c>
      <c r="E6" s="147">
        <f ca="1">MIN(C6,D6)</f>
        <v>266.54879627869821</v>
      </c>
      <c r="F6" s="147">
        <f ca="1">E6*B6</f>
        <v>372.45996034946813</v>
      </c>
      <c r="G6" s="147">
        <f ca="1">F6*(100%-'Données projet'!$C$24)*(100%-'Données projet'!$C$25)*(100%-'Données projet'!$C$26)*(100%-'Données projet'!$C$27)</f>
        <v>335.21396431452132</v>
      </c>
      <c r="H6" s="148">
        <f>IF(OR('Données projet'!B9="",'Données projet'!C9="",'Données projet'!C9=0%),0,AVERAGE(Calculateur!$AC$3:$AC$33)*B6)</f>
        <v>8.2282354172074488</v>
      </c>
      <c r="I6" s="149">
        <f>H6*(100%-'Données projet'!$C$24)*(100%-'Données projet'!$C$25)*(100%-'Données projet'!$C$26)*(100%-'Données projet'!$C$27)</f>
        <v>7.4054118754867044</v>
      </c>
      <c r="J6" s="150">
        <f>IF(OR('Données projet'!B9="",'Données projet'!C9="",'Données projet'!C9=0%),0,SUM(Calculateur!$V$3:$V$33)*VLOOKUP('Données projet'!$B$9,Paramètres!$A$1:$I$89,9,0)*B6)</f>
        <v>54.227368921032053</v>
      </c>
      <c r="K6" s="151">
        <f>J6*(100%-'Données projet'!$C$24)*(100%-'Données projet'!$C$25)*(100%-'Données projet'!$C$26)*(100%-'Données projet'!$C$27)</f>
        <v>48.80463202892885</v>
      </c>
      <c r="L6" s="152">
        <f ca="1">G6+I6+K6</f>
        <v>391.42400821893688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pédonculé</v>
      </c>
      <c r="B7" s="154">
        <f>'Données projet'!D10</f>
        <v>1.6629965639274105</v>
      </c>
      <c r="C7" s="147">
        <f ca="1">IF(OR('Données projet'!B10="",'Données projet'!C10="",'Données projet'!C10=0%),0,Calculateur!AN3)</f>
        <v>377.26246345103175</v>
      </c>
      <c r="D7" s="147">
        <f>IF(OR('Données projet'!B10="",'Données projet'!C10="",'Données projet'!C10=0%),0,Calculateur!AO3)</f>
        <v>258.25890564000258</v>
      </c>
      <c r="E7" s="147">
        <f t="shared" ref="E7:E15" ca="1" si="0">MIN(C7,D7)</f>
        <v>258.25890564000258</v>
      </c>
      <c r="F7" s="147">
        <f t="shared" ref="F7:F15" ca="1" si="1">E7*B7</f>
        <v>429.48367268297761</v>
      </c>
      <c r="G7" s="147">
        <f ca="1">F7*(100%-'Données projet'!$C$24)*(100%-'Données projet'!$C$25)*(100%-'Données projet'!$C$26)*(100%-'Données projet'!$C$27)</f>
        <v>386.53530541467984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386.53530541467984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Séquoia toujours vert</v>
      </c>
      <c r="B8" s="154">
        <f>'Données projet'!D11</f>
        <v>0.84544520801613121</v>
      </c>
      <c r="C8" s="147">
        <f ca="1">IF(OR('Données projet'!B11="",'Données projet'!C11="",'Données projet'!C11=0%),0,Calculateur!BI3)</f>
        <v>333.23043896066253</v>
      </c>
      <c r="D8" s="147">
        <f>IF(OR('Données projet'!B11="",'Données projet'!C11="",'Données projet'!C11=0%),0,Calculateur!BJ3)</f>
        <v>440.63438368668983</v>
      </c>
      <c r="E8" s="147">
        <f t="shared" ca="1" si="0"/>
        <v>333.23043896066253</v>
      </c>
      <c r="F8" s="147">
        <f t="shared" ca="1" si="1"/>
        <v>281.72807778440404</v>
      </c>
      <c r="G8" s="147">
        <f ca="1">F8*(100%-'Données projet'!$C$24)*(100%-'Données projet'!$C$25)*(100%-'Données projet'!$C$26)*(100%-'Données projet'!$C$27)</f>
        <v>253.55527000596365</v>
      </c>
      <c r="H8" s="155">
        <f>IF(OR('Données projet'!B11="",'Données projet'!C11="",'Données projet'!C11=0%),0,AVERAGE(Calculateur!$BS$3:$BS$33)*B8)</f>
        <v>10.867555597601184</v>
      </c>
      <c r="I8" s="149">
        <f>H8*(100%-'Données projet'!$C$24)*(100%-'Données projet'!$C$25)*(100%-'Données projet'!$C$26)*(100%-'Données projet'!$C$27)</f>
        <v>9.7808000378410664</v>
      </c>
      <c r="J8" s="150">
        <f>IF(OR('Données projet'!B11="",'Données projet'!C11="",'Données projet'!C11=0%),0,SUM(Calculateur!$BL$3:$BL$33)*VLOOKUP('Données projet'!$B$11,Paramètres!$A$1:$I$89,9,0)*B8)</f>
        <v>75.318515424616294</v>
      </c>
      <c r="K8" s="151">
        <f>J8*(100%-'Données projet'!$C$24)*(100%-'Données projet'!$C$25)*(100%-'Données projet'!$C$26)*(100%-'Données projet'!$C$27)</f>
        <v>67.78666388215467</v>
      </c>
      <c r="L8" s="152">
        <f t="shared" ca="1" si="2"/>
        <v>331.12273392595944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Thuya géant</v>
      </c>
      <c r="B9" s="154">
        <f>'Données projet'!D12</f>
        <v>0.72900000000000009</v>
      </c>
      <c r="C9" s="147">
        <f ca="1">IF(OR('Données projet'!B12="",'Données projet'!C12="",'Données projet'!C12=0%),0,Calculateur!CD3)</f>
        <v>177.34129362526608</v>
      </c>
      <c r="D9" s="147">
        <f>IF(OR('Données projet'!B12="",'Données projet'!C12="",'Données projet'!C12=0%),0,Calculateur!CE3)</f>
        <v>156.93407673501022</v>
      </c>
      <c r="E9" s="147">
        <f t="shared" ca="1" si="0"/>
        <v>156.93407673501022</v>
      </c>
      <c r="F9" s="147">
        <f t="shared" ca="1" si="1"/>
        <v>114.40494193982246</v>
      </c>
      <c r="G9" s="147">
        <f ca="1">F9*(100%-'Données projet'!$C$24)*(100%-'Données projet'!$C$25)*(100%-'Données projet'!$C$26)*(100%-'Données projet'!$C$27)</f>
        <v>102.96444774584022</v>
      </c>
      <c r="H9" s="155">
        <f>IF(OR('Données projet'!B12="",'Données projet'!C12="",'Données projet'!C12=0%),0,AVERAGE(Calculateur!$CN$3:$CN$33)*B9)</f>
        <v>1.2434717706398202</v>
      </c>
      <c r="I9" s="149">
        <f>H9*(100%-'Données projet'!$C$24)*(100%-'Données projet'!$C$25)*(100%-'Données projet'!$C$26)*(100%-'Données projet'!$C$27)</f>
        <v>1.1191245935758383</v>
      </c>
      <c r="J9" s="150">
        <f>IF(OR('Données projet'!B12="",'Données projet'!C12="",'Données projet'!C12=0%),0,SUM(Calculateur!$CG$3:$CG$33)*VLOOKUP('Données projet'!$B$12,Paramètres!$A$1:$I$89,9,0)*B9)</f>
        <v>16.274660227200005</v>
      </c>
      <c r="K9" s="151">
        <f>J9*(100%-'Données projet'!$C$24)*(100%-'Données projet'!$C$25)*(100%-'Données projet'!$C$26)*(100%-'Données projet'!$C$27)</f>
        <v>14.647194204480005</v>
      </c>
      <c r="L9" s="152">
        <f t="shared" ca="1" si="2"/>
        <v>118.73076654389605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Aulne glutineux</v>
      </c>
      <c r="B10" s="154">
        <f>'Données projet'!D13</f>
        <v>0.99221916793547582</v>
      </c>
      <c r="C10" s="147">
        <f ca="1">IF(OR('Données projet'!B13="",'Données projet'!C13="",'Données projet'!C13=0%),0,Calculateur!CY3)</f>
        <v>267.49254683294629</v>
      </c>
      <c r="D10" s="147">
        <f>IF(OR('Données projet'!B13="",'Données projet'!C13="",'Données projet'!C13=0%),0,Calculateur!CZ3)</f>
        <v>278.02595256967254</v>
      </c>
      <c r="E10" s="147">
        <f t="shared" ca="1" si="0"/>
        <v>267.49254683294629</v>
      </c>
      <c r="F10" s="147">
        <f t="shared" ca="1" si="1"/>
        <v>265.41123224752727</v>
      </c>
      <c r="G10" s="147">
        <f ca="1">F10*(100%-'Données projet'!$C$24)*(100%-'Données projet'!$C$25)*(100%-'Données projet'!$C$26)*(100%-'Données projet'!$C$27)</f>
        <v>238.87010902277456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14.635232727048269</v>
      </c>
      <c r="K10" s="151">
        <f>J10*(100%-'Données projet'!$C$24)*(100%-'Données projet'!$C$25)*(100%-'Données projet'!$C$26)*(100%-'Données projet'!$C$27)</f>
        <v>13.171709454343443</v>
      </c>
      <c r="L10" s="152">
        <f t="shared" ca="1" si="2"/>
        <v>252.041818477118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Chêne sessile</v>
      </c>
      <c r="B11" s="154">
        <f>'Données projet'!D14</f>
        <v>1.6629965639274105</v>
      </c>
      <c r="C11" s="147">
        <f ca="1">IF(OR('Données projet'!B14="",'Données projet'!C14="",'Données projet'!C14=0%),0,Calculateur!DT3)</f>
        <v>602.02351907077332</v>
      </c>
      <c r="D11" s="147">
        <f>IF(OR('Données projet'!B14="",'Données projet'!C14="",'Données projet'!C14=0%),0,Calculateur!DU3)</f>
        <v>278.08067690827272</v>
      </c>
      <c r="E11" s="147">
        <f t="shared" ca="1" si="0"/>
        <v>278.08067690827272</v>
      </c>
      <c r="F11" s="147">
        <f t="shared" ca="1" si="1"/>
        <v>462.44721019306593</v>
      </c>
      <c r="G11" s="147">
        <f ca="1">F11*(100%-'Données projet'!$C$24)*(100%-'Données projet'!$C$25)*(100%-'Données projet'!$C$26)*(100%-'Données projet'!$C$27)</f>
        <v>416.20248917375932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416.20248917375932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1925.9350951972656</v>
      </c>
      <c r="G16" s="166">
        <f t="shared" ca="1" si="3"/>
        <v>1733.3415856775391</v>
      </c>
      <c r="H16" s="167">
        <f t="shared" si="3"/>
        <v>20.339262785448454</v>
      </c>
      <c r="I16" s="167">
        <f t="shared" si="3"/>
        <v>18.305336506903608</v>
      </c>
      <c r="J16" s="168">
        <f t="shared" si="3"/>
        <v>160.45577729989662</v>
      </c>
      <c r="K16" s="168">
        <f t="shared" si="3"/>
        <v>144.41019956990698</v>
      </c>
      <c r="L16" s="169">
        <f t="shared" ca="1" si="3"/>
        <v>1896.0571217543493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Séquoia toujours vert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Thuya géant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Aulne glutineux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Chêne sessile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80" zoomScaleNormal="80" workbookViewId="0">
      <selection activeCell="E141" sqref="E141:E14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-287.08410748281898</v>
      </c>
      <c r="U10" s="178">
        <f>'Données projet'!D9</f>
        <v>1.3973424961935723</v>
      </c>
      <c r="V10" s="177">
        <f>U10*T10</f>
        <v>-401.1548233675461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-2635.1652208116225</v>
      </c>
      <c r="U11" s="178">
        <f>'Données projet'!D10</f>
        <v>1.6629965639274105</v>
      </c>
      <c r="V11" s="177">
        <f t="shared" ref="V11" si="0">U11*T11</f>
        <v>-4382.2707075907438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Séquoia toujours vert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-931.80631213282459</v>
      </c>
      <c r="U12" s="178">
        <f>'Données projet'!D11</f>
        <v>0.84544520801613121</v>
      </c>
      <c r="V12" s="177">
        <f t="shared" ref="V12:V19" si="1">U12*T12</f>
        <v>-787.79118139187995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Thuya géant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-3230.2434853987365</v>
      </c>
      <c r="U13" s="178">
        <f>'Données projet'!D12</f>
        <v>0.72900000000000009</v>
      </c>
      <c r="V13" s="177">
        <f t="shared" si="1"/>
        <v>-2354.8475008556793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Aulne glutineux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-1589.9934585800249</v>
      </c>
      <c r="U14" s="178">
        <f>'Données projet'!D13</f>
        <v>0.99221916793547582</v>
      </c>
      <c r="V14" s="177">
        <f t="shared" si="1"/>
        <v>-1577.6219864951217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sessile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-1962.1876256090263</v>
      </c>
      <c r="U15" s="178">
        <f>'Données projet'!D14</f>
        <v>1.6629965639274105</v>
      </c>
      <c r="V15" s="177">
        <f t="shared" si="1"/>
        <v>-3263.1112791686951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1500*(0.43+0.65)</f>
        <v>1620</v>
      </c>
      <c r="F17" s="230"/>
      <c r="G17" s="303"/>
      <c r="I17" s="1" t="s">
        <v>326</v>
      </c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I18" s="1" t="s">
        <v>325</v>
      </c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0.15*E17</f>
        <v>243</v>
      </c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(800+0.08*28611.05+450+447.75+1210.5)/'Données projet'!C5+180+280+550+60+350</f>
        <v>2132.9127572016459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20+350+620+0.4*1500</f>
        <v>1590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20+350+0.4*1500</f>
        <v>970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22</v>
      </c>
      <c r="B23" s="181">
        <f>'Données projet'!D36</f>
        <v>52.41</v>
      </c>
      <c r="C23" s="193">
        <v>8.5</v>
      </c>
      <c r="D23" s="182">
        <f>B23*C23</f>
        <v>445.48499999999996</v>
      </c>
      <c r="E23" s="193"/>
      <c r="F23" s="230"/>
      <c r="H23" s="190">
        <v>4</v>
      </c>
      <c r="I23" s="191">
        <v>20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-46943.725981677897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27</v>
      </c>
      <c r="B24" s="181">
        <f>'Données projet'!D37</f>
        <v>37.840000000000003</v>
      </c>
      <c r="C24" s="193">
        <v>8.5</v>
      </c>
      <c r="D24" s="182">
        <f t="shared" ref="D24:D42" si="2">B24*C24</f>
        <v>321.64000000000004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33</v>
      </c>
      <c r="B25" s="181">
        <f>'Données projet'!D38</f>
        <v>50.41</v>
      </c>
      <c r="C25" s="193">
        <v>15.5</v>
      </c>
      <c r="D25" s="182">
        <f t="shared" si="2"/>
        <v>781.3549999999999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-46943.725981677897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41</v>
      </c>
      <c r="B26" s="181">
        <f>'Données projet'!D39</f>
        <v>72.13</v>
      </c>
      <c r="C26" s="193">
        <v>15.5</v>
      </c>
      <c r="D26" s="182">
        <f t="shared" si="2"/>
        <v>1118.0149999999999</v>
      </c>
      <c r="E26" s="193"/>
      <c r="F26" s="233"/>
      <c r="G26" s="229"/>
      <c r="H26" s="190">
        <v>7</v>
      </c>
      <c r="I26" s="191">
        <v>20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70.2</v>
      </c>
      <c r="C27" s="193">
        <v>29.5</v>
      </c>
      <c r="D27" s="182">
        <f t="shared" si="2"/>
        <v>2070.9</v>
      </c>
      <c r="E27" s="193"/>
      <c r="F27" s="233"/>
      <c r="G27" s="229"/>
      <c r="H27" s="190">
        <v>8</v>
      </c>
      <c r="I27" s="191">
        <v>20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69.849999999999994</v>
      </c>
      <c r="C28" s="193">
        <v>29.5</v>
      </c>
      <c r="D28" s="182">
        <f t="shared" si="2"/>
        <v>2060.5749999999998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67.88</v>
      </c>
      <c r="C29" s="193">
        <v>29.5</v>
      </c>
      <c r="D29" s="182">
        <f t="shared" si="2"/>
        <v>2002.4599999999998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520</v>
      </c>
      <c r="C30" s="193">
        <v>29.5</v>
      </c>
      <c r="D30" s="182">
        <f t="shared" si="2"/>
        <v>15340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1500*(1.6+0.7)</f>
        <v>3449.9999999999995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0.15*E48</f>
        <v>517.49999999999989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38</v>
      </c>
      <c r="B54" s="181">
        <f>'Données projet'!D62</f>
        <v>69.08</v>
      </c>
      <c r="C54" s="191">
        <v>5</v>
      </c>
      <c r="D54" s="179">
        <f>B54*C54</f>
        <v>345.4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45</v>
      </c>
      <c r="B55" s="181">
        <f>'Données projet'!D63</f>
        <v>39.119999999999997</v>
      </c>
      <c r="C55" s="191">
        <v>54.5</v>
      </c>
      <c r="D55" s="179">
        <f t="shared" ref="D55:D73" si="4">B55*C55</f>
        <v>2132.04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52</v>
      </c>
      <c r="B56" s="181">
        <f>'Données projet'!D64</f>
        <v>40.9</v>
      </c>
      <c r="C56" s="191">
        <v>54.5</v>
      </c>
      <c r="D56" s="179">
        <f t="shared" si="4"/>
        <v>2229.0499999999997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59</v>
      </c>
      <c r="B57" s="181">
        <f>'Données projet'!D65</f>
        <v>38.119999999999997</v>
      </c>
      <c r="C57" s="191">
        <v>54.5</v>
      </c>
      <c r="D57" s="179">
        <f t="shared" si="4"/>
        <v>2077.54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67</v>
      </c>
      <c r="B58" s="181">
        <f>'Données projet'!D66</f>
        <v>38.229999999999997</v>
      </c>
      <c r="C58" s="191">
        <v>104</v>
      </c>
      <c r="D58" s="179">
        <f t="shared" si="4"/>
        <v>3975.9199999999996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75</v>
      </c>
      <c r="B59" s="181">
        <f>'Données projet'!D67</f>
        <v>38.909999999999997</v>
      </c>
      <c r="C59" s="191">
        <v>104</v>
      </c>
      <c r="D59" s="179">
        <f t="shared" si="4"/>
        <v>4046.6399999999994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83</v>
      </c>
      <c r="B60" s="181">
        <f>'Données projet'!D68</f>
        <v>44.22</v>
      </c>
      <c r="C60" s="191">
        <v>104</v>
      </c>
      <c r="D60" s="179">
        <f t="shared" si="4"/>
        <v>4598.88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93</v>
      </c>
      <c r="B61" s="181">
        <f>'Données projet'!D69</f>
        <v>59.26</v>
      </c>
      <c r="C61" s="191">
        <v>104</v>
      </c>
      <c r="D61" s="179">
        <f t="shared" si="4"/>
        <v>6163.04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103</v>
      </c>
      <c r="B62" s="181">
        <f>'Données projet'!D70</f>
        <v>58.98</v>
      </c>
      <c r="C62" s="191">
        <v>104</v>
      </c>
      <c r="D62" s="179">
        <f t="shared" si="4"/>
        <v>6133.92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113</v>
      </c>
      <c r="B63" s="181">
        <f>'Données projet'!D71</f>
        <v>59.52</v>
      </c>
      <c r="C63" s="191">
        <v>104</v>
      </c>
      <c r="D63" s="179">
        <f t="shared" si="4"/>
        <v>6190.08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123</v>
      </c>
      <c r="B64" s="181">
        <f>'Données projet'!D72</f>
        <v>175.3</v>
      </c>
      <c r="C64" s="191">
        <v>104</v>
      </c>
      <c r="D64" s="179">
        <f t="shared" si="4"/>
        <v>18231.2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125</v>
      </c>
      <c r="B65" s="181">
        <f>'Données projet'!D73</f>
        <v>60.7</v>
      </c>
      <c r="C65" s="191">
        <v>104</v>
      </c>
      <c r="D65" s="179">
        <f t="shared" si="4"/>
        <v>6312.8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127</v>
      </c>
      <c r="B66" s="181">
        <f>'Données projet'!D74</f>
        <v>39.56</v>
      </c>
      <c r="C66" s="191">
        <v>104</v>
      </c>
      <c r="D66" s="179">
        <f t="shared" si="4"/>
        <v>4114.24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130</v>
      </c>
      <c r="B67" s="181">
        <f>'Données projet'!D75</f>
        <v>96.57</v>
      </c>
      <c r="C67" s="191">
        <v>104</v>
      </c>
      <c r="D67" s="179">
        <f t="shared" si="4"/>
        <v>10043.279999999999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Séquoia toujours vert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1500*(1.65+0.65)</f>
        <v>3449.9999999999995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61</v>
      </c>
      <c r="I80" s="191">
        <v>20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0.15*E79</f>
        <v>517.49999999999989</v>
      </c>
      <c r="F81" s="231"/>
      <c r="G81" s="23"/>
      <c r="H81" s="190">
        <v>62</v>
      </c>
      <c r="I81" s="191">
        <v>20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63</v>
      </c>
      <c r="I82" s="191">
        <v>20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64</v>
      </c>
      <c r="I83" s="191">
        <v>20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65</v>
      </c>
      <c r="I84" s="191">
        <v>20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18</v>
      </c>
      <c r="B85" s="181">
        <f>'Données projet'!D88</f>
        <v>74.819999999999993</v>
      </c>
      <c r="C85" s="191">
        <v>5</v>
      </c>
      <c r="D85" s="179">
        <f>B85*C85</f>
        <v>374.09999999999997</v>
      </c>
      <c r="E85" s="193"/>
      <c r="F85" s="232"/>
      <c r="G85" s="205"/>
      <c r="H85" s="190">
        <v>66</v>
      </c>
      <c r="I85" s="191">
        <v>20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24</v>
      </c>
      <c r="B86" s="181">
        <f>'Données projet'!D89</f>
        <v>51.39</v>
      </c>
      <c r="C86" s="191">
        <v>5</v>
      </c>
      <c r="D86" s="179">
        <f t="shared" ref="D86:D104" si="6">B86*C86</f>
        <v>256.95</v>
      </c>
      <c r="E86" s="193"/>
      <c r="F86" s="232"/>
      <c r="G86" s="205"/>
      <c r="H86" s="190">
        <v>67</v>
      </c>
      <c r="I86" s="191">
        <v>20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80.97</v>
      </c>
      <c r="C87" s="191">
        <v>5</v>
      </c>
      <c r="D87" s="179">
        <f t="shared" si="6"/>
        <v>404.85</v>
      </c>
      <c r="E87" s="193"/>
      <c r="F87" s="232"/>
      <c r="G87" s="205"/>
      <c r="H87" s="190">
        <v>68</v>
      </c>
      <c r="I87" s="191">
        <v>20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36</v>
      </c>
      <c r="B88" s="181">
        <f>'Données projet'!D91</f>
        <v>85.88</v>
      </c>
      <c r="C88" s="191">
        <v>5</v>
      </c>
      <c r="D88" s="179">
        <f t="shared" si="6"/>
        <v>429.4</v>
      </c>
      <c r="E88" s="193"/>
      <c r="F88" s="232"/>
      <c r="G88" s="205"/>
      <c r="H88" s="190">
        <v>69</v>
      </c>
      <c r="I88" s="191">
        <v>20</v>
      </c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42</v>
      </c>
      <c r="B89" s="181">
        <f>'Données projet'!D92</f>
        <v>91.25</v>
      </c>
      <c r="C89" s="191">
        <v>22.5</v>
      </c>
      <c r="D89" s="179">
        <f t="shared" si="6"/>
        <v>2053.125</v>
      </c>
      <c r="E89" s="193"/>
      <c r="F89" s="232"/>
      <c r="G89" s="205"/>
      <c r="H89" s="190">
        <v>70</v>
      </c>
      <c r="I89" s="191">
        <v>20</v>
      </c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48</v>
      </c>
      <c r="B90" s="181">
        <f>'Données projet'!D93</f>
        <v>101.34</v>
      </c>
      <c r="C90" s="191">
        <v>22.5</v>
      </c>
      <c r="D90" s="179">
        <f t="shared" si="6"/>
        <v>2280.15</v>
      </c>
      <c r="E90" s="193"/>
      <c r="F90" s="232"/>
      <c r="G90" s="205"/>
      <c r="H90" s="190">
        <v>71</v>
      </c>
      <c r="I90" s="191">
        <v>20</v>
      </c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54</v>
      </c>
      <c r="B91" s="181">
        <f>'Données projet'!D94</f>
        <v>707.75</v>
      </c>
      <c r="C91" s="191">
        <v>29.5</v>
      </c>
      <c r="D91" s="179">
        <f t="shared" si="6"/>
        <v>20878.625</v>
      </c>
      <c r="E91" s="193"/>
      <c r="F91" s="232"/>
      <c r="G91" s="206"/>
      <c r="H91" s="190">
        <v>72</v>
      </c>
      <c r="I91" s="191">
        <v>20</v>
      </c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>
        <v>73</v>
      </c>
      <c r="I92" s="191">
        <v>20</v>
      </c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>
        <v>74</v>
      </c>
      <c r="I93" s="191">
        <v>20</v>
      </c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>
        <v>75</v>
      </c>
      <c r="I94" s="191">
        <v>20</v>
      </c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>
        <v>76</v>
      </c>
      <c r="I95" s="191">
        <v>20</v>
      </c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>
        <v>77</v>
      </c>
      <c r="I96" s="191">
        <v>20</v>
      </c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>
        <v>78</v>
      </c>
      <c r="I97" s="191">
        <v>20</v>
      </c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>
        <v>79</v>
      </c>
      <c r="I98" s="191">
        <v>20</v>
      </c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80</v>
      </c>
      <c r="I99" s="191">
        <v>20</v>
      </c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81</v>
      </c>
      <c r="I100" s="191">
        <v>20</v>
      </c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>
        <v>82</v>
      </c>
      <c r="I101" s="191">
        <v>20</v>
      </c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>
        <v>83</v>
      </c>
      <c r="I102" s="191">
        <v>20</v>
      </c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>
        <v>84</v>
      </c>
      <c r="I103" s="191">
        <v>20</v>
      </c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>
        <v>85</v>
      </c>
      <c r="I104" s="191">
        <v>20</v>
      </c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>
        <v>86</v>
      </c>
      <c r="I105" s="191">
        <v>20</v>
      </c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>
        <v>87</v>
      </c>
      <c r="I106" s="191">
        <v>20</v>
      </c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Thuya géant</v>
      </c>
      <c r="C107" s="4"/>
      <c r="D107" s="4"/>
      <c r="E107" s="4"/>
      <c r="F107" s="230"/>
      <c r="G107" s="206"/>
      <c r="H107" s="190">
        <v>88</v>
      </c>
      <c r="I107" s="191">
        <v>20</v>
      </c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>
        <v>89</v>
      </c>
      <c r="I108" s="191">
        <v>20</v>
      </c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>
        <v>90</v>
      </c>
      <c r="I109" s="191">
        <v>20</v>
      </c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1500*(2+0.7)</f>
        <v>4050.0000000000005</v>
      </c>
      <c r="F110" s="231"/>
      <c r="G110" s="206"/>
      <c r="H110" s="190">
        <v>91</v>
      </c>
      <c r="I110" s="191">
        <v>20</v>
      </c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>
        <v>92</v>
      </c>
      <c r="I111" s="191">
        <v>20</v>
      </c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0.15*E110</f>
        <v>607.5</v>
      </c>
      <c r="F112" s="231"/>
      <c r="G112" s="23"/>
      <c r="H112" s="190">
        <v>93</v>
      </c>
      <c r="I112" s="191">
        <v>20</v>
      </c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>
        <v>94</v>
      </c>
      <c r="I113" s="191">
        <v>20</v>
      </c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>
        <v>95</v>
      </c>
      <c r="I114" s="191">
        <v>20</v>
      </c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>
        <v>96</v>
      </c>
      <c r="I115" s="191">
        <v>20</v>
      </c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1.4421600000000001</v>
      </c>
      <c r="C116" s="191">
        <v>5</v>
      </c>
      <c r="D116" s="179">
        <f>B116*C116</f>
        <v>7.2108000000000008</v>
      </c>
      <c r="E116" s="193"/>
      <c r="F116" s="232"/>
      <c r="G116" s="205"/>
      <c r="H116" s="190">
        <v>97</v>
      </c>
      <c r="I116" s="191">
        <v>20</v>
      </c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25</v>
      </c>
      <c r="B117" s="181">
        <f>'Données projet'!D115</f>
        <v>25.237800000000004</v>
      </c>
      <c r="C117" s="191">
        <v>5</v>
      </c>
      <c r="D117" s="179">
        <f t="shared" ref="D117:D135" si="8">B117*C117</f>
        <v>126.18900000000002</v>
      </c>
      <c r="E117" s="193"/>
      <c r="F117" s="232"/>
      <c r="G117" s="205"/>
      <c r="H117" s="190">
        <v>98</v>
      </c>
      <c r="I117" s="191">
        <v>20</v>
      </c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25.237800000000004</v>
      </c>
      <c r="C118" s="191">
        <v>5</v>
      </c>
      <c r="D118" s="179">
        <f t="shared" si="8"/>
        <v>126.18900000000002</v>
      </c>
      <c r="E118" s="193"/>
      <c r="F118" s="232"/>
      <c r="G118" s="205"/>
      <c r="H118" s="190">
        <v>99</v>
      </c>
      <c r="I118" s="191">
        <v>20</v>
      </c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35</v>
      </c>
      <c r="B119" s="181">
        <f>'Données projet'!D117</f>
        <v>25.237800000000004</v>
      </c>
      <c r="C119" s="191">
        <v>5</v>
      </c>
      <c r="D119" s="179">
        <f t="shared" si="8"/>
        <v>126.18900000000002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40</v>
      </c>
      <c r="B120" s="181">
        <f>'Données projet'!D118</f>
        <v>25.237800000000004</v>
      </c>
      <c r="C120" s="191">
        <v>22.5</v>
      </c>
      <c r="D120" s="179">
        <f t="shared" si="8"/>
        <v>567.85050000000012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45</v>
      </c>
      <c r="B121" s="181">
        <f>'Données projet'!D119</f>
        <v>25.237800000000004</v>
      </c>
      <c r="C121" s="191">
        <v>22.5</v>
      </c>
      <c r="D121" s="179">
        <f t="shared" si="8"/>
        <v>567.85050000000012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50</v>
      </c>
      <c r="B122" s="181">
        <f>'Données projet'!D120</f>
        <v>25.237800000000004</v>
      </c>
      <c r="C122" s="191">
        <v>29.5</v>
      </c>
      <c r="D122" s="179">
        <f t="shared" si="8"/>
        <v>744.51510000000007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55</v>
      </c>
      <c r="B123" s="181">
        <f>'Données projet'!D121</f>
        <v>24.156180000000003</v>
      </c>
      <c r="C123" s="191">
        <v>29.5</v>
      </c>
      <c r="D123" s="179">
        <f t="shared" si="8"/>
        <v>712.6073100000001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60</v>
      </c>
      <c r="B124" s="181">
        <f>'Données projet'!D122</f>
        <v>21.27186</v>
      </c>
      <c r="C124" s="191">
        <v>29.5</v>
      </c>
      <c r="D124" s="179">
        <f t="shared" si="8"/>
        <v>627.51986999999997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65</v>
      </c>
      <c r="B125" s="181">
        <f>'Données projet'!D123</f>
        <v>19.288890000000002</v>
      </c>
      <c r="C125" s="191">
        <v>29.5</v>
      </c>
      <c r="D125" s="179">
        <f t="shared" si="8"/>
        <v>569.02225500000009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70</v>
      </c>
      <c r="B126" s="181">
        <f>'Données projet'!D124</f>
        <v>18.207270000000001</v>
      </c>
      <c r="C126" s="191">
        <v>29.5</v>
      </c>
      <c r="D126" s="179">
        <f t="shared" si="8"/>
        <v>537.114465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75</v>
      </c>
      <c r="B127" s="181">
        <f>'Données projet'!D125</f>
        <v>17.12565</v>
      </c>
      <c r="C127" s="191">
        <v>29.5</v>
      </c>
      <c r="D127" s="179">
        <f t="shared" si="8"/>
        <v>505.20667500000002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80</v>
      </c>
      <c r="B128" s="181">
        <f>'Données projet'!D126</f>
        <v>311.68683000000004</v>
      </c>
      <c r="C128" s="191">
        <v>29.5</v>
      </c>
      <c r="D128" s="179">
        <f t="shared" si="8"/>
        <v>9194.7614850000009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Aulne glutineux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1500*(0.65+0.7)</f>
        <v>2025.0000000000002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1500*(0.65+0.7)*0.15</f>
        <v>303.75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5">
        <f>'Données projet'!D140</f>
        <v>1</v>
      </c>
      <c r="C147" s="191">
        <v>5</v>
      </c>
      <c r="D147" s="182">
        <f>B147*C147</f>
        <v>5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5">
        <f>'Données projet'!D141</f>
        <v>4</v>
      </c>
      <c r="C148" s="191">
        <v>5</v>
      </c>
      <c r="D148" s="182">
        <f t="shared" ref="D148:D166" si="10">B148*C148</f>
        <v>20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5">
        <f>'Données projet'!D142</f>
        <v>10</v>
      </c>
      <c r="C149" s="191">
        <v>5</v>
      </c>
      <c r="D149" s="182">
        <f t="shared" si="10"/>
        <v>50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5">
        <f>'Données projet'!D143</f>
        <v>21</v>
      </c>
      <c r="C150" s="191">
        <v>5</v>
      </c>
      <c r="D150" s="182">
        <f t="shared" si="10"/>
        <v>105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5">
        <f>'Données projet'!D144</f>
        <v>23</v>
      </c>
      <c r="C151" s="191">
        <v>5</v>
      </c>
      <c r="D151" s="182">
        <f t="shared" si="10"/>
        <v>115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5">
        <f>'Données projet'!D145</f>
        <v>25</v>
      </c>
      <c r="C152" s="191">
        <v>5</v>
      </c>
      <c r="D152" s="182">
        <f t="shared" si="10"/>
        <v>125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5">
        <f>'Données projet'!D146</f>
        <v>25</v>
      </c>
      <c r="C153" s="191">
        <v>5</v>
      </c>
      <c r="D153" s="182">
        <f t="shared" si="10"/>
        <v>125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5">
        <f>'Données projet'!D147</f>
        <v>25</v>
      </c>
      <c r="C154" s="191">
        <v>12.5</v>
      </c>
      <c r="D154" s="182">
        <f t="shared" si="10"/>
        <v>312.5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5">
        <f>'Données projet'!D148</f>
        <v>24</v>
      </c>
      <c r="C155" s="191">
        <v>12.5</v>
      </c>
      <c r="D155" s="182">
        <f t="shared" si="10"/>
        <v>300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5">
        <f>'Données projet'!D149</f>
        <v>23</v>
      </c>
      <c r="C156" s="191">
        <v>12.5</v>
      </c>
      <c r="D156" s="182">
        <f t="shared" si="10"/>
        <v>287.5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5">
        <f>'Données projet'!D150</f>
        <v>22</v>
      </c>
      <c r="C157" s="191">
        <v>12.5</v>
      </c>
      <c r="D157" s="182">
        <f t="shared" si="10"/>
        <v>275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5">
        <f>'Données projet'!D151</f>
        <v>20</v>
      </c>
      <c r="C158" s="191">
        <v>20</v>
      </c>
      <c r="D158" s="182">
        <f t="shared" si="10"/>
        <v>400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5">
        <f>'Données projet'!D152</f>
        <v>19</v>
      </c>
      <c r="C159" s="191">
        <v>20</v>
      </c>
      <c r="D159" s="182">
        <f t="shared" si="10"/>
        <v>380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5">
        <f>'Données projet'!D153</f>
        <v>18</v>
      </c>
      <c r="C160" s="191">
        <v>20</v>
      </c>
      <c r="D160" s="182">
        <f t="shared" si="10"/>
        <v>360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5">
        <f>'Données projet'!D154</f>
        <v>16</v>
      </c>
      <c r="C161" s="191">
        <v>20</v>
      </c>
      <c r="D161" s="182">
        <f t="shared" si="10"/>
        <v>320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85</v>
      </c>
      <c r="B162" s="175">
        <f>'Données projet'!D155</f>
        <v>15</v>
      </c>
      <c r="C162" s="191">
        <v>20</v>
      </c>
      <c r="D162" s="182">
        <f t="shared" si="10"/>
        <v>300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90</v>
      </c>
      <c r="B163" s="175">
        <f>'Données projet'!D156</f>
        <v>250</v>
      </c>
      <c r="C163" s="191">
        <v>20</v>
      </c>
      <c r="D163" s="182">
        <f t="shared" si="10"/>
        <v>5000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Chêne sessile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1500*(1.6+0.7)</f>
        <v>3449.9999999999995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f>1500*(0.65+0.7)*0.15</f>
        <v>303.75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42</v>
      </c>
      <c r="B178" s="181">
        <f>'Données projet'!D166</f>
        <v>43.21</v>
      </c>
      <c r="C178" s="193">
        <v>58</v>
      </c>
      <c r="D178" s="179">
        <f>B178*C178</f>
        <v>2506.1799999999998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50</v>
      </c>
      <c r="B179" s="181">
        <f>'Données projet'!D167</f>
        <v>35.58</v>
      </c>
      <c r="C179" s="193">
        <v>58</v>
      </c>
      <c r="D179" s="179">
        <f t="shared" ref="D179:D197" si="11">B179*C179</f>
        <v>2063.64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58</v>
      </c>
      <c r="B180" s="181">
        <f>'Données projet'!D168</f>
        <v>44.93</v>
      </c>
      <c r="C180" s="193">
        <v>58</v>
      </c>
      <c r="D180" s="179">
        <f t="shared" si="11"/>
        <v>2605.94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66</v>
      </c>
      <c r="B181" s="181">
        <f>'Données projet'!D169</f>
        <v>49.91</v>
      </c>
      <c r="C181" s="193">
        <v>106</v>
      </c>
      <c r="D181" s="179">
        <f t="shared" si="11"/>
        <v>5290.46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74</v>
      </c>
      <c r="B182" s="181">
        <f>'Données projet'!D170</f>
        <v>47.4</v>
      </c>
      <c r="C182" s="193">
        <v>106</v>
      </c>
      <c r="D182" s="179">
        <f t="shared" si="11"/>
        <v>5024.3999999999996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84</v>
      </c>
      <c r="B183" s="181">
        <f>'Données projet'!D171</f>
        <v>61.47</v>
      </c>
      <c r="C183" s="193">
        <v>106</v>
      </c>
      <c r="D183" s="179">
        <f t="shared" si="11"/>
        <v>6515.82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94</v>
      </c>
      <c r="B184" s="181">
        <f>'Données projet'!D172</f>
        <v>61.85</v>
      </c>
      <c r="C184" s="193">
        <v>106</v>
      </c>
      <c r="D184" s="179">
        <f t="shared" si="11"/>
        <v>6556.1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104</v>
      </c>
      <c r="B185" s="181">
        <f>'Données projet'!D173</f>
        <v>60.19</v>
      </c>
      <c r="C185" s="193">
        <v>106</v>
      </c>
      <c r="D185" s="179">
        <f t="shared" si="11"/>
        <v>6380.1399999999994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114</v>
      </c>
      <c r="B186" s="181">
        <f>'Données projet'!D174</f>
        <v>56.07</v>
      </c>
      <c r="C186" s="193">
        <v>106</v>
      </c>
      <c r="D186" s="179">
        <f t="shared" si="11"/>
        <v>5943.42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124</v>
      </c>
      <c r="B187" s="181">
        <f>'Données projet'!D175</f>
        <v>52.53</v>
      </c>
      <c r="C187" s="193">
        <v>106</v>
      </c>
      <c r="D187" s="179">
        <f t="shared" si="11"/>
        <v>5568.18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134</v>
      </c>
      <c r="B188" s="181">
        <f>'Données projet'!D176</f>
        <v>54.95</v>
      </c>
      <c r="C188" s="193">
        <v>106</v>
      </c>
      <c r="D188" s="179">
        <f t="shared" si="11"/>
        <v>5824.7000000000007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144</v>
      </c>
      <c r="B189" s="181">
        <f>'Données projet'!D177</f>
        <v>56.01</v>
      </c>
      <c r="C189" s="193">
        <v>106</v>
      </c>
      <c r="D189" s="179">
        <f t="shared" si="11"/>
        <v>5937.0599999999995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154</v>
      </c>
      <c r="B190" s="181">
        <f>'Données projet'!D178</f>
        <v>55.13</v>
      </c>
      <c r="C190" s="193">
        <v>106</v>
      </c>
      <c r="D190" s="179">
        <f t="shared" si="11"/>
        <v>5843.7800000000007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164</v>
      </c>
      <c r="B191" s="181">
        <f>'Données projet'!D179</f>
        <v>59.58</v>
      </c>
      <c r="C191" s="193">
        <v>106</v>
      </c>
      <c r="D191" s="179">
        <f t="shared" si="11"/>
        <v>6315.48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174</v>
      </c>
      <c r="B192" s="181">
        <f>'Données projet'!D180</f>
        <v>214.77</v>
      </c>
      <c r="C192" s="193">
        <v>106</v>
      </c>
      <c r="D192" s="179">
        <f t="shared" si="11"/>
        <v>22765.620000000003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177</v>
      </c>
      <c r="B193" s="181">
        <f>'Données projet'!D181</f>
        <v>115.19</v>
      </c>
      <c r="C193" s="193">
        <v>106</v>
      </c>
      <c r="D193" s="179">
        <f t="shared" si="11"/>
        <v>12210.14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180</v>
      </c>
      <c r="B194" s="181">
        <f>'Données projet'!D182</f>
        <v>77.72</v>
      </c>
      <c r="C194" s="193">
        <v>106</v>
      </c>
      <c r="D194" s="179">
        <f t="shared" si="11"/>
        <v>8238.32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183</v>
      </c>
      <c r="B195" s="181">
        <f>'Données projet'!D183</f>
        <v>169.76</v>
      </c>
      <c r="C195" s="193">
        <v>106</v>
      </c>
      <c r="D195" s="179">
        <f t="shared" si="11"/>
        <v>17994.559999999998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8" ma:contentTypeDescription="Crée un document." ma:contentTypeScope="" ma:versionID="230d89a92b7aca36de80e84cafbbf9c2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776697cfe11cf9a50b111f534a5c43c6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1B5F16-27E4-428C-A82D-621A72F4F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Augustin Le Corre</cp:lastModifiedBy>
  <dcterms:created xsi:type="dcterms:W3CDTF">2021-02-01T08:22:39Z</dcterms:created>
  <dcterms:modified xsi:type="dcterms:W3CDTF">2024-02-21T10:12:08Z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